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Democratic Services\SCRUTINY (VFM) COMMITTEE\2017\AGENDA 14 JUNE 2017\"/>
    </mc:Choice>
  </mc:AlternateContent>
  <bookViews>
    <workbookView xWindow="-15" yWindow="4260" windowWidth="16605" windowHeight="382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DATA'!$A$3:$AC$116</definedName>
    <definedName name="_xlnm._FilterDatabase" localSheetId="2" hidden="1">'2. STATUS TRACKING'!$A$2:$J$115</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DATA'!$C$106</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DATA'!$A$57</definedName>
    <definedName name="_xlnm.Print_Area" localSheetId="1">'1. ALL DATA'!$A$1:$AC$41</definedName>
    <definedName name="_xlnm.Print_Titles" localSheetId="1">'1. ALL DATA'!$3:$3</definedName>
    <definedName name="PSC_1617">'1. ALL DATA'!$A$82</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VFM_1617">'1. ALL DATA'!$A$5</definedName>
  </definedNames>
  <calcPr calcId="152511"/>
  <pivotCaches>
    <pivotCache cacheId="0" r:id="rId14"/>
  </pivotCaches>
</workbook>
</file>

<file path=xl/calcChain.xml><?xml version="1.0" encoding="utf-8"?>
<calcChain xmlns="http://schemas.openxmlformats.org/spreadsheetml/2006/main">
  <c r="D107" i="2" l="1"/>
  <c r="W128" i="22" l="1"/>
  <c r="W106" i="22"/>
  <c r="W84" i="22"/>
  <c r="W62" i="22"/>
  <c r="W40" i="22"/>
  <c r="W17" i="22"/>
  <c r="W86" i="22"/>
  <c r="P86" i="22"/>
  <c r="I86" i="22"/>
  <c r="B86" i="22"/>
  <c r="W85" i="22"/>
  <c r="P85" i="22"/>
  <c r="I85" i="22"/>
  <c r="B85" i="22"/>
  <c r="P84" i="22"/>
  <c r="I84" i="22"/>
  <c r="B84" i="22"/>
  <c r="W83" i="22"/>
  <c r="P83" i="22"/>
  <c r="I83" i="22"/>
  <c r="B83" i="22"/>
  <c r="W81" i="22"/>
  <c r="P81" i="22"/>
  <c r="I81" i="22"/>
  <c r="B81" i="22"/>
  <c r="W80" i="22"/>
  <c r="P80" i="22"/>
  <c r="I80" i="22"/>
  <c r="B80" i="22"/>
  <c r="W78" i="22"/>
  <c r="W77" i="22"/>
  <c r="W76" i="22"/>
  <c r="P76" i="22"/>
  <c r="I76" i="22"/>
  <c r="B76" i="22"/>
  <c r="W74" i="22"/>
  <c r="P74" i="22"/>
  <c r="I74" i="22"/>
  <c r="B74" i="22"/>
  <c r="W73" i="22"/>
  <c r="P73" i="22"/>
  <c r="I73" i="22"/>
  <c r="B73" i="22"/>
  <c r="X83" i="4"/>
  <c r="X61" i="4"/>
  <c r="X39" i="4"/>
  <c r="X17" i="4"/>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6" i="2"/>
  <c r="J57" i="2"/>
  <c r="J58" i="2"/>
  <c r="J59" i="2"/>
  <c r="J60" i="2"/>
  <c r="J61" i="2"/>
  <c r="J62" i="2"/>
  <c r="J63" i="2"/>
  <c r="J64" i="2"/>
  <c r="J65" i="2"/>
  <c r="J66" i="2"/>
  <c r="J67" i="2"/>
  <c r="J68" i="2"/>
  <c r="J69" i="2"/>
  <c r="J70" i="2"/>
  <c r="J71" i="2"/>
  <c r="J72" i="2"/>
  <c r="J73" i="2"/>
  <c r="J74" i="2"/>
  <c r="J75" i="2"/>
  <c r="J76" i="2"/>
  <c r="J77" i="2"/>
  <c r="J78" i="2"/>
  <c r="J79"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4" i="2"/>
  <c r="H115"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6" i="2"/>
  <c r="H57" i="2"/>
  <c r="H58" i="2"/>
  <c r="H59" i="2"/>
  <c r="H60" i="2"/>
  <c r="H61" i="2"/>
  <c r="H62" i="2"/>
  <c r="H63" i="2"/>
  <c r="H64" i="2"/>
  <c r="H65" i="2"/>
  <c r="H66" i="2"/>
  <c r="H67" i="2"/>
  <c r="H68" i="2"/>
  <c r="H69" i="2"/>
  <c r="H70" i="2"/>
  <c r="H71" i="2"/>
  <c r="H72" i="2"/>
  <c r="H73" i="2"/>
  <c r="H74" i="2"/>
  <c r="H75" i="2"/>
  <c r="H76" i="2"/>
  <c r="H77" i="2"/>
  <c r="H78" i="2"/>
  <c r="H79"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6" i="2"/>
  <c r="F57" i="2"/>
  <c r="F58" i="2"/>
  <c r="F59" i="2"/>
  <c r="F60" i="2"/>
  <c r="F61" i="2"/>
  <c r="F62" i="2"/>
  <c r="F63" i="2"/>
  <c r="F64" i="2"/>
  <c r="F65" i="2"/>
  <c r="F66" i="2"/>
  <c r="F67" i="2"/>
  <c r="F68" i="2"/>
  <c r="F69" i="2"/>
  <c r="F70" i="2"/>
  <c r="F71" i="2"/>
  <c r="F72" i="2"/>
  <c r="F73" i="2"/>
  <c r="F74" i="2"/>
  <c r="F75" i="2"/>
  <c r="F76" i="2"/>
  <c r="F77" i="2"/>
  <c r="F78" i="2"/>
  <c r="F79"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6" i="2"/>
  <c r="D57" i="2"/>
  <c r="D58" i="2"/>
  <c r="D59" i="2"/>
  <c r="D60" i="2"/>
  <c r="D61" i="2"/>
  <c r="D62" i="2"/>
  <c r="D63" i="2"/>
  <c r="D64" i="2"/>
  <c r="D65" i="2"/>
  <c r="D66" i="2"/>
  <c r="D67" i="2"/>
  <c r="D68" i="2"/>
  <c r="D69" i="2"/>
  <c r="D70" i="2"/>
  <c r="D71" i="2"/>
  <c r="D72" i="2"/>
  <c r="D73" i="2"/>
  <c r="D74" i="2"/>
  <c r="D75" i="2"/>
  <c r="D76" i="2"/>
  <c r="D77" i="2"/>
  <c r="D78" i="2"/>
  <c r="D79" i="2"/>
  <c r="D81" i="2"/>
  <c r="D82" i="2"/>
  <c r="D83" i="2"/>
  <c r="D84" i="2"/>
  <c r="D85" i="2"/>
  <c r="D86" i="2"/>
  <c r="D87" i="2"/>
  <c r="D88" i="2"/>
  <c r="D89" i="2"/>
  <c r="D90" i="2"/>
  <c r="D91" i="2"/>
  <c r="D92" i="2"/>
  <c r="D93" i="2"/>
  <c r="D94" i="2"/>
  <c r="D95" i="2"/>
  <c r="D96" i="2"/>
  <c r="D97" i="2"/>
  <c r="D98" i="2"/>
  <c r="D99" i="2"/>
  <c r="D100" i="2"/>
  <c r="D101" i="2"/>
  <c r="D102" i="2"/>
  <c r="D103" i="2"/>
  <c r="D104" i="2"/>
  <c r="D105" i="2"/>
  <c r="D106" i="2"/>
  <c r="D108" i="2"/>
  <c r="D109" i="2"/>
  <c r="D110" i="2"/>
  <c r="D111" i="2"/>
  <c r="D112" i="2"/>
  <c r="D113" i="2"/>
  <c r="D114" i="2"/>
  <c r="D115" i="2"/>
  <c r="D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C4" i="2"/>
  <c r="B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4" i="2"/>
  <c r="W117" i="22" l="1"/>
  <c r="W95" i="22"/>
  <c r="W51" i="22"/>
  <c r="W29" i="22"/>
  <c r="W6" i="22"/>
  <c r="X72" i="4"/>
  <c r="X50" i="4"/>
  <c r="X28" i="4"/>
  <c r="X6" i="4"/>
  <c r="X31" i="4"/>
  <c r="F11" i="11"/>
  <c r="F11" i="10"/>
  <c r="F11" i="9"/>
  <c r="W130" i="22"/>
  <c r="P130" i="22"/>
  <c r="I130" i="22"/>
  <c r="B130" i="22"/>
  <c r="W129" i="22"/>
  <c r="P129" i="22"/>
  <c r="I129" i="22"/>
  <c r="B129" i="22"/>
  <c r="P128" i="22"/>
  <c r="I128" i="22"/>
  <c r="B128" i="22"/>
  <c r="W127" i="22"/>
  <c r="P127" i="22"/>
  <c r="I127" i="22"/>
  <c r="B127" i="22"/>
  <c r="W125" i="22"/>
  <c r="P125" i="22"/>
  <c r="I125" i="22"/>
  <c r="B125" i="22"/>
  <c r="W124" i="22"/>
  <c r="P124" i="22"/>
  <c r="I124" i="22"/>
  <c r="B124" i="22"/>
  <c r="W122" i="22"/>
  <c r="W121" i="22"/>
  <c r="W120" i="22"/>
  <c r="P120" i="22"/>
  <c r="E16" i="11" s="1"/>
  <c r="I120" i="22"/>
  <c r="E16" i="10" s="1"/>
  <c r="B120" i="22"/>
  <c r="E16" i="9" s="1"/>
  <c r="W118" i="22"/>
  <c r="P118" i="22"/>
  <c r="I118" i="22"/>
  <c r="B118" i="22"/>
  <c r="P117" i="22"/>
  <c r="I117" i="22"/>
  <c r="B117" i="22"/>
  <c r="W108" i="22"/>
  <c r="P108" i="22"/>
  <c r="I108" i="22"/>
  <c r="B108" i="22"/>
  <c r="W107" i="22"/>
  <c r="P107" i="22"/>
  <c r="I107" i="22"/>
  <c r="B107" i="22"/>
  <c r="P106" i="22"/>
  <c r="I106" i="22"/>
  <c r="B106" i="22"/>
  <c r="W105" i="22"/>
  <c r="P105" i="22"/>
  <c r="I105" i="22"/>
  <c r="B105" i="22"/>
  <c r="W103" i="22"/>
  <c r="P103" i="22"/>
  <c r="I103" i="22"/>
  <c r="B103" i="22"/>
  <c r="W102" i="22"/>
  <c r="P102" i="22"/>
  <c r="I102" i="22"/>
  <c r="B102" i="22"/>
  <c r="W100" i="22"/>
  <c r="W99" i="22"/>
  <c r="W98" i="22"/>
  <c r="P98" i="22"/>
  <c r="E15" i="11" s="1"/>
  <c r="I98" i="22"/>
  <c r="B98" i="22"/>
  <c r="E15" i="9" s="1"/>
  <c r="W96" i="22"/>
  <c r="P96" i="22"/>
  <c r="I96" i="22"/>
  <c r="B96" i="22"/>
  <c r="P95" i="22"/>
  <c r="I95" i="22"/>
  <c r="B95" i="22"/>
  <c r="E14" i="10"/>
  <c r="E14" i="9"/>
  <c r="W64" i="22"/>
  <c r="P64" i="22"/>
  <c r="I64" i="22"/>
  <c r="B64" i="22"/>
  <c r="W63" i="22"/>
  <c r="P63" i="22"/>
  <c r="I63" i="22"/>
  <c r="B63" i="22"/>
  <c r="P62" i="22"/>
  <c r="I62" i="22"/>
  <c r="B62" i="22"/>
  <c r="W61" i="22"/>
  <c r="P61" i="22"/>
  <c r="I61" i="22"/>
  <c r="B61" i="22"/>
  <c r="W59" i="22"/>
  <c r="P59" i="22"/>
  <c r="I59" i="22"/>
  <c r="B59" i="22"/>
  <c r="W58" i="22"/>
  <c r="P58" i="22"/>
  <c r="I58" i="22"/>
  <c r="B58" i="22"/>
  <c r="W56" i="22"/>
  <c r="W55" i="22"/>
  <c r="W54" i="22"/>
  <c r="P54" i="22"/>
  <c r="E13" i="11" s="1"/>
  <c r="I54" i="22"/>
  <c r="E13" i="10" s="1"/>
  <c r="B54" i="22"/>
  <c r="E13" i="9" s="1"/>
  <c r="W52" i="22"/>
  <c r="P52" i="22"/>
  <c r="I52" i="22"/>
  <c r="B52" i="22"/>
  <c r="P51" i="22"/>
  <c r="I51" i="22"/>
  <c r="B51" i="22"/>
  <c r="W42" i="22"/>
  <c r="P42" i="22"/>
  <c r="I42" i="22"/>
  <c r="B42" i="22"/>
  <c r="W41" i="22"/>
  <c r="P41" i="22"/>
  <c r="I41" i="22"/>
  <c r="B41" i="22"/>
  <c r="P40" i="22"/>
  <c r="I40" i="22"/>
  <c r="B40" i="22"/>
  <c r="W39" i="22"/>
  <c r="P39" i="22"/>
  <c r="I39" i="22"/>
  <c r="B39" i="22"/>
  <c r="W37" i="22"/>
  <c r="P37" i="22"/>
  <c r="I37" i="22"/>
  <c r="B37" i="22"/>
  <c r="W36" i="22"/>
  <c r="P36" i="22"/>
  <c r="I36" i="22"/>
  <c r="B36" i="22"/>
  <c r="W34" i="22"/>
  <c r="W33" i="22"/>
  <c r="W32" i="22"/>
  <c r="P32" i="22"/>
  <c r="E12" i="11" s="1"/>
  <c r="I32" i="22"/>
  <c r="B32" i="22"/>
  <c r="E12" i="9" s="1"/>
  <c r="W30" i="22"/>
  <c r="P30" i="22"/>
  <c r="I30" i="22"/>
  <c r="B30" i="22"/>
  <c r="P29" i="22"/>
  <c r="I29" i="22"/>
  <c r="B29" i="22"/>
  <c r="W19" i="22"/>
  <c r="P19" i="22"/>
  <c r="I19" i="22"/>
  <c r="B19" i="22"/>
  <c r="W18" i="22"/>
  <c r="P18" i="22"/>
  <c r="I18" i="22"/>
  <c r="B18" i="22"/>
  <c r="P17" i="22"/>
  <c r="I17" i="22"/>
  <c r="B17" i="22"/>
  <c r="W16" i="22"/>
  <c r="P16" i="22"/>
  <c r="I16" i="22"/>
  <c r="B16" i="22"/>
  <c r="W14" i="22"/>
  <c r="P14" i="22"/>
  <c r="I14" i="22"/>
  <c r="B14" i="22"/>
  <c r="W13" i="22"/>
  <c r="P13" i="22"/>
  <c r="I13" i="22"/>
  <c r="B13" i="22"/>
  <c r="W11" i="22"/>
  <c r="W10" i="22"/>
  <c r="W9" i="22"/>
  <c r="P9" i="22"/>
  <c r="I9" i="22"/>
  <c r="E11" i="10" s="1"/>
  <c r="B9" i="22"/>
  <c r="E11" i="9" s="1"/>
  <c r="W7" i="22"/>
  <c r="P7" i="22"/>
  <c r="I7" i="22"/>
  <c r="B7" i="22"/>
  <c r="P6" i="22"/>
  <c r="I6" i="22"/>
  <c r="B6" i="22"/>
  <c r="X85" i="4"/>
  <c r="Q85" i="4"/>
  <c r="J85" i="4"/>
  <c r="C85" i="4"/>
  <c r="X84" i="4"/>
  <c r="Q84" i="4"/>
  <c r="J84" i="4"/>
  <c r="C84" i="4"/>
  <c r="Q83" i="4"/>
  <c r="J83" i="4"/>
  <c r="C83" i="4"/>
  <c r="X82" i="4"/>
  <c r="Q82" i="4"/>
  <c r="J82" i="4"/>
  <c r="C82" i="4"/>
  <c r="X80" i="4"/>
  <c r="Q80" i="4"/>
  <c r="J80" i="4"/>
  <c r="C80" i="4"/>
  <c r="X79" i="4"/>
  <c r="Q79" i="4"/>
  <c r="J79" i="4"/>
  <c r="C79" i="4"/>
  <c r="X77" i="4"/>
  <c r="X76" i="4"/>
  <c r="X75" i="4"/>
  <c r="Q75" i="4"/>
  <c r="E9" i="11" s="1"/>
  <c r="J75" i="4"/>
  <c r="E9" i="10" s="1"/>
  <c r="C75" i="4"/>
  <c r="X73" i="4"/>
  <c r="Q73" i="4"/>
  <c r="J73" i="4"/>
  <c r="C73" i="4"/>
  <c r="Q72" i="4"/>
  <c r="J72" i="4"/>
  <c r="C72" i="4"/>
  <c r="X63" i="4"/>
  <c r="Q63" i="4"/>
  <c r="J63" i="4"/>
  <c r="C63" i="4"/>
  <c r="X62" i="4"/>
  <c r="Q62" i="4"/>
  <c r="J62" i="4"/>
  <c r="C62" i="4"/>
  <c r="Q61" i="4"/>
  <c r="J61" i="4"/>
  <c r="C61" i="4"/>
  <c r="X60" i="4"/>
  <c r="Q60" i="4"/>
  <c r="J60" i="4"/>
  <c r="C60" i="4"/>
  <c r="X58" i="4"/>
  <c r="Q58" i="4"/>
  <c r="J58" i="4"/>
  <c r="C58" i="4"/>
  <c r="X57" i="4"/>
  <c r="Q57" i="4"/>
  <c r="J57" i="4"/>
  <c r="C57" i="4"/>
  <c r="X55" i="4"/>
  <c r="X54" i="4"/>
  <c r="X53" i="4"/>
  <c r="Q53" i="4"/>
  <c r="E8" i="11" s="1"/>
  <c r="J53" i="4"/>
  <c r="E8" i="10" s="1"/>
  <c r="C53" i="4"/>
  <c r="X51" i="4"/>
  <c r="Q51" i="4"/>
  <c r="J51" i="4"/>
  <c r="C51" i="4"/>
  <c r="Q50" i="4"/>
  <c r="J50" i="4"/>
  <c r="C50" i="4"/>
  <c r="X41" i="4"/>
  <c r="Q41" i="4"/>
  <c r="J41" i="4"/>
  <c r="C41" i="4"/>
  <c r="X40" i="4"/>
  <c r="Q40" i="4"/>
  <c r="J40" i="4"/>
  <c r="C40" i="4"/>
  <c r="Q39" i="4"/>
  <c r="J39" i="4"/>
  <c r="C39" i="4"/>
  <c r="X38" i="4"/>
  <c r="Q38" i="4"/>
  <c r="J38" i="4"/>
  <c r="C38" i="4"/>
  <c r="X36" i="4"/>
  <c r="Q36" i="4"/>
  <c r="J36" i="4"/>
  <c r="C36" i="4"/>
  <c r="X35" i="4"/>
  <c r="Q35" i="4"/>
  <c r="J35" i="4"/>
  <c r="C35" i="4"/>
  <c r="X33" i="4"/>
  <c r="X32" i="4"/>
  <c r="Q31" i="4"/>
  <c r="E7" i="11" s="1"/>
  <c r="J31" i="4"/>
  <c r="E7" i="10" s="1"/>
  <c r="C31" i="4"/>
  <c r="E7" i="9" s="1"/>
  <c r="X29" i="4"/>
  <c r="Q29" i="4"/>
  <c r="J29" i="4"/>
  <c r="C29" i="4"/>
  <c r="Q28" i="4"/>
  <c r="J28" i="4"/>
  <c r="C28" i="4"/>
  <c r="X19" i="4"/>
  <c r="Q19" i="4"/>
  <c r="J19" i="4"/>
  <c r="C19" i="4"/>
  <c r="X18" i="4"/>
  <c r="Q18" i="4"/>
  <c r="J18" i="4"/>
  <c r="C18" i="4"/>
  <c r="Q17" i="4"/>
  <c r="J17" i="4"/>
  <c r="C17" i="4"/>
  <c r="X16" i="4"/>
  <c r="Q16" i="4"/>
  <c r="J16" i="4"/>
  <c r="C16" i="4"/>
  <c r="X14" i="4"/>
  <c r="Q14" i="4"/>
  <c r="J14" i="4"/>
  <c r="C14" i="4"/>
  <c r="X13" i="4"/>
  <c r="Q13" i="4"/>
  <c r="J13" i="4"/>
  <c r="C13" i="4"/>
  <c r="X11" i="4"/>
  <c r="X10" i="4"/>
  <c r="X9" i="4"/>
  <c r="Q9" i="4"/>
  <c r="E5" i="11" s="1"/>
  <c r="J9" i="4"/>
  <c r="C9" i="4"/>
  <c r="E5" i="9" s="1"/>
  <c r="X7" i="4"/>
  <c r="Q7" i="4"/>
  <c r="J7" i="4"/>
  <c r="C7" i="4"/>
  <c r="Q6" i="4"/>
  <c r="J6" i="4"/>
  <c r="C6" i="4"/>
  <c r="G15" i="11" l="1"/>
  <c r="G12" i="10"/>
  <c r="G11" i="11"/>
  <c r="G13" i="12"/>
  <c r="G8" i="10"/>
  <c r="G9" i="9"/>
  <c r="G11" i="12"/>
  <c r="G11" i="9"/>
  <c r="G12" i="11"/>
  <c r="G8" i="9"/>
  <c r="G13" i="9"/>
  <c r="G5" i="9"/>
  <c r="G5" i="10"/>
  <c r="G7" i="10"/>
  <c r="G14" i="9"/>
  <c r="G9" i="10"/>
  <c r="G12" i="12"/>
  <c r="G13" i="11"/>
  <c r="G14" i="11"/>
  <c r="G9" i="11"/>
  <c r="G16" i="11"/>
  <c r="G16" i="12"/>
  <c r="G12" i="9"/>
  <c r="G14" i="12"/>
  <c r="G7" i="11"/>
  <c r="G15" i="10"/>
  <c r="G8" i="11"/>
  <c r="C16" i="10"/>
  <c r="C11" i="11"/>
  <c r="C13" i="9"/>
  <c r="C16" i="11"/>
  <c r="G7" i="12"/>
  <c r="C13" i="12"/>
  <c r="G7" i="9"/>
  <c r="G8" i="12"/>
  <c r="C7" i="10"/>
  <c r="C12" i="11"/>
  <c r="C13" i="10"/>
  <c r="C14" i="9"/>
  <c r="G5" i="11"/>
  <c r="C42" i="4"/>
  <c r="D41" i="4" s="1"/>
  <c r="E41" i="4" s="1"/>
  <c r="C8" i="9"/>
  <c r="G9" i="12"/>
  <c r="C7" i="11"/>
  <c r="I131" i="22"/>
  <c r="J129" i="22" s="1"/>
  <c r="K129" i="22" s="1"/>
  <c r="C86" i="4"/>
  <c r="D84" i="4" s="1"/>
  <c r="E84" i="4" s="1"/>
  <c r="C14" i="10"/>
  <c r="B109" i="22"/>
  <c r="C98" i="22" s="1"/>
  <c r="D98" i="22" s="1"/>
  <c r="C8" i="11"/>
  <c r="C11" i="10"/>
  <c r="C14" i="11"/>
  <c r="C15" i="11"/>
  <c r="C16" i="12"/>
  <c r="C12" i="12"/>
  <c r="C5" i="12"/>
  <c r="C8" i="12"/>
  <c r="C11" i="12"/>
  <c r="W65" i="22"/>
  <c r="X62" i="22" s="1"/>
  <c r="Y62" i="22" s="1"/>
  <c r="E5" i="12"/>
  <c r="E7" i="12"/>
  <c r="P20" i="22"/>
  <c r="Q18" i="22" s="1"/>
  <c r="R18" i="22" s="1"/>
  <c r="G16" i="10"/>
  <c r="J20" i="4"/>
  <c r="K6" i="4" s="1"/>
  <c r="X86" i="4"/>
  <c r="Y82" i="4" s="1"/>
  <c r="Z82" i="4" s="1"/>
  <c r="E9" i="12"/>
  <c r="E11" i="11"/>
  <c r="C5" i="11"/>
  <c r="I109" i="22"/>
  <c r="J106" i="22" s="1"/>
  <c r="K106" i="22" s="1"/>
  <c r="C15" i="10"/>
  <c r="C9" i="9"/>
  <c r="E13" i="12"/>
  <c r="B87" i="22"/>
  <c r="C76" i="22" s="1"/>
  <c r="D76" i="22" s="1"/>
  <c r="I43" i="22"/>
  <c r="J40" i="22" s="1"/>
  <c r="K40" i="22" s="1"/>
  <c r="P65" i="22"/>
  <c r="Q62" i="22" s="1"/>
  <c r="R62" i="22" s="1"/>
  <c r="Q20" i="4"/>
  <c r="R7" i="4" s="1"/>
  <c r="C12" i="10"/>
  <c r="C9" i="12"/>
  <c r="E12" i="10"/>
  <c r="E5" i="10"/>
  <c r="Q42" i="4"/>
  <c r="R36" i="4" s="1"/>
  <c r="J86" i="4"/>
  <c r="K83" i="4" s="1"/>
  <c r="L83" i="4" s="1"/>
  <c r="B43" i="22"/>
  <c r="C39" i="22" s="1"/>
  <c r="D39" i="22" s="1"/>
  <c r="E12" i="12"/>
  <c r="E15" i="10"/>
  <c r="C7" i="9"/>
  <c r="B65" i="22"/>
  <c r="C64" i="22" s="1"/>
  <c r="D64" i="22" s="1"/>
  <c r="P43" i="22"/>
  <c r="W87" i="22"/>
  <c r="X73" i="22" s="1"/>
  <c r="C14" i="12"/>
  <c r="E14" i="12"/>
  <c r="G5" i="12"/>
  <c r="X20" i="4"/>
  <c r="Y18" i="4" s="1"/>
  <c r="Z18" i="4" s="1"/>
  <c r="C7" i="12"/>
  <c r="X42" i="4"/>
  <c r="Y33" i="4" s="1"/>
  <c r="E8" i="9"/>
  <c r="C64" i="4"/>
  <c r="X64" i="4"/>
  <c r="E8" i="12"/>
  <c r="E11" i="12"/>
  <c r="G13" i="10"/>
  <c r="I65" i="22"/>
  <c r="J58" i="22" s="1"/>
  <c r="G16" i="9"/>
  <c r="C20" i="4"/>
  <c r="D16" i="4" s="1"/>
  <c r="E16" i="4" s="1"/>
  <c r="C5" i="9"/>
  <c r="G14" i="10"/>
  <c r="I87" i="22"/>
  <c r="P87" i="22"/>
  <c r="E14" i="11"/>
  <c r="Q64" i="4"/>
  <c r="R62" i="4" s="1"/>
  <c r="S62" i="4" s="1"/>
  <c r="Q86" i="4"/>
  <c r="R72" i="4" s="1"/>
  <c r="C11" i="9"/>
  <c r="B20" i="22"/>
  <c r="C7" i="22" s="1"/>
  <c r="G11" i="10"/>
  <c r="C15" i="9"/>
  <c r="E15" i="12"/>
  <c r="G15" i="9"/>
  <c r="C16" i="9"/>
  <c r="B131" i="22"/>
  <c r="C130" i="22" s="1"/>
  <c r="D130" i="22" s="1"/>
  <c r="E16" i="12"/>
  <c r="C9" i="11"/>
  <c r="W20" i="22"/>
  <c r="X19" i="22" s="1"/>
  <c r="Y19" i="22" s="1"/>
  <c r="C8" i="10"/>
  <c r="J64" i="4"/>
  <c r="K57" i="4" s="1"/>
  <c r="P131" i="22"/>
  <c r="C9" i="10"/>
  <c r="C15" i="12"/>
  <c r="P109" i="22"/>
  <c r="C12" i="9"/>
  <c r="W109" i="22"/>
  <c r="X98" i="22" s="1"/>
  <c r="C5" i="10"/>
  <c r="I20" i="22"/>
  <c r="G15" i="12"/>
  <c r="E9" i="9"/>
  <c r="W131" i="22"/>
  <c r="X130" i="22" s="1"/>
  <c r="Y130" i="22" s="1"/>
  <c r="W43" i="22"/>
  <c r="C13" i="11"/>
  <c r="J42" i="4"/>
  <c r="C43" i="4" l="1"/>
  <c r="F31" i="4" s="1"/>
  <c r="G31" i="4" s="1"/>
  <c r="AZ24" i="5" s="1"/>
  <c r="J102" i="22"/>
  <c r="D79" i="4"/>
  <c r="J95" i="22"/>
  <c r="C81" i="22"/>
  <c r="I110" i="22"/>
  <c r="L103" i="22" s="1"/>
  <c r="D73" i="4"/>
  <c r="C83" i="22"/>
  <c r="D83" i="22" s="1"/>
  <c r="J105" i="22"/>
  <c r="K105" i="22" s="1"/>
  <c r="J107" i="22"/>
  <c r="K107" i="22" s="1"/>
  <c r="D80" i="4"/>
  <c r="D36" i="4"/>
  <c r="D14" i="4"/>
  <c r="B110" i="22"/>
  <c r="E98" i="22" s="1"/>
  <c r="F98" i="22" s="1"/>
  <c r="F15" i="9" s="1"/>
  <c r="C105" i="22"/>
  <c r="D105" i="22" s="1"/>
  <c r="J39" i="22"/>
  <c r="K39" i="22" s="1"/>
  <c r="C102" i="22"/>
  <c r="K19" i="4"/>
  <c r="L19" i="4" s="1"/>
  <c r="I44" i="22"/>
  <c r="L30" i="22" s="1"/>
  <c r="J29" i="22"/>
  <c r="D35" i="4"/>
  <c r="D40" i="4"/>
  <c r="E40" i="4" s="1"/>
  <c r="D29" i="4"/>
  <c r="D82" i="4"/>
  <c r="E82" i="4" s="1"/>
  <c r="B88" i="22"/>
  <c r="E74" i="22" s="1"/>
  <c r="J98" i="22"/>
  <c r="K98" i="22" s="1"/>
  <c r="J108" i="22"/>
  <c r="K108" i="22" s="1"/>
  <c r="J96" i="22"/>
  <c r="C87" i="4"/>
  <c r="F72" i="4" s="1"/>
  <c r="D39" i="4"/>
  <c r="E39" i="4" s="1"/>
  <c r="D28" i="4"/>
  <c r="D38" i="4"/>
  <c r="E38" i="4" s="1"/>
  <c r="D75" i="4"/>
  <c r="E75" i="4" s="1"/>
  <c r="D31" i="4"/>
  <c r="E31" i="4" s="1"/>
  <c r="J103" i="22"/>
  <c r="Y83" i="4"/>
  <c r="Z83" i="4" s="1"/>
  <c r="C106" i="22"/>
  <c r="D106" i="22" s="1"/>
  <c r="J124" i="22"/>
  <c r="J118" i="22"/>
  <c r="C107" i="22"/>
  <c r="D107" i="22" s="1"/>
  <c r="C103" i="22"/>
  <c r="D102" i="22" s="1"/>
  <c r="C96" i="22"/>
  <c r="R84" i="4"/>
  <c r="S84" i="4" s="1"/>
  <c r="C95" i="22"/>
  <c r="F75" i="4"/>
  <c r="G75" i="4" s="1"/>
  <c r="AZ56" i="5" s="1"/>
  <c r="K9" i="4"/>
  <c r="L9" i="4" s="1"/>
  <c r="C108" i="22"/>
  <c r="D108" i="22" s="1"/>
  <c r="J120" i="22"/>
  <c r="K120" i="22" s="1"/>
  <c r="F73" i="4"/>
  <c r="G72" i="4" s="1"/>
  <c r="D9" i="9" s="1"/>
  <c r="I132" i="22"/>
  <c r="L124" i="22" s="1"/>
  <c r="D72" i="4"/>
  <c r="R14" i="4"/>
  <c r="K14" i="4"/>
  <c r="J117" i="22"/>
  <c r="D85" i="4"/>
  <c r="E85" i="4" s="1"/>
  <c r="J125" i="22"/>
  <c r="R9" i="4"/>
  <c r="S9" i="4" s="1"/>
  <c r="J130" i="22"/>
  <c r="K130" i="22" s="1"/>
  <c r="D83" i="4"/>
  <c r="E83" i="4" s="1"/>
  <c r="J128" i="22"/>
  <c r="K128" i="22" s="1"/>
  <c r="C59" i="22"/>
  <c r="C62" i="22"/>
  <c r="D62" i="22" s="1"/>
  <c r="J127" i="22"/>
  <c r="K127" i="22" s="1"/>
  <c r="Q63" i="22"/>
  <c r="R63" i="22" s="1"/>
  <c r="K7" i="4"/>
  <c r="L6" i="4" s="1"/>
  <c r="C32" i="22"/>
  <c r="D32" i="22" s="1"/>
  <c r="K16" i="4"/>
  <c r="L16" i="4" s="1"/>
  <c r="C36" i="22"/>
  <c r="C30" i="22"/>
  <c r="Q51" i="22"/>
  <c r="C63" i="22"/>
  <c r="D63" i="22" s="1"/>
  <c r="B44" i="22"/>
  <c r="E36" i="22" s="1"/>
  <c r="Q54" i="22"/>
  <c r="R54" i="22" s="1"/>
  <c r="C40" i="22"/>
  <c r="D40" i="22" s="1"/>
  <c r="J21" i="4"/>
  <c r="M6" i="4" s="1"/>
  <c r="Q59" i="22"/>
  <c r="Q58" i="22"/>
  <c r="Q52" i="22"/>
  <c r="K18" i="4"/>
  <c r="L18" i="4" s="1"/>
  <c r="K79" i="4"/>
  <c r="Q61" i="22"/>
  <c r="R61" i="22" s="1"/>
  <c r="J42" i="22"/>
  <c r="K42" i="22" s="1"/>
  <c r="K17" i="4"/>
  <c r="L17" i="4" s="1"/>
  <c r="Q64" i="22"/>
  <c r="R64" i="22" s="1"/>
  <c r="P66" i="22"/>
  <c r="S58" i="22" s="1"/>
  <c r="K13" i="4"/>
  <c r="K75" i="4"/>
  <c r="L75" i="4" s="1"/>
  <c r="C6" i="22"/>
  <c r="D6" i="22" s="1"/>
  <c r="Y72" i="4"/>
  <c r="Y77" i="4"/>
  <c r="Y73" i="4"/>
  <c r="Y85" i="4"/>
  <c r="Z85" i="4" s="1"/>
  <c r="X59" i="22"/>
  <c r="X56" i="22"/>
  <c r="X51" i="22"/>
  <c r="X87" i="4"/>
  <c r="AA76" i="4" s="1"/>
  <c r="X76" i="22"/>
  <c r="Y75" i="4"/>
  <c r="Y10" i="4"/>
  <c r="Y17" i="4"/>
  <c r="Z17" i="4" s="1"/>
  <c r="X64" i="22"/>
  <c r="Y64" i="22" s="1"/>
  <c r="X52" i="22"/>
  <c r="X58" i="22"/>
  <c r="W66" i="22"/>
  <c r="Z55" i="22" s="1"/>
  <c r="X61" i="22"/>
  <c r="Y61" i="22" s="1"/>
  <c r="Y76" i="4"/>
  <c r="Y80" i="4"/>
  <c r="X54" i="22"/>
  <c r="X55" i="22"/>
  <c r="X63" i="22"/>
  <c r="Y63" i="22" s="1"/>
  <c r="X16" i="22"/>
  <c r="Y16" i="22" s="1"/>
  <c r="X74" i="22"/>
  <c r="Y73" i="22" s="1"/>
  <c r="Y79" i="4"/>
  <c r="Y84" i="4"/>
  <c r="Z84" i="4" s="1"/>
  <c r="Y35" i="4"/>
  <c r="Y16" i="4"/>
  <c r="Z16" i="4" s="1"/>
  <c r="J64" i="22"/>
  <c r="K64" i="22" s="1"/>
  <c r="Q6" i="22"/>
  <c r="Q17" i="22"/>
  <c r="R17" i="22" s="1"/>
  <c r="J41" i="22"/>
  <c r="K41" i="22" s="1"/>
  <c r="C18" i="22"/>
  <c r="D18" i="22" s="1"/>
  <c r="K80" i="4"/>
  <c r="C85" i="22"/>
  <c r="D85" i="22" s="1"/>
  <c r="C80" i="22"/>
  <c r="Q13" i="22"/>
  <c r="J30" i="22"/>
  <c r="J37" i="22"/>
  <c r="C86" i="22"/>
  <c r="D86" i="22" s="1"/>
  <c r="Q7" i="22"/>
  <c r="Q14" i="22"/>
  <c r="Q16" i="22"/>
  <c r="R16" i="22" s="1"/>
  <c r="Y36" i="4"/>
  <c r="C84" i="22"/>
  <c r="D84" i="22" s="1"/>
  <c r="P21" i="22"/>
  <c r="S14" i="22" s="1"/>
  <c r="Y38" i="4"/>
  <c r="Z38" i="4" s="1"/>
  <c r="X117" i="22"/>
  <c r="C9" i="22"/>
  <c r="D9" i="22" s="1"/>
  <c r="C19" i="22"/>
  <c r="D19" i="22" s="1"/>
  <c r="C73" i="22"/>
  <c r="J32" i="22"/>
  <c r="K32" i="22" s="1"/>
  <c r="J36" i="22"/>
  <c r="C74" i="22"/>
  <c r="Q19" i="22"/>
  <c r="R19" i="22" s="1"/>
  <c r="Q9" i="22"/>
  <c r="R9" i="22" s="1"/>
  <c r="Q29" i="22"/>
  <c r="Q42" i="22"/>
  <c r="R42" i="22" s="1"/>
  <c r="P44" i="22"/>
  <c r="Q37" i="22"/>
  <c r="Q30" i="22"/>
  <c r="Q39" i="22"/>
  <c r="R39" i="22" s="1"/>
  <c r="Q32" i="22"/>
  <c r="R32" i="22" s="1"/>
  <c r="Q41" i="22"/>
  <c r="R41" i="22" s="1"/>
  <c r="R35" i="4"/>
  <c r="S35" i="4" s="1"/>
  <c r="R31" i="4"/>
  <c r="S31" i="4" s="1"/>
  <c r="Q43" i="4"/>
  <c r="R40" i="4"/>
  <c r="S40" i="4" s="1"/>
  <c r="R16" i="4"/>
  <c r="S16" i="4" s="1"/>
  <c r="R19" i="4"/>
  <c r="S19" i="4" s="1"/>
  <c r="R18" i="4"/>
  <c r="S18" i="4" s="1"/>
  <c r="Q21" i="4"/>
  <c r="J87" i="4"/>
  <c r="K72" i="4"/>
  <c r="C51" i="22"/>
  <c r="C54" i="22"/>
  <c r="D54" i="22" s="1"/>
  <c r="B66" i="22"/>
  <c r="C52" i="22"/>
  <c r="C58" i="22"/>
  <c r="C41" i="22"/>
  <c r="D41" i="22" s="1"/>
  <c r="C37" i="22"/>
  <c r="R39" i="4"/>
  <c r="S39" i="4" s="1"/>
  <c r="R17" i="4"/>
  <c r="S17" i="4" s="1"/>
  <c r="R13" i="4"/>
  <c r="R29" i="4"/>
  <c r="R57" i="4"/>
  <c r="C124" i="22"/>
  <c r="K84" i="4"/>
  <c r="L84" i="4" s="1"/>
  <c r="X17" i="22"/>
  <c r="Y17" i="22" s="1"/>
  <c r="R41" i="4"/>
  <c r="S41" i="4" s="1"/>
  <c r="X128" i="22"/>
  <c r="Y128" i="22" s="1"/>
  <c r="K62" i="4"/>
  <c r="L62" i="4" s="1"/>
  <c r="R28" i="4"/>
  <c r="S28" i="4" s="1"/>
  <c r="Y39" i="4"/>
  <c r="Z39" i="4" s="1"/>
  <c r="K50" i="4"/>
  <c r="Y41" i="4"/>
  <c r="Z41" i="4" s="1"/>
  <c r="C118" i="22"/>
  <c r="K85" i="4"/>
  <c r="L85" i="4" s="1"/>
  <c r="C128" i="22"/>
  <c r="D128" i="22" s="1"/>
  <c r="R63" i="4"/>
  <c r="S63" i="4" s="1"/>
  <c r="C125" i="22"/>
  <c r="Y28" i="4"/>
  <c r="R6" i="4"/>
  <c r="S6" i="4" s="1"/>
  <c r="Q36" i="22"/>
  <c r="R51" i="4"/>
  <c r="C42" i="22"/>
  <c r="D42" i="22" s="1"/>
  <c r="C29" i="22"/>
  <c r="K63" i="4"/>
  <c r="L63" i="4" s="1"/>
  <c r="K82" i="4"/>
  <c r="L82" i="4" s="1"/>
  <c r="K73" i="4"/>
  <c r="Y29" i="4"/>
  <c r="C129" i="22"/>
  <c r="D129" i="22" s="1"/>
  <c r="R38" i="4"/>
  <c r="S38" i="4" s="1"/>
  <c r="Q40" i="22"/>
  <c r="R40" i="22" s="1"/>
  <c r="C61" i="22"/>
  <c r="D61" i="22" s="1"/>
  <c r="X34" i="22"/>
  <c r="W44" i="22"/>
  <c r="X42" i="22"/>
  <c r="Y42" i="22" s="1"/>
  <c r="X36" i="22"/>
  <c r="X40" i="22"/>
  <c r="Y40" i="22" s="1"/>
  <c r="X29" i="22"/>
  <c r="X33" i="22"/>
  <c r="X39" i="22"/>
  <c r="Y39" i="22" s="1"/>
  <c r="X30" i="22"/>
  <c r="X37" i="22"/>
  <c r="J74" i="22"/>
  <c r="J73" i="22"/>
  <c r="J76" i="22"/>
  <c r="K76" i="22" s="1"/>
  <c r="I88" i="22"/>
  <c r="J83" i="22"/>
  <c r="K83" i="22" s="1"/>
  <c r="Y63" i="4"/>
  <c r="Z63" i="4" s="1"/>
  <c r="Y62" i="4"/>
  <c r="Z62" i="4" s="1"/>
  <c r="X65" i="4"/>
  <c r="Y60" i="4"/>
  <c r="Z60" i="4" s="1"/>
  <c r="Y51" i="4"/>
  <c r="Y50" i="4"/>
  <c r="Y55" i="4"/>
  <c r="Y53" i="4"/>
  <c r="Y58" i="4"/>
  <c r="Y57" i="4"/>
  <c r="Y61" i="4"/>
  <c r="Z61" i="4" s="1"/>
  <c r="Y54" i="4"/>
  <c r="P110" i="22"/>
  <c r="Q103" i="22"/>
  <c r="Q96" i="22"/>
  <c r="Q105" i="22"/>
  <c r="R105" i="22" s="1"/>
  <c r="Q95" i="22"/>
  <c r="Q108" i="22"/>
  <c r="R108" i="22" s="1"/>
  <c r="Q106" i="22"/>
  <c r="R106" i="22" s="1"/>
  <c r="Q102" i="22"/>
  <c r="Q107" i="22"/>
  <c r="R107" i="22" s="1"/>
  <c r="Q98" i="22"/>
  <c r="R98" i="22" s="1"/>
  <c r="D18" i="4"/>
  <c r="E18" i="4" s="1"/>
  <c r="D17" i="4"/>
  <c r="E17" i="4" s="1"/>
  <c r="D19" i="4"/>
  <c r="E19" i="4" s="1"/>
  <c r="D9" i="4"/>
  <c r="E9" i="4" s="1"/>
  <c r="D13" i="4"/>
  <c r="C21" i="4"/>
  <c r="C65" i="4"/>
  <c r="D50" i="4"/>
  <c r="D62" i="4"/>
  <c r="E62" i="4" s="1"/>
  <c r="D58" i="4"/>
  <c r="D63" i="4"/>
  <c r="E63" i="4" s="1"/>
  <c r="D61" i="4"/>
  <c r="E61" i="4" s="1"/>
  <c r="D60" i="4"/>
  <c r="E60" i="4" s="1"/>
  <c r="D51" i="4"/>
  <c r="D57" i="4"/>
  <c r="X124" i="22"/>
  <c r="X121" i="22"/>
  <c r="X125" i="22"/>
  <c r="X122" i="22"/>
  <c r="W132" i="22"/>
  <c r="K53" i="4"/>
  <c r="L53" i="4" s="1"/>
  <c r="J65" i="4"/>
  <c r="K51" i="4"/>
  <c r="K61" i="4"/>
  <c r="L61" i="4" s="1"/>
  <c r="K58" i="4"/>
  <c r="L57" i="4" s="1"/>
  <c r="X7" i="22"/>
  <c r="X18" i="22"/>
  <c r="Y18" i="22" s="1"/>
  <c r="X10" i="22"/>
  <c r="X13" i="22"/>
  <c r="X6" i="22"/>
  <c r="X14" i="22"/>
  <c r="X11" i="22"/>
  <c r="W21" i="22"/>
  <c r="C14" i="22"/>
  <c r="C16" i="22"/>
  <c r="D16" i="22" s="1"/>
  <c r="C13" i="22"/>
  <c r="B21" i="22"/>
  <c r="C17" i="22"/>
  <c r="D17" i="22" s="1"/>
  <c r="R85" i="4"/>
  <c r="S85" i="4" s="1"/>
  <c r="R75" i="4"/>
  <c r="S75" i="4" s="1"/>
  <c r="R79" i="4"/>
  <c r="R82" i="4"/>
  <c r="S82" i="4" s="1"/>
  <c r="Q87" i="4"/>
  <c r="R83" i="4"/>
  <c r="S83" i="4" s="1"/>
  <c r="R80" i="4"/>
  <c r="X43" i="4"/>
  <c r="Y40" i="4"/>
  <c r="Z40" i="4" s="1"/>
  <c r="Y32" i="4"/>
  <c r="Y31" i="4"/>
  <c r="X41" i="22"/>
  <c r="Y41" i="22" s="1"/>
  <c r="X32" i="22"/>
  <c r="X103" i="22"/>
  <c r="J85" i="22"/>
  <c r="K85" i="22" s="1"/>
  <c r="X107" i="22"/>
  <c r="Y107" i="22" s="1"/>
  <c r="X108" i="22"/>
  <c r="Y108" i="22" s="1"/>
  <c r="K60" i="4"/>
  <c r="L60" i="4" s="1"/>
  <c r="X120" i="22"/>
  <c r="J80" i="22"/>
  <c r="X118" i="22"/>
  <c r="J61" i="22"/>
  <c r="K61" i="22" s="1"/>
  <c r="J59" i="22"/>
  <c r="K58" i="22" s="1"/>
  <c r="X9" i="22"/>
  <c r="R73" i="4"/>
  <c r="S72" i="4" s="1"/>
  <c r="D53" i="4"/>
  <c r="E53" i="4" s="1"/>
  <c r="J81" i="22"/>
  <c r="K41" i="4"/>
  <c r="L41" i="4" s="1"/>
  <c r="K36" i="4"/>
  <c r="K29" i="4"/>
  <c r="K28" i="4"/>
  <c r="J43" i="4"/>
  <c r="K38" i="4"/>
  <c r="L38" i="4" s="1"/>
  <c r="K39" i="4"/>
  <c r="L39" i="4" s="1"/>
  <c r="K35" i="4"/>
  <c r="K40" i="4"/>
  <c r="L40" i="4" s="1"/>
  <c r="Q118" i="22"/>
  <c r="Q117" i="22"/>
  <c r="Q129" i="22"/>
  <c r="R129" i="22" s="1"/>
  <c r="Q130" i="22"/>
  <c r="R130" i="22" s="1"/>
  <c r="P132" i="22"/>
  <c r="Q127" i="22"/>
  <c r="R127" i="22" s="1"/>
  <c r="Q124" i="22"/>
  <c r="Q128" i="22"/>
  <c r="R128" i="22" s="1"/>
  <c r="Q125" i="22"/>
  <c r="I66" i="22"/>
  <c r="J62" i="22"/>
  <c r="K62" i="22" s="1"/>
  <c r="J51" i="22"/>
  <c r="J54" i="22"/>
  <c r="K54" i="22" s="1"/>
  <c r="J52" i="22"/>
  <c r="X21" i="4"/>
  <c r="Y9" i="4"/>
  <c r="Y11" i="4"/>
  <c r="Y7" i="4"/>
  <c r="Y6" i="4"/>
  <c r="Y19" i="4"/>
  <c r="Z19" i="4" s="1"/>
  <c r="X99" i="22"/>
  <c r="X106" i="22"/>
  <c r="Y106" i="22" s="1"/>
  <c r="X96" i="22"/>
  <c r="W110" i="22"/>
  <c r="X102" i="22"/>
  <c r="X100" i="22"/>
  <c r="X105" i="22"/>
  <c r="Y105" i="22" s="1"/>
  <c r="X95" i="22"/>
  <c r="Q80" i="22"/>
  <c r="Q84" i="22"/>
  <c r="R84" i="22" s="1"/>
  <c r="Q85" i="22"/>
  <c r="R85" i="22" s="1"/>
  <c r="Q81" i="22"/>
  <c r="Q74" i="22"/>
  <c r="Q73" i="22"/>
  <c r="Q83" i="22"/>
  <c r="R83" i="22" s="1"/>
  <c r="Q86" i="22"/>
  <c r="R86" i="22" s="1"/>
  <c r="P88" i="22"/>
  <c r="J18" i="22"/>
  <c r="K18" i="22" s="1"/>
  <c r="J6" i="22"/>
  <c r="I21" i="22"/>
  <c r="J9" i="22"/>
  <c r="K9" i="22" s="1"/>
  <c r="J19" i="22"/>
  <c r="K19" i="22" s="1"/>
  <c r="J16" i="22"/>
  <c r="K16" i="22" s="1"/>
  <c r="J17" i="22"/>
  <c r="K17" i="22" s="1"/>
  <c r="J7" i="22"/>
  <c r="J14" i="22"/>
  <c r="C120" i="22"/>
  <c r="D120" i="22" s="1"/>
  <c r="B132" i="22"/>
  <c r="C117" i="22"/>
  <c r="R53" i="4"/>
  <c r="S53" i="4" s="1"/>
  <c r="R50" i="4"/>
  <c r="Q65" i="4"/>
  <c r="R58" i="4"/>
  <c r="R60" i="4"/>
  <c r="S60" i="4" s="1"/>
  <c r="X85" i="22"/>
  <c r="Y85" i="22" s="1"/>
  <c r="X78" i="22"/>
  <c r="X77" i="22"/>
  <c r="X86" i="22"/>
  <c r="Y86" i="22" s="1"/>
  <c r="X80" i="22"/>
  <c r="W88" i="22"/>
  <c r="X84" i="22"/>
  <c r="Y84" i="22" s="1"/>
  <c r="X81" i="22"/>
  <c r="X83" i="22"/>
  <c r="Y83" i="22" s="1"/>
  <c r="J86" i="22"/>
  <c r="K86" i="22" s="1"/>
  <c r="K31" i="4"/>
  <c r="L31" i="4" s="1"/>
  <c r="Q120" i="22"/>
  <c r="R120" i="22" s="1"/>
  <c r="D7" i="4"/>
  <c r="X129" i="22"/>
  <c r="Y129" i="22" s="1"/>
  <c r="J13" i="22"/>
  <c r="Q76" i="22"/>
  <c r="R76" i="22" s="1"/>
  <c r="D6" i="4"/>
  <c r="C127" i="22"/>
  <c r="D127" i="22" s="1"/>
  <c r="J63" i="22"/>
  <c r="K63" i="22" s="1"/>
  <c r="R61" i="4"/>
  <c r="S61" i="4" s="1"/>
  <c r="Y14" i="4"/>
  <c r="X127" i="22"/>
  <c r="Y127" i="22" s="1"/>
  <c r="J84" i="22"/>
  <c r="K84" i="22" s="1"/>
  <c r="Y13" i="4"/>
  <c r="E28" i="4" l="1"/>
  <c r="E80" i="22"/>
  <c r="R51" i="22"/>
  <c r="L95" i="22"/>
  <c r="F7" i="9"/>
  <c r="F35" i="4"/>
  <c r="E81" i="22"/>
  <c r="F29" i="4"/>
  <c r="F28" i="4"/>
  <c r="F36" i="4"/>
  <c r="K95" i="22"/>
  <c r="R29" i="22"/>
  <c r="E72" i="4"/>
  <c r="E79" i="4"/>
  <c r="K102" i="22"/>
  <c r="L102" i="22"/>
  <c r="M102" i="22" s="1"/>
  <c r="D80" i="22"/>
  <c r="E13" i="4"/>
  <c r="E73" i="22"/>
  <c r="F73" i="22" s="1"/>
  <c r="AZ55" i="7" s="1"/>
  <c r="E35" i="4"/>
  <c r="L96" i="22"/>
  <c r="L98" i="22"/>
  <c r="M98" i="22" s="1"/>
  <c r="F15" i="10" s="1"/>
  <c r="AZ72" i="7"/>
  <c r="E102" i="22"/>
  <c r="E76" i="22"/>
  <c r="F76" i="22" s="1"/>
  <c r="F14" i="9" s="1"/>
  <c r="F79" i="4"/>
  <c r="F80" i="4"/>
  <c r="K29" i="22"/>
  <c r="D95" i="22"/>
  <c r="D29" i="22"/>
  <c r="S13" i="4"/>
  <c r="E96" i="22"/>
  <c r="E95" i="22"/>
  <c r="L29" i="22"/>
  <c r="M29" i="22" s="1"/>
  <c r="E103" i="22"/>
  <c r="Y6" i="22"/>
  <c r="L36" i="22"/>
  <c r="L32" i="22"/>
  <c r="M32" i="22" s="1"/>
  <c r="F12" i="10" s="1"/>
  <c r="L37" i="22"/>
  <c r="D58" i="22"/>
  <c r="K117" i="22"/>
  <c r="K124" i="22"/>
  <c r="S54" i="22"/>
  <c r="T54" i="22" s="1"/>
  <c r="F13" i="11" s="1"/>
  <c r="L117" i="22"/>
  <c r="L120" i="22"/>
  <c r="M120" i="22" s="1"/>
  <c r="BA88" i="7" s="1"/>
  <c r="E32" i="22"/>
  <c r="F32" i="22" s="1"/>
  <c r="F12" i="9" s="1"/>
  <c r="AZ55" i="5"/>
  <c r="E37" i="22"/>
  <c r="F36" i="22" s="1"/>
  <c r="AZ25" i="7" s="1"/>
  <c r="F9" i="9"/>
  <c r="S9" i="22"/>
  <c r="T9" i="22" s="1"/>
  <c r="BB8" i="7" s="1"/>
  <c r="D36" i="22"/>
  <c r="S13" i="22"/>
  <c r="T13" i="22" s="1"/>
  <c r="H11" i="11" s="1"/>
  <c r="K13" i="22"/>
  <c r="L79" i="4"/>
  <c r="L13" i="4"/>
  <c r="L118" i="22"/>
  <c r="L125" i="22"/>
  <c r="M124" i="22" s="1"/>
  <c r="M7" i="4"/>
  <c r="N6" i="4" s="1"/>
  <c r="D5" i="10" s="1"/>
  <c r="M13" i="4"/>
  <c r="M14" i="4"/>
  <c r="R58" i="22"/>
  <c r="E30" i="22"/>
  <c r="E29" i="22"/>
  <c r="D117" i="22"/>
  <c r="M9" i="4"/>
  <c r="N9" i="4" s="1"/>
  <c r="F5" i="10" s="1"/>
  <c r="L50" i="4"/>
  <c r="R102" i="22"/>
  <c r="S7" i="22"/>
  <c r="K36" i="22"/>
  <c r="R13" i="22"/>
  <c r="S51" i="22"/>
  <c r="S52" i="22"/>
  <c r="D13" i="22"/>
  <c r="S59" i="22"/>
  <c r="T58" i="22" s="1"/>
  <c r="S6" i="22"/>
  <c r="Z72" i="4"/>
  <c r="Z75" i="4"/>
  <c r="Z35" i="4"/>
  <c r="Y51" i="22"/>
  <c r="AA75" i="4"/>
  <c r="Y58" i="22"/>
  <c r="AA73" i="4"/>
  <c r="AA79" i="4"/>
  <c r="AA72" i="4"/>
  <c r="Z59" i="22"/>
  <c r="AA80" i="4"/>
  <c r="Z54" i="22"/>
  <c r="AA77" i="4"/>
  <c r="Z58" i="22"/>
  <c r="Z79" i="4"/>
  <c r="Y54" i="22"/>
  <c r="Z13" i="4"/>
  <c r="Y117" i="22"/>
  <c r="Z51" i="22"/>
  <c r="Z52" i="22"/>
  <c r="Z56" i="22"/>
  <c r="Y29" i="22"/>
  <c r="Z28" i="4"/>
  <c r="Y76" i="22"/>
  <c r="Y32" i="22"/>
  <c r="L72" i="4"/>
  <c r="S57" i="4"/>
  <c r="Z9" i="4"/>
  <c r="R36" i="22"/>
  <c r="D51" i="22"/>
  <c r="D73" i="22"/>
  <c r="R6" i="22"/>
  <c r="E52" i="22"/>
  <c r="E51" i="22"/>
  <c r="E54" i="22"/>
  <c r="F54" i="22" s="1"/>
  <c r="E59" i="22"/>
  <c r="E58" i="22"/>
  <c r="M80" i="4"/>
  <c r="M79" i="4"/>
  <c r="M72" i="4"/>
  <c r="M75" i="4"/>
  <c r="N75" i="4" s="1"/>
  <c r="M73" i="4"/>
  <c r="T35" i="4"/>
  <c r="T28" i="4"/>
  <c r="T29" i="4"/>
  <c r="T36" i="4"/>
  <c r="T31" i="4"/>
  <c r="U31" i="4" s="1"/>
  <c r="S30" i="22"/>
  <c r="S32" i="22"/>
  <c r="T32" i="22" s="1"/>
  <c r="S36" i="22"/>
  <c r="S37" i="22"/>
  <c r="S29" i="22"/>
  <c r="T6" i="4"/>
  <c r="T14" i="4"/>
  <c r="T13" i="4"/>
  <c r="T9" i="4"/>
  <c r="U9" i="4" s="1"/>
  <c r="T7" i="4"/>
  <c r="D124" i="22"/>
  <c r="E6" i="4"/>
  <c r="S50" i="4"/>
  <c r="Y98" i="22"/>
  <c r="R117" i="22"/>
  <c r="Y120" i="22"/>
  <c r="K6" i="22"/>
  <c r="R124" i="22"/>
  <c r="L51" i="22"/>
  <c r="L54" i="22"/>
  <c r="M54" i="22" s="1"/>
  <c r="L52" i="22"/>
  <c r="L58" i="22"/>
  <c r="L59" i="22"/>
  <c r="M35" i="4"/>
  <c r="M29" i="4"/>
  <c r="M36" i="4"/>
  <c r="M28" i="4"/>
  <c r="M31" i="4"/>
  <c r="N31" i="4" s="1"/>
  <c r="Z33" i="22"/>
  <c r="Z37" i="22"/>
  <c r="Z36" i="22"/>
  <c r="Z30" i="22"/>
  <c r="Z29" i="22"/>
  <c r="Z34" i="22"/>
  <c r="Z32" i="22"/>
  <c r="T51" i="4"/>
  <c r="T53" i="4"/>
  <c r="U53" i="4" s="1"/>
  <c r="T50" i="4"/>
  <c r="T58" i="4"/>
  <c r="T57" i="4"/>
  <c r="S74" i="22"/>
  <c r="S73" i="22"/>
  <c r="S81" i="22"/>
  <c r="S80" i="22"/>
  <c r="S76" i="22"/>
  <c r="T76" i="22" s="1"/>
  <c r="AA7" i="4"/>
  <c r="AA11" i="4"/>
  <c r="AA6" i="4"/>
  <c r="AA10" i="4"/>
  <c r="AA9" i="4"/>
  <c r="AA13" i="4"/>
  <c r="AA14" i="4"/>
  <c r="F13" i="4"/>
  <c r="F14" i="4"/>
  <c r="F7" i="4"/>
  <c r="F9" i="4"/>
  <c r="G9" i="4" s="1"/>
  <c r="F6" i="4"/>
  <c r="L7" i="22"/>
  <c r="L14" i="22"/>
  <c r="L6" i="22"/>
  <c r="L9" i="22"/>
  <c r="M9" i="22" s="1"/>
  <c r="BA8" i="7" s="1"/>
  <c r="L13" i="22"/>
  <c r="Z96" i="22"/>
  <c r="Z100" i="22"/>
  <c r="Z98" i="22"/>
  <c r="Z99" i="22"/>
  <c r="Z95" i="22"/>
  <c r="Z102" i="22"/>
  <c r="Z103" i="22"/>
  <c r="Z80" i="22"/>
  <c r="Z78" i="22"/>
  <c r="Z77" i="22"/>
  <c r="Z81" i="22"/>
  <c r="Z76" i="22"/>
  <c r="Z73" i="22"/>
  <c r="Z74" i="22"/>
  <c r="E120" i="22"/>
  <c r="F120" i="22" s="1"/>
  <c r="E124" i="22"/>
  <c r="E118" i="22"/>
  <c r="E125" i="22"/>
  <c r="E117" i="22"/>
  <c r="S125" i="22"/>
  <c r="S124" i="22"/>
  <c r="S117" i="22"/>
  <c r="S118" i="22"/>
  <c r="S120" i="22"/>
  <c r="T120" i="22" s="1"/>
  <c r="AA32" i="4"/>
  <c r="AA31" i="4"/>
  <c r="AA35" i="4"/>
  <c r="AA28" i="4"/>
  <c r="AA36" i="4"/>
  <c r="AA33" i="4"/>
  <c r="AA29" i="4"/>
  <c r="M51" i="4"/>
  <c r="M53" i="4"/>
  <c r="N53" i="4" s="1"/>
  <c r="M50" i="4"/>
  <c r="M57" i="4"/>
  <c r="M58" i="4"/>
  <c r="Z120" i="22"/>
  <c r="Z122" i="22"/>
  <c r="Z121" i="22"/>
  <c r="Z125" i="22"/>
  <c r="Z118" i="22"/>
  <c r="Z124" i="22"/>
  <c r="Z117" i="22"/>
  <c r="L74" i="22"/>
  <c r="L73" i="22"/>
  <c r="L76" i="22"/>
  <c r="M76" i="22" s="1"/>
  <c r="L81" i="22"/>
  <c r="L80" i="22"/>
  <c r="Z50" i="4"/>
  <c r="K73" i="22"/>
  <c r="Y80" i="22"/>
  <c r="R73" i="22"/>
  <c r="Y95" i="22"/>
  <c r="K51" i="22"/>
  <c r="Y102" i="22"/>
  <c r="L35" i="4"/>
  <c r="L28" i="4"/>
  <c r="Y9" i="22"/>
  <c r="Y124" i="22"/>
  <c r="E50" i="4"/>
  <c r="Z53" i="4"/>
  <c r="T80" i="4"/>
  <c r="T79" i="4"/>
  <c r="T75" i="4"/>
  <c r="U75" i="4" s="1"/>
  <c r="T73" i="4"/>
  <c r="T72" i="4"/>
  <c r="E9" i="22"/>
  <c r="F9" i="22" s="1"/>
  <c r="AZ8" i="7" s="1"/>
  <c r="E6" i="22"/>
  <c r="E13" i="22"/>
  <c r="E7" i="22"/>
  <c r="E14" i="22"/>
  <c r="Z11" i="22"/>
  <c r="Z10" i="22"/>
  <c r="Z7" i="22"/>
  <c r="Z6" i="22"/>
  <c r="Z13" i="22"/>
  <c r="Z14" i="22"/>
  <c r="Z9" i="22"/>
  <c r="F57" i="4"/>
  <c r="F58" i="4"/>
  <c r="F50" i="4"/>
  <c r="F51" i="4"/>
  <c r="F53" i="4"/>
  <c r="G53" i="4" s="1"/>
  <c r="S98" i="22"/>
  <c r="T98" i="22" s="1"/>
  <c r="S96" i="22"/>
  <c r="S103" i="22"/>
  <c r="S95" i="22"/>
  <c r="S102" i="22"/>
  <c r="AA51" i="4"/>
  <c r="AA50" i="4"/>
  <c r="AA57" i="4"/>
  <c r="AA58" i="4"/>
  <c r="AA55" i="4"/>
  <c r="AA53" i="4"/>
  <c r="AA54" i="4"/>
  <c r="R80" i="22"/>
  <c r="Z6" i="4"/>
  <c r="Z57" i="4"/>
  <c r="K80" i="22"/>
  <c r="Z31" i="4"/>
  <c r="S79" i="4"/>
  <c r="Y13" i="22"/>
  <c r="E57" i="4"/>
  <c r="R95" i="22"/>
  <c r="Y36" i="22"/>
  <c r="F80" i="22" l="1"/>
  <c r="AZ57" i="7" s="1"/>
  <c r="G35" i="4"/>
  <c r="AZ25" i="5" s="1"/>
  <c r="U6" i="4"/>
  <c r="BB7" i="5" s="1"/>
  <c r="M95" i="22"/>
  <c r="D15" i="10" s="1"/>
  <c r="G28" i="4"/>
  <c r="D7" i="9" s="1"/>
  <c r="T29" i="22"/>
  <c r="BB23" i="7" s="1"/>
  <c r="AA95" i="22"/>
  <c r="D15" i="12" s="1"/>
  <c r="AA58" i="22"/>
  <c r="BC41" i="7" s="1"/>
  <c r="BA72" i="7"/>
  <c r="D14" i="9"/>
  <c r="G79" i="4"/>
  <c r="AZ57" i="5" s="1"/>
  <c r="F102" i="22"/>
  <c r="H15" i="9" s="1"/>
  <c r="BA24" i="7"/>
  <c r="BA7" i="5"/>
  <c r="M36" i="22"/>
  <c r="H12" i="10" s="1"/>
  <c r="AZ56" i="7"/>
  <c r="BB9" i="7"/>
  <c r="F16" i="10"/>
  <c r="F95" i="22"/>
  <c r="D15" i="9" s="1"/>
  <c r="BA8" i="5"/>
  <c r="BB40" i="7"/>
  <c r="M117" i="22"/>
  <c r="BA87" i="7" s="1"/>
  <c r="N13" i="4"/>
  <c r="BA9" i="5" s="1"/>
  <c r="AZ24" i="7"/>
  <c r="T117" i="22"/>
  <c r="D16" i="11" s="1"/>
  <c r="AA98" i="22"/>
  <c r="BC72" i="7" s="1"/>
  <c r="AA76" i="22"/>
  <c r="F14" i="12" s="1"/>
  <c r="AA54" i="22"/>
  <c r="F13" i="12" s="1"/>
  <c r="AB53" i="4"/>
  <c r="BC40" i="5" s="1"/>
  <c r="AA120" i="22"/>
  <c r="F16" i="12" s="1"/>
  <c r="AB75" i="4"/>
  <c r="F9" i="12" s="1"/>
  <c r="H16" i="10"/>
  <c r="BA89" i="7"/>
  <c r="H12" i="9"/>
  <c r="M13" i="22"/>
  <c r="H11" i="10" s="1"/>
  <c r="U50" i="4"/>
  <c r="D8" i="11" s="1"/>
  <c r="F29" i="22"/>
  <c r="N50" i="4"/>
  <c r="BA39" i="5" s="1"/>
  <c r="M58" i="22"/>
  <c r="BA41" i="7" s="1"/>
  <c r="T6" i="22"/>
  <c r="T51" i="22"/>
  <c r="AA32" i="22"/>
  <c r="F12" i="12" s="1"/>
  <c r="AB79" i="4"/>
  <c r="H9" i="12" s="1"/>
  <c r="AB72" i="4"/>
  <c r="D9" i="12" s="1"/>
  <c r="AA51" i="22"/>
  <c r="AB31" i="4"/>
  <c r="BC24" i="5" s="1"/>
  <c r="AB9" i="4"/>
  <c r="F5" i="12" s="1"/>
  <c r="AA9" i="22"/>
  <c r="AA124" i="22"/>
  <c r="H16" i="12" s="1"/>
  <c r="U13" i="4"/>
  <c r="BB9" i="5" s="1"/>
  <c r="U35" i="4"/>
  <c r="BB25" i="5" s="1"/>
  <c r="N79" i="4"/>
  <c r="BA57" i="5" s="1"/>
  <c r="N72" i="4"/>
  <c r="H15" i="10"/>
  <c r="BA73" i="7"/>
  <c r="F7" i="11"/>
  <c r="BB24" i="5"/>
  <c r="AZ40" i="7"/>
  <c r="F13" i="9"/>
  <c r="BB8" i="5"/>
  <c r="F5" i="11"/>
  <c r="BB24" i="7"/>
  <c r="F12" i="11"/>
  <c r="F9" i="10"/>
  <c r="BA56" i="5"/>
  <c r="U72" i="4"/>
  <c r="D9" i="11" s="1"/>
  <c r="M80" i="22"/>
  <c r="H14" i="10" s="1"/>
  <c r="AB28" i="4"/>
  <c r="D7" i="12" s="1"/>
  <c r="AA80" i="22"/>
  <c r="BC57" i="7" s="1"/>
  <c r="T80" i="22"/>
  <c r="H14" i="11" s="1"/>
  <c r="U57" i="4"/>
  <c r="BB41" i="5" s="1"/>
  <c r="U28" i="4"/>
  <c r="F58" i="22"/>
  <c r="G50" i="4"/>
  <c r="D8" i="9" s="1"/>
  <c r="F13" i="22"/>
  <c r="H11" i="9" s="1"/>
  <c r="U79" i="4"/>
  <c r="H9" i="11" s="1"/>
  <c r="M73" i="22"/>
  <c r="D14" i="10" s="1"/>
  <c r="T124" i="22"/>
  <c r="BB89" i="7" s="1"/>
  <c r="AA73" i="22"/>
  <c r="D14" i="12" s="1"/>
  <c r="AA36" i="22"/>
  <c r="H12" i="12" s="1"/>
  <c r="T36" i="22"/>
  <c r="F51" i="22"/>
  <c r="F14" i="11"/>
  <c r="BB56" i="7"/>
  <c r="BB40" i="5"/>
  <c r="F8" i="11"/>
  <c r="F14" i="10"/>
  <c r="BA56" i="7"/>
  <c r="F5" i="9"/>
  <c r="AZ8" i="5"/>
  <c r="F8" i="9"/>
  <c r="AZ40" i="5"/>
  <c r="F16" i="9"/>
  <c r="AZ88" i="7"/>
  <c r="T73" i="22"/>
  <c r="AB57" i="4"/>
  <c r="T95" i="22"/>
  <c r="G57" i="4"/>
  <c r="AA6" i="22"/>
  <c r="AA117" i="22"/>
  <c r="N57" i="4"/>
  <c r="AB35" i="4"/>
  <c r="F117" i="22"/>
  <c r="G6" i="4"/>
  <c r="G13" i="4"/>
  <c r="AB13" i="4"/>
  <c r="AA29" i="22"/>
  <c r="N28" i="4"/>
  <c r="M51" i="22"/>
  <c r="F8" i="10"/>
  <c r="BA40" i="5"/>
  <c r="F9" i="11"/>
  <c r="BB56" i="5"/>
  <c r="H13" i="11"/>
  <c r="BB41" i="7"/>
  <c r="F15" i="11"/>
  <c r="BB72" i="7"/>
  <c r="D12" i="10"/>
  <c r="BA23" i="7"/>
  <c r="F16" i="11"/>
  <c r="BB88" i="7"/>
  <c r="F7" i="10"/>
  <c r="BA24" i="5"/>
  <c r="BA40" i="7"/>
  <c r="F13" i="10"/>
  <c r="AB50" i="4"/>
  <c r="T102" i="22"/>
  <c r="AA13" i="22"/>
  <c r="F6" i="22"/>
  <c r="F124" i="22"/>
  <c r="AA102" i="22"/>
  <c r="M6" i="22"/>
  <c r="AB6" i="4"/>
  <c r="N35" i="4"/>
  <c r="BC8" i="7" l="1"/>
  <c r="F11" i="12"/>
  <c r="H14" i="9"/>
  <c r="H7" i="9"/>
  <c r="D5" i="11"/>
  <c r="AZ23" i="5"/>
  <c r="BA71" i="7"/>
  <c r="H13" i="12"/>
  <c r="D12" i="11"/>
  <c r="BC71" i="7"/>
  <c r="H5" i="11"/>
  <c r="H9" i="9"/>
  <c r="BC40" i="7"/>
  <c r="AZ73" i="7"/>
  <c r="BA25" i="7"/>
  <c r="D16" i="10"/>
  <c r="AZ71" i="7"/>
  <c r="BA9" i="7"/>
  <c r="H5" i="10"/>
  <c r="BB87" i="7"/>
  <c r="BB57" i="5"/>
  <c r="F15" i="12"/>
  <c r="BC56" i="7"/>
  <c r="F8" i="12"/>
  <c r="BB39" i="5"/>
  <c r="H9" i="10"/>
  <c r="H13" i="10"/>
  <c r="BC88" i="7"/>
  <c r="BC56" i="5"/>
  <c r="D8" i="10"/>
  <c r="H7" i="11"/>
  <c r="H8" i="11"/>
  <c r="BA55" i="7"/>
  <c r="AZ23" i="7"/>
  <c r="D12" i="9"/>
  <c r="D13" i="11"/>
  <c r="BB39" i="7"/>
  <c r="BA57" i="7"/>
  <c r="BB7" i="7"/>
  <c r="D11" i="11"/>
  <c r="AZ9" i="7"/>
  <c r="BC55" i="5"/>
  <c r="BC57" i="5"/>
  <c r="BC24" i="7"/>
  <c r="F7" i="12"/>
  <c r="D13" i="12"/>
  <c r="BC39" i="7"/>
  <c r="BC89" i="7"/>
  <c r="H14" i="12"/>
  <c r="BC8" i="5"/>
  <c r="BC23" i="5"/>
  <c r="BC25" i="7"/>
  <c r="D9" i="10"/>
  <c r="BA55" i="5"/>
  <c r="BB55" i="5"/>
  <c r="D13" i="9"/>
  <c r="AZ39" i="7"/>
  <c r="D7" i="11"/>
  <c r="BB23" i="5"/>
  <c r="BB25" i="7"/>
  <c r="H12" i="11"/>
  <c r="H13" i="9"/>
  <c r="AZ41" i="7"/>
  <c r="H16" i="11"/>
  <c r="AZ39" i="5"/>
  <c r="BB57" i="7"/>
  <c r="BC55" i="7"/>
  <c r="BC7" i="7"/>
  <c r="D11" i="12"/>
  <c r="H7" i="10"/>
  <c r="BA25" i="5"/>
  <c r="D16" i="12"/>
  <c r="BC87" i="7"/>
  <c r="BC73" i="7"/>
  <c r="H15" i="12"/>
  <c r="H15" i="11"/>
  <c r="BB73" i="7"/>
  <c r="BA39" i="7"/>
  <c r="D13" i="10"/>
  <c r="AZ9" i="5"/>
  <c r="H5" i="9"/>
  <c r="BA41" i="5"/>
  <c r="H8" i="10"/>
  <c r="BB71" i="7"/>
  <c r="D15" i="11"/>
  <c r="BC7" i="5"/>
  <c r="D5" i="12"/>
  <c r="D11" i="9"/>
  <c r="AZ7" i="7"/>
  <c r="BC23" i="7"/>
  <c r="D12" i="12"/>
  <c r="AZ87" i="7"/>
  <c r="D16" i="9"/>
  <c r="D14" i="11"/>
  <c r="BB55" i="7"/>
  <c r="H16" i="9"/>
  <c r="AZ89" i="7"/>
  <c r="D8" i="12"/>
  <c r="BC39" i="5"/>
  <c r="D7" i="10"/>
  <c r="BA23" i="5"/>
  <c r="D5" i="9"/>
  <c r="AZ7" i="5"/>
  <c r="BC41" i="5"/>
  <c r="H8" i="12"/>
  <c r="D11" i="10"/>
  <c r="BA7" i="7"/>
  <c r="BC9" i="7"/>
  <c r="H11" i="12"/>
  <c r="H5" i="12"/>
  <c r="BC9" i="5"/>
  <c r="BC25" i="5"/>
  <c r="H7" i="12"/>
  <c r="H8" i="9"/>
  <c r="AZ41" i="5"/>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james.abbott</author>
  </authors>
  <commentList>
    <comment ref="D66" authorId="0" shapeId="0">
      <text>
        <r>
          <rPr>
            <b/>
            <sz val="9"/>
            <color indexed="81"/>
            <rFont val="Tahoma"/>
            <family val="2"/>
          </rPr>
          <t>james.abbott:</t>
        </r>
        <r>
          <rPr>
            <sz val="9"/>
            <color indexed="81"/>
            <rFont val="Tahoma"/>
            <family val="2"/>
          </rPr>
          <t xml:space="preserve">
Target approved as part of Q2 report, 14th November</t>
        </r>
      </text>
    </comment>
  </commentList>
</comments>
</file>

<file path=xl/sharedStrings.xml><?xml version="1.0" encoding="utf-8"?>
<sst xmlns="http://schemas.openxmlformats.org/spreadsheetml/2006/main" count="3528" uniqueCount="890">
  <si>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</si>
  <si>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</si>
  <si>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</si>
  <si>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</si>
  <si>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</si>
  <si>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</si>
  <si>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</si>
  <si>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</si>
  <si>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</si>
  <si>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</si>
  <si>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</si>
  <si>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</si>
  <si>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</si>
  <si>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</si>
  <si>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</si>
  <si>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</si>
  <si>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</si>
  <si>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</si>
  <si>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</si>
  <si>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</si>
  <si>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</si>
  <si>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</si>
  <si>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</si>
  <si>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</si>
  <si>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</si>
  <si>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</si>
  <si>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</si>
  <si>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</si>
  <si>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</si>
  <si>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</si>
  <si>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</si>
  <si>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</si>
  <si>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</si>
  <si>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</si>
  <si>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</si>
  <si>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</si>
  <si>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</si>
  <si>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</si>
  <si>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</si>
  <si>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</si>
  <si>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</si>
  <si>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End of year forecast as at end of Q1</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</si>
  <si>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</si>
  <si>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</si>
  <si>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</si>
  <si>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</si>
  <si>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</si>
  <si>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</si>
  <si>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</si>
  <si>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</si>
  <si>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</si>
  <si>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</si>
  <si>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</si>
  <si>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</si>
  <si>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</si>
  <si>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</si>
  <si>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</si>
  <si>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</si>
  <si>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</si>
  <si>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</si>
  <si>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</si>
  <si>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</si>
  <si>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</si>
  <si>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</si>
  <si>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</si>
  <si>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</si>
  <si>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</si>
  <si>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</si>
  <si>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</si>
  <si>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</si>
  <si>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</si>
  <si>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</si>
  <si>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</si>
  <si>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</si>
  <si>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</si>
  <si>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</si>
  <si>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</si>
  <si>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</si>
  <si>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</si>
  <si>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</si>
  <si>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</si>
  <si>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</si>
  <si>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</si>
  <si>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</si>
  <si>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</si>
  <si>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</si>
  <si>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</si>
  <si>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</si>
  <si>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</si>
  <si>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</si>
  <si>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</si>
  <si>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Programmes and Transformation</t>
  </si>
  <si>
    <t>Finance</t>
  </si>
  <si>
    <t>Cultural Services</t>
  </si>
  <si>
    <t xml:space="preserve">Minimum 70% Telephony team calls answered within 10 seconds </t>
  </si>
  <si>
    <t xml:space="preserve">Improve Finance awareness with Members  </t>
  </si>
  <si>
    <t>To continually improve the value for money of council services</t>
  </si>
  <si>
    <t>Deadline</t>
  </si>
  <si>
    <t>Team</t>
  </si>
  <si>
    <t>CULTURAL SERVICES</t>
  </si>
  <si>
    <t>Increasing staffing availability through reduced sickness</t>
  </si>
  <si>
    <t>Support  the preparation of Neighbourhood Plans</t>
  </si>
  <si>
    <t>CP order</t>
  </si>
  <si>
    <t>Mark Rizk</t>
  </si>
  <si>
    <t>Markets</t>
  </si>
  <si>
    <t>Sal Khan</t>
  </si>
  <si>
    <t>Environment</t>
  </si>
  <si>
    <t>Neighbourhood Working</t>
  </si>
  <si>
    <t>Enforcement</t>
  </si>
  <si>
    <t>Enterprise</t>
  </si>
  <si>
    <t>Planning</t>
  </si>
  <si>
    <t>ICT</t>
  </si>
  <si>
    <t>Neil Brown</t>
  </si>
  <si>
    <t>Simon Morgan</t>
  </si>
  <si>
    <t>Andy Mason</t>
  </si>
  <si>
    <t>Chloe Brown</t>
  </si>
  <si>
    <t>Paul Farrer</t>
  </si>
  <si>
    <t>Sarah Richardson</t>
  </si>
  <si>
    <t>Chris Ebberley</t>
  </si>
  <si>
    <t>Lisa Turner</t>
  </si>
  <si>
    <t>Nathan Gallagher</t>
  </si>
  <si>
    <t>Guy Thornhill</t>
  </si>
  <si>
    <t>Angela Wakefield</t>
  </si>
  <si>
    <t>Reporting Officer</t>
  </si>
  <si>
    <t>Linda McDonald</t>
  </si>
  <si>
    <t>Michael Hovers</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</si>
  <si>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</si>
  <si>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</si>
  <si>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</si>
  <si>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</si>
  <si>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</si>
  <si>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</si>
  <si>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</si>
  <si>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</si>
  <si>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</si>
  <si>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</si>
  <si>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</si>
  <si>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</si>
  <si>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</si>
  <si>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</si>
  <si>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</si>
  <si>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</si>
  <si>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</si>
  <si>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</si>
  <si>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</si>
  <si>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</si>
  <si>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</si>
  <si>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</si>
  <si>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</si>
  <si>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</si>
  <si>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</si>
  <si>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</si>
  <si>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</si>
  <si>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</si>
  <si>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</si>
  <si>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</si>
  <si>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</si>
  <si>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</si>
  <si>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</si>
  <si>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</si>
  <si>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</si>
  <si>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</si>
  <si>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</si>
  <si>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</si>
  <si>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</si>
  <si>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</si>
  <si>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</si>
  <si>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</si>
  <si>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</si>
  <si>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</si>
  <si>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</si>
  <si>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</si>
  <si>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</si>
  <si>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</si>
  <si>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</si>
  <si>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</si>
  <si>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</si>
  <si>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</si>
  <si>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</si>
  <si>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</si>
  <si>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</si>
  <si>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</si>
  <si>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</si>
  <si>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</si>
  <si>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</si>
  <si>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</si>
  <si>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</si>
  <si>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</si>
  <si>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</si>
  <si>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</si>
  <si>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</si>
  <si>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</si>
  <si>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</si>
  <si>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</si>
  <si>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</si>
  <si>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</si>
  <si>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</si>
  <si>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</si>
  <si>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</si>
  <si>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</si>
  <si>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</si>
  <si>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</si>
  <si>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</si>
  <si>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</si>
  <si>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</si>
  <si>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</si>
  <si>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</si>
  <si>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</si>
  <si>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</si>
  <si>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</si>
  <si>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</si>
  <si>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</si>
  <si>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</si>
  <si>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</si>
  <si>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</si>
  <si>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</si>
  <si>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</si>
  <si>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Enterprise and Environment</t>
  </si>
  <si>
    <t>Planning and Neighbourhoods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</si>
  <si>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</si>
  <si>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</si>
  <si>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</si>
  <si>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</si>
  <si>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</si>
  <si>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</si>
  <si>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</si>
  <si>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</si>
  <si>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</si>
  <si>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</si>
  <si>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</si>
  <si>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</si>
  <si>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</si>
  <si>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</si>
  <si>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</si>
  <si>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</si>
  <si>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</si>
  <si>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</si>
  <si>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</si>
  <si>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</si>
  <si>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PLEG23</t>
  </si>
  <si>
    <t>PLEG24</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</si>
  <si>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</si>
  <si>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</si>
  <si>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</si>
  <si>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</si>
  <si>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</si>
  <si>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</si>
  <si>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</si>
  <si>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</si>
  <si>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</si>
  <si>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</si>
  <si>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</si>
  <si>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</si>
  <si>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ENTERPRISE AND ENVIRONMENT</t>
  </si>
  <si>
    <t>PLANNING AND NEIGHBOURHOODS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</si>
  <si>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</si>
  <si>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</si>
  <si>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</si>
  <si>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</si>
  <si>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</si>
  <si>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</si>
  <si>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</si>
  <si>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</si>
  <si>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</si>
  <si>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</si>
  <si>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</si>
  <si>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</si>
  <si>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</si>
  <si>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</si>
  <si>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</si>
  <si>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</si>
  <si>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</si>
  <si>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</si>
  <si>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</si>
  <si>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</si>
  <si>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Produce an options appraisal for the future delivery of Leisure and Cultural Services (December 2016)</t>
  </si>
  <si>
    <t>Preferred option to be approved by Cabinet (March 2017)</t>
  </si>
  <si>
    <t>Improving Customer Service in Cultural Services</t>
  </si>
  <si>
    <t>Develop and embed a range of customer care activities within key service areas i.e. Leisure Centres, Brewhouse, Civic Function Suite and the Market Hall and achieve a customer satisfaction rating of at least 80% (March 2017)</t>
  </si>
  <si>
    <t xml:space="preserve">Improving Marketing and Promotions in Cultural Services </t>
  </si>
  <si>
    <t>Produce an 'overarching' marketing strategy for Cultural Services (June 2016)</t>
  </si>
  <si>
    <t>Improving Marketing and Promotions in Cultural Services</t>
  </si>
  <si>
    <t>Provide a quarterly update on marketing performance and achieve an 85% completion rate (March 2017)</t>
  </si>
  <si>
    <t>Developing and Improving the Brewhouse and Civic Function Suite</t>
  </si>
  <si>
    <t>Develop a new Brewhouse Improvement Plan building on and bringing together the work undertaken by the QUAD and the Brewhouse Arts Strategy (September 2016)</t>
  </si>
  <si>
    <t>Consider options for developing a new Civic Function Suite brand (in line with new marketing and promotional plans) (October 2016)</t>
  </si>
  <si>
    <t>Implement phase 3 of the Civic Function Suite development plan (March 2017)</t>
  </si>
  <si>
    <t>Consideration of Opportunities to Make Leisure and Cultural Facilities Greener</t>
  </si>
  <si>
    <t>Procure and install a combined heat and power unit at Meadowside Leisure Centre (January 2017)</t>
  </si>
  <si>
    <t>Implement the installation of energy saving equipment at the Brewhouse (March 2017)</t>
  </si>
  <si>
    <t>Improving our Facility Operation</t>
  </si>
  <si>
    <t>Undertake a strategic review of how we manage our facilities across the Borough (October 2016)</t>
  </si>
  <si>
    <t>Reduce the Cost of our Recycling Operation</t>
  </si>
  <si>
    <t>Procure a new contract for the treatment of garden waste (March 2017)</t>
  </si>
  <si>
    <t>Increase the Collection of Waste Electrical and Electronic Equipment (WEEE) appliances</t>
  </si>
  <si>
    <t>Produce a plan to introduce a kerb-side collection service for small appliances (September 2016)</t>
  </si>
  <si>
    <t>Working with the County Council, Deliver a Fully Serviced Employment Site in Uttoxeter</t>
  </si>
  <si>
    <t>Complete infrastructure at Dove Way (September 2016)</t>
  </si>
  <si>
    <t>Working with the County Council, Deliver a Fully Serviced Residential Site in Uttoxeter</t>
  </si>
  <si>
    <t>Complete infrastructure at Pennycroft Lane (November 2016)</t>
  </si>
  <si>
    <t>Working with the County Council,  Deliver a Household Waste Recycling Centre (HWRC) in Uttoxeter</t>
  </si>
  <si>
    <t>Facilitate the opening of a new HWRC off Dove Way (September 2016)</t>
  </si>
  <si>
    <t>9 days</t>
  </si>
  <si>
    <t>Continue to improve the ways we provide  Benefits to those most in need: Time taken to process Benefit new claims when all the information has been provided</t>
  </si>
  <si>
    <t>3 days</t>
  </si>
  <si>
    <t>Working towards the roll-out of Universal Credit</t>
  </si>
  <si>
    <t xml:space="preserve">Review and revise where appropriate working arrangements with partners (September 2016)  </t>
  </si>
  <si>
    <t>Continue to prepare for roll-out in accordance with Government guidelines  (March 2017)</t>
  </si>
  <si>
    <t>Working towards the reduction of Claimant error Housing Benefit Overpayments (HBOPs): % of HBOPs overpayments recovered during the year; % of HBOPS processed and on payment arrangement</t>
  </si>
  <si>
    <t>Continue to maximise income through effective collection processes: Reduce Former Years Arrears for Council Tax; NNDR; Sundry Debts</t>
  </si>
  <si>
    <t xml:space="preserve">Maintain and improve the District Auditor's opinion of the authority </t>
  </si>
  <si>
    <t>Set budget for 2017/18</t>
  </si>
  <si>
    <t>Set budget for Council approval (February 2017)</t>
  </si>
  <si>
    <t>At least 2 briefings delivered to elected members during the year (March 2017)</t>
  </si>
  <si>
    <t>Achieve savings targets as stated in the Medium Term Financial Strategy (March 2017)</t>
  </si>
  <si>
    <t xml:space="preserve">Devise and introduce a new Corporate Fees and Charging Policy (December 2016)         </t>
  </si>
  <si>
    <t>Providing a secure virtual working environment</t>
  </si>
  <si>
    <t>Achieve GCHQ PSN Compliance for access to Government Secure Intranet (December 2016)</t>
  </si>
  <si>
    <t>Delivering the SMART Borough Agenda</t>
  </si>
  <si>
    <t>Maximise agile working opportunities through improved network access (June 2016)</t>
  </si>
  <si>
    <t>Carry out maintenance and licensing review on software (December 2016)</t>
  </si>
  <si>
    <t>E-Services campaign live with take-up baselined (June 2016)</t>
  </si>
  <si>
    <t>Continuing to improve the value for money of council services</t>
  </si>
  <si>
    <t>Carry out a review of the Shopmobility Service (December 2016)</t>
  </si>
  <si>
    <t>90% satisfaction with the corporate contribution to the strategic leisure appraisal (March 2017)</t>
  </si>
  <si>
    <t>Revised Corporate Procurement Strategy approved (April 2016)</t>
  </si>
  <si>
    <t>Short term sickness days average under 3 days</t>
  </si>
  <si>
    <t>Staff appraisals completed by end of May</t>
  </si>
  <si>
    <t>At least 98%</t>
  </si>
  <si>
    <t xml:space="preserve">Improve on the average time to pay Creditors </t>
  </si>
  <si>
    <t>Implementation of new HMRC rules for Members allowances; consolidation of new electronic process (improved efficiency and accuracy).</t>
  </si>
  <si>
    <t>95% claim forms received electronically</t>
  </si>
  <si>
    <t>Set up Member and Officer Steering group to consider the Council’s future corporate accommodation needs, beyond the mid 2018 Maltsters lease ‘break point’</t>
  </si>
  <si>
    <t>January 2017</t>
  </si>
  <si>
    <t>Working to become a SMARTER Planning Authority</t>
  </si>
  <si>
    <t>Introduce E-Consultations (September 2016)</t>
  </si>
  <si>
    <t>Planning Portal is the approved entry point for all Planning Applications (December 2016)</t>
  </si>
  <si>
    <t>SMARTER Planning Authority Status achieved (March 2017)</t>
  </si>
  <si>
    <t>Keeping Members informed about relevant Planning matters</t>
  </si>
  <si>
    <t>At least four All-Member Briefing Sessions within the financial year (Quarterly)</t>
  </si>
  <si>
    <t>Improve the efficiency of our community and civil enforcement operation</t>
  </si>
  <si>
    <t>Produce an options report for the future of the service (September 2016)</t>
  </si>
  <si>
    <t>Review parking orders at our most used car parks</t>
  </si>
  <si>
    <t>Complete an appraisal and options report for facilities serving our parks and green spaces (November 2016)</t>
  </si>
  <si>
    <t>Working with the Police and Crime Commissioner (PCC), agree a collaborative CCTV operation that would reduce cost burden to East Staffordshire residents</t>
  </si>
  <si>
    <t>Lobby the PCC to implement a county-wide operation, that offers better value (March 2017)</t>
  </si>
  <si>
    <t>James Abbott</t>
  </si>
  <si>
    <t>Leisure Services</t>
  </si>
  <si>
    <t>Marketing</t>
  </si>
  <si>
    <t xml:space="preserve">Brewhouse, Arts and Function Suite </t>
  </si>
  <si>
    <t>Indoor Facilities and Sports</t>
  </si>
  <si>
    <t>Community, Open Spaces and Facilities</t>
  </si>
  <si>
    <t>Benefits</t>
  </si>
  <si>
    <t>Customer Contacts</t>
  </si>
  <si>
    <t>Revenues</t>
  </si>
  <si>
    <t>Human Resources</t>
  </si>
  <si>
    <t>Learning and Development</t>
  </si>
  <si>
    <t>Payments</t>
  </si>
  <si>
    <t>Payroll</t>
  </si>
  <si>
    <t>Assets and Estates</t>
  </si>
  <si>
    <t>Car Parks</t>
  </si>
  <si>
    <t>Andy O'Brien</t>
  </si>
  <si>
    <t>Market Hall-Business Development Initiatives</t>
  </si>
  <si>
    <t>Establish the Market Hall as a venue for sporting and cultural activities and hold five of these types of events (March 2017)</t>
  </si>
  <si>
    <t>Hold at least 15 commercial events during the year (March 2017)</t>
  </si>
  <si>
    <t>Achieve occupancy levels of 80% and above (March 2017)</t>
  </si>
  <si>
    <t>Deliver a new employment park in Uttoxeter</t>
  </si>
  <si>
    <t>Secure a developer to deliver the business park off Dove Way (February 2017)</t>
  </si>
  <si>
    <t>Deliver a new housing development in Uttoxeter</t>
  </si>
  <si>
    <t>Secure a developer to deliver a new housing scheme off Pennycroft Lane (February 2017)</t>
  </si>
  <si>
    <t>Deliver development on redundant brownfield sites along the Derby Road corridor</t>
  </si>
  <si>
    <t>Produce a plan that can deliver new housing and employment development on unused brownfield land (June 2016)</t>
  </si>
  <si>
    <t>Deliver self-built plots in Burton upon Trent</t>
  </si>
  <si>
    <t>Produce a detailed business plan and methodology for the delivery of self-built dwellings on Lynwood Avenue, Branston (October 2016)</t>
  </si>
  <si>
    <t>Release plots for sale (January 2017)</t>
  </si>
  <si>
    <t>Legal</t>
  </si>
  <si>
    <t>Percentage of clients satisfied with the Legal Service provided (against quality standards)</t>
  </si>
  <si>
    <t xml:space="preserve">Developing the Market Square </t>
  </si>
  <si>
    <t>In conjunction with Staffordshire CC, consider options for the improvement and development of the market square area (January 2017)</t>
  </si>
  <si>
    <t>Consider options for improving street furniture on Station Street (December 2016)</t>
  </si>
  <si>
    <t>Improving Town Hall car parking</t>
  </si>
  <si>
    <t>In conjunction Staffordshire CC, investigate the options for improving car parking around the Town Hall (March 2017)</t>
  </si>
  <si>
    <t>Elections</t>
  </si>
  <si>
    <t xml:space="preserve">Deliver Neighbourhood Planning Referenda </t>
  </si>
  <si>
    <t>Complete in accordance with statutory requirements</t>
  </si>
  <si>
    <t>Top Quartile as measured against relevant DCLG figures</t>
  </si>
  <si>
    <t>Monitor Section 106 Performance</t>
  </si>
  <si>
    <t>Dashboard created and quarterly reporting mechanism established (September 2016)</t>
  </si>
  <si>
    <t>Decision to proceed on the development of Community  Infrastructure Levy</t>
  </si>
  <si>
    <t>Decision by September 2016</t>
  </si>
  <si>
    <t>Minimum of 5 new Neighbourhood Plans “made” (March 2017)</t>
  </si>
  <si>
    <t xml:space="preserve">Review Supplementary Planning Documents </t>
  </si>
  <si>
    <t>New Housing Choice SPD approved (April 2016)</t>
  </si>
  <si>
    <t>Review Supplementary Planning Documents</t>
  </si>
  <si>
    <t>Agree areas for development, with programme and timescale (June 2016)</t>
  </si>
  <si>
    <t>Caroline Frankland</t>
  </si>
  <si>
    <t xml:space="preserve">To carry out necessary work with reference to the transfer of the Local Land Charges Register to the Land Registry </t>
  </si>
  <si>
    <t>Completed in accordance with any legislative requirements (March 2017)</t>
  </si>
  <si>
    <t>Support eight local business to apply for EU grant funding that would create new jobs in the Borough (March 2017)</t>
  </si>
  <si>
    <t>Local Land Charges</t>
  </si>
  <si>
    <t>Brett Atkinson</t>
  </si>
  <si>
    <t>Rachel Liddle</t>
  </si>
  <si>
    <t>Traffic Island and Town Centre landscaping</t>
  </si>
  <si>
    <t>Complete the Swan bed art installation in Stapenhill (pilot project) (July 2016)</t>
  </si>
  <si>
    <t>Develop a project brief to set out key requirements and milestones for delivery (October 2016)</t>
  </si>
  <si>
    <t>Installation commencement (March 2017)</t>
  </si>
  <si>
    <t>Outdoor Sports Hubs</t>
  </si>
  <si>
    <t>To continue to work with partners to assist in facilitating the development of plans for the Tatenhill site (March 2017)</t>
  </si>
  <si>
    <t>To continue to work with partners to assist in facilitating the development of plans for the Uttoxeter Quarry Site (March 2017)</t>
  </si>
  <si>
    <t>Developing Health Related Initiatives</t>
  </si>
  <si>
    <t>Sports Development Projects</t>
  </si>
  <si>
    <t>Open Spaces-Service Development Initiatives</t>
  </si>
  <si>
    <t>Develop a “Digital Parks” scheme to promote the use of parks and open spaces using multi media and modern IT platforms (December 2016)</t>
  </si>
  <si>
    <t>Strengthen the pedestrian use of the Washlands between Bargates and the Town Centre</t>
  </si>
  <si>
    <t>Produce a cost plan for installing lighting along the Washlands walkway (October 2016)</t>
  </si>
  <si>
    <t>Complete the Council’s public convenience improvement plan</t>
  </si>
  <si>
    <t>Delivery a programme of projects to tackle homelessness in East Staffordshire, and deliver more affordable homes</t>
  </si>
  <si>
    <t xml:space="preserve">Produce a programme plan to deliver new and improved affordable accommodation for residents, using Section 106 capital (July 2016) </t>
  </si>
  <si>
    <t>Number of missed bins per 10,000 collections</t>
  </si>
  <si>
    <t>1.5 missed bins per 10,000 collections</t>
  </si>
  <si>
    <t>Deliver the Police and Crime Commissioner Election</t>
  </si>
  <si>
    <t>Prepare for the European Union referendum</t>
  </si>
  <si>
    <t>Prepare in accordance with statutory requirements</t>
  </si>
  <si>
    <t>Complete the Annual Canvass of Electors</t>
  </si>
  <si>
    <t>Complete and submit Canvass by December 2016</t>
  </si>
  <si>
    <t>An effective Business Continuity arrangement</t>
  </si>
  <si>
    <t>Agree new approach to Business Continuity Planning (June 2016)</t>
  </si>
  <si>
    <t>Be resilient to major incidents and threats</t>
  </si>
  <si>
    <t>Undertake review of Major Incident Plan (June 2016)</t>
  </si>
  <si>
    <t>To carry out necessary work with reference to the Housing and Planning Bill</t>
  </si>
  <si>
    <t>Completed in accordance with any legislative changes and requirements (March 2017)</t>
  </si>
  <si>
    <t xml:space="preserve">Monitor Local Plan Performance </t>
  </si>
  <si>
    <t xml:space="preserve">2 Progress Reports during the year </t>
  </si>
  <si>
    <t>Complete 85% of the agreed Neighbourhood Working Programme for 2016/17 (March 2017)</t>
  </si>
  <si>
    <t>Review the current Neighbourhood Working Programme scheme with a view to implementing a new and improved scheme in 2017/18 (November 2016)</t>
  </si>
  <si>
    <t>Improve housing conditions for residents living in rented accommodation</t>
  </si>
  <si>
    <t>Complete an appraisal of a landlord accreditation scheme (August 2016)</t>
  </si>
  <si>
    <t>Assess the viability of licencing Houses in Multiple Occupation (HMO) (October 2016)</t>
  </si>
  <si>
    <t>Introduce measures to help tackle dog fouling</t>
  </si>
  <si>
    <t>Carry out a pilot project in partnership with Keep Britain Tidy (March 2017)</t>
  </si>
  <si>
    <t>Produce a programme of activities on Council owned land to reduce the number of dog fouling incidents (May 2016)</t>
  </si>
  <si>
    <t>Investigate introducing electric car charging points to Burton and Uttoxeter</t>
  </si>
  <si>
    <t>Produce a business plan and viability study (March 2017)</t>
  </si>
  <si>
    <t>Support the 'Raising Aspirations' project for the 'Heath Big Local' and deliver the Sports Leaders Playmaker award to at least 20 children (March 2017)</t>
  </si>
  <si>
    <t>Open Spaces</t>
  </si>
  <si>
    <t>Sports Development</t>
  </si>
  <si>
    <t>Leisure Centres</t>
  </si>
  <si>
    <t>Housing Options</t>
  </si>
  <si>
    <t>Democratic and Resilience Planning</t>
  </si>
  <si>
    <t>Environmental Health</t>
  </si>
  <si>
    <t>Target 2016/17</t>
  </si>
  <si>
    <t>Comments / Further action (Q1)
(IF APPLICABLE)</t>
  </si>
  <si>
    <t>Quarter 2 
(July - Sept 2016)</t>
  </si>
  <si>
    <t>Quarter 1 
(April - June 2016)</t>
  </si>
  <si>
    <t>Quarter 3 
(Oct - Dec 2016)</t>
  </si>
  <si>
    <t>Year to Date
(April - Dec 2016)
(NUMERICAL INDICATORS ONLY)</t>
  </si>
  <si>
    <t>Comments / Further action (Q3)
(IF APPLICABLE)</t>
  </si>
  <si>
    <t>Quarter 4 
(Jan - March 2017)</t>
  </si>
  <si>
    <t>Cumulative Annual Outturn
(April 2016 - March 2017)
(NUMERICAL INDICATORS ONLY)</t>
  </si>
  <si>
    <t>Comments / Further action (Q4)
(IF APPLICABLE)</t>
  </si>
  <si>
    <t>450kg</t>
  </si>
  <si>
    <t xml:space="preserve">Council Tax: 1,500,000
NNDR: £500,000
Sundry Debts: £45,000
</t>
  </si>
  <si>
    <t>tbc</t>
  </si>
  <si>
    <t>Promote East Staffordshire as the place to do business</t>
  </si>
  <si>
    <t>PROGRAMMES AND TRANSFORMATION</t>
  </si>
  <si>
    <t>Quarter One (2016/17)</t>
  </si>
  <si>
    <t>Quarter Two (2016/17)</t>
  </si>
  <si>
    <t>Quarter Three (2016/17)</t>
  </si>
  <si>
    <t>End of Year (2016/17)</t>
  </si>
  <si>
    <r>
      <rPr>
        <b/>
        <u/>
        <sz val="18"/>
        <color rgb="FF002060"/>
        <rFont val="Arial"/>
        <family val="2"/>
      </rPr>
      <t>PERFORMANCE DATA 2016/17</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</si>
  <si>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Revised Corporate Procurement Strategy approved at Cabinet meeting held on 18th April 2016.</t>
  </si>
  <si>
    <t>Report due to be taken to CMT in July 2016</t>
  </si>
  <si>
    <t>Landlord accreditation appraisal completed and adopted</t>
  </si>
  <si>
    <t>Report on selective licensing completed in draft and due to be taken to CMT in July 2016</t>
  </si>
  <si>
    <t>Selective Licensing Report considered and approved for consultation</t>
  </si>
  <si>
    <t>To be reported in Q2 - Surveys run April - July</t>
  </si>
  <si>
    <t>Thomas Deery</t>
  </si>
  <si>
    <t>99% Achieved at the end of May</t>
  </si>
  <si>
    <t xml:space="preserve">Completed in May 2016. Report submitted to Cllr J Jones and approval gained for recommended events and initiatives  </t>
  </si>
  <si>
    <t>Completed programme of activities. Further report to advise of outcome of initiatives</t>
  </si>
  <si>
    <t>Event week was week commencing 20th June 2016</t>
  </si>
  <si>
    <t>Report prepared and will be submitted in time for August 2016 CMT</t>
  </si>
  <si>
    <t>The Anglesey referendum will be held on Thursday 21st July.
Examinations are underway for the Marchington, Newborough and Stapenhill plans.  If all goes well all three should go to referendum on 15th September.</t>
  </si>
  <si>
    <t>There is the potential for 9 NPR to be held this financial year.</t>
  </si>
  <si>
    <t>Completed 5th and 6th May 2016</t>
  </si>
  <si>
    <t>EU Referendum held on Thursday 23rd June 2016</t>
  </si>
  <si>
    <t>A new approach to Business Continuity Planning has been agreed and was presented to CMT in May 2016.</t>
  </si>
  <si>
    <t>Plan approved by Cabinet in May</t>
  </si>
  <si>
    <t>New ERDF funding plan approved by the GBSLEP in June.  Business Relations Officer, who will be tasked to work with the Borough's  SMEs was appointed in May.</t>
  </si>
  <si>
    <t>Research work on other self-build schemes was commenced in Q1</t>
  </si>
  <si>
    <t>This work will follow delivery of Target PLEG08</t>
  </si>
  <si>
    <t>Discussions with developer commenced in Q1.  Expected outcome to be confirmed by Full Council in September.</t>
  </si>
  <si>
    <t>Preferred developer secured</t>
  </si>
  <si>
    <t>Target fully achieved</t>
  </si>
  <si>
    <t>Working with HCA to identify most suitable brownfield opportunity to develop with RSL</t>
  </si>
  <si>
    <t>Eight SMEs with submitted EU funding applications determined by GBS panel</t>
  </si>
  <si>
    <t>Detailed business plan produced</t>
  </si>
  <si>
    <t>Self-build plots released for sale on Lynwood Avenue, Branston, subject to planning and infrastructure provision</t>
  </si>
  <si>
    <t>Cost plan produced</t>
  </si>
  <si>
    <t>Business plan produced</t>
  </si>
  <si>
    <t>Closer working with the PCC office and a County-wide discussion about improving vfm</t>
  </si>
  <si>
    <t>12.54 days</t>
  </si>
  <si>
    <t>Pre-assessment checks have been introduced during June 2016 which have reduced the days taken to process new claims by two days. Further improvements are expected during quarter 2.</t>
  </si>
  <si>
    <t>Target is annual</t>
  </si>
  <si>
    <t>Completed - baseline identified</t>
  </si>
  <si>
    <t>42 Council Tax payers set up for Council Tax e-billing; 0 ratepayers set up for Business Rates e-billing. Benefit e-claim being used by claimants on website to make HB/CTR claims. Ctax and Business Rates discount/exemption/relief forms available on website.</t>
  </si>
  <si>
    <t xml:space="preserve">Project documentation (Invitation to Tender) has been produced and formal tenders have been requested from a short list of consultants who are familiar with this area of work. Closing date for reciept of submissions is 1st July 2016. A cross party member working group has been established and has met (1st June 2016) to review ITT documents. </t>
  </si>
  <si>
    <t>Project to expected to be complete by the end of the financial year.</t>
  </si>
  <si>
    <t>Members of Cabinet have had preliminary meetings with members and officers from Staffs County Council.</t>
  </si>
  <si>
    <t>112.62kg - estimated</t>
  </si>
  <si>
    <t>54.9% - estimated</t>
  </si>
  <si>
    <t>Negotiations have taken place to extend the contract with the current provider for 5 years. This will deliver a significant saving.</t>
  </si>
  <si>
    <t>Contract in place</t>
  </si>
  <si>
    <t>Promotional material advertising the service is being prepared including ES News, social media and bin tags. Service will commence 5 Spetember 2016</t>
  </si>
  <si>
    <t>Service operational</t>
  </si>
  <si>
    <t>Bradley Street works complete. Quotes obtained for Newton Road and Crowberry Lane  Timescale to be agreed.</t>
  </si>
  <si>
    <t>All works completed.</t>
  </si>
  <si>
    <t>Target achieved</t>
  </si>
  <si>
    <t>Target achieved.</t>
  </si>
  <si>
    <t>Affordable accommodation achieved via PLEG06. Business Plan for the procurement of a Rough Sleepers Outreach Service approved. Tender due to be advertised w/c the 18 July 2016.</t>
  </si>
  <si>
    <t xml:space="preserve">Mobilisation of the Rough Sleepers Outreach Service expected by w/c 12 September 2016.  </t>
  </si>
  <si>
    <t>Bikeability and Learn to ride courses delivered in April as part of the Easter Activity Programme. Currently, 1 Bikeability, 1 Learn to ride and 1 family cycle session have been delivered</t>
  </si>
  <si>
    <t>Playmakers Award being delivered in St Mary's School in Uttoxeter with another course planned for September 2016</t>
  </si>
  <si>
    <t>Consultants KKP have been putting together a feasibility study with the support of National Governing Bodies, SASSOT, ESBC, Sports Clubs involved. Interim meeting with KKP was held early June. Both sports clubs involved have also signed the CIO to move the project forward.</t>
  </si>
  <si>
    <t>Meeting on the 28th June with Sport England, Burton Rugby Club, ESBC and County Council about the proposed new school and the sale of Peel Croft. Waiting on the outcome from the Sec of State about the planning of the new school</t>
  </si>
  <si>
    <t xml:space="preserve">Monthly progress meetings were held to keep up-to-date with costs and programme. The screening of the Arisings commenced and meetings continued with the utility providers to plan/coordinate the works. 
</t>
  </si>
  <si>
    <t>SCC and Amey were appointed to carry out the phase 1 road construction works on site, as a variation to the contract already being delivered on Dove Way. The Deed of Variation to the SIA has been signed and sealed. Works commenced w/c 13th June.</t>
  </si>
  <si>
    <t xml:space="preserve">Monthly progress meetings were held to keep up-to-date with costs and programme. </t>
  </si>
  <si>
    <t>14 days</t>
  </si>
  <si>
    <t>4 projects have been approved for funding but have yet to complete</t>
  </si>
  <si>
    <t>Architects have been contracted to manage Phase 3. Tendering process to take place in Quarter 2.</t>
  </si>
  <si>
    <t>Air Conditioning replacement: Quotes sought and company in process of being contracted. Quotes currently being sought for Lighting Companies to upgrade all lighting in building.</t>
  </si>
  <si>
    <t>Phase 3 works to be undertaken and completed in Jan/Feb 2017.</t>
  </si>
  <si>
    <t xml:space="preserve">Civic Function Suite re-branded as Burton Town Hall. New brand/logo approved by Cabinet June 2016. </t>
  </si>
  <si>
    <t>Completed ahead of schedule. Marketing Plan and Brand guidelines complete July 2016 for roll out of new brand across the service promotional materials, website and social media sites etc.</t>
  </si>
  <si>
    <t xml:space="preserve">Brewhouse Plan written, including securing funding from Arts Council England to help support implementation of the plan. </t>
  </si>
  <si>
    <t>Full Improvement Plan for both venues to go to Cabinet in September 2016. Implementation of plan begin before end of year.</t>
  </si>
  <si>
    <t>Portal integration is underway. Current Beta testing of M3 by ESBC and Northgate.</t>
  </si>
  <si>
    <t xml:space="preserve">These have been booked into the Members diaries. Two briefings have already taken place during April and July. </t>
  </si>
  <si>
    <t>Approved at Cabinet in April.</t>
  </si>
  <si>
    <t xml:space="preserve">This work was signed off via EDR in June. </t>
  </si>
  <si>
    <t>The  Local Plan Monitoring Report is being prepared. The September 5 YLS update is on track.</t>
  </si>
  <si>
    <t>VFM 45 and 46 contribute to this standard.</t>
  </si>
  <si>
    <t xml:space="preserve">s.106 database established. IT preparing dashboard. </t>
  </si>
  <si>
    <t>Swan replacement art work installed in June 2016</t>
  </si>
  <si>
    <t>Research has been carried out around potential areas for landscaping and a range of possible options are being shaped for presentation to Cabinet</t>
  </si>
  <si>
    <t>Results awaited in qtr 2</t>
  </si>
  <si>
    <t>All facilities contracts have been reviewed as part of this process. Recommendations are being prepared for a future report.</t>
  </si>
  <si>
    <t>An initial discussion paper has been written in conjunction with DL. Formal report to go to Cabinet in qtr 2</t>
  </si>
  <si>
    <t>0.69 days per FTE</t>
  </si>
  <si>
    <t>2.76 days per FTE</t>
  </si>
  <si>
    <t>Overarching project to expected to be complete by the end of the financial year.</t>
  </si>
  <si>
    <t>New customer care platfom has been procured and is now working towards implementation</t>
  </si>
  <si>
    <t>On target to be completed</t>
  </si>
  <si>
    <t>87.09% recovered                                   
66% on arrangement</t>
  </si>
  <si>
    <t>36.06% Council Tax                              
33.59% Business Rates</t>
  </si>
  <si>
    <t>60% 
80%</t>
  </si>
  <si>
    <t>98%
99%</t>
  </si>
  <si>
    <t>Council Tax: £3,734,766.37                   
Business Rates: £1,178,628.08              
Sundry Debts: £0.00</t>
  </si>
  <si>
    <t>Improved network access is implemented as and when Windows 10 is deployed</t>
  </si>
  <si>
    <t xml:space="preserve">Letters to parishes sent. E -consultation to be implemented from August. </t>
  </si>
  <si>
    <t>Research into other authorities charging scales has begun</t>
  </si>
  <si>
    <t>PCC has supported the new remote CCTV monitoring contract by contributing £15k from the proceeds of crime fund.  Awaiting PCC office to arrange next steps towards implementing a county-wide operation</t>
  </si>
  <si>
    <t>Tender specification for a chartered surveyor to act for the Council in the disposal is being drawn up.  Tender to be processed in Q2.</t>
  </si>
  <si>
    <t>100%
All clients surveyed are currently satisfied with the quality of legal services provided</t>
  </si>
  <si>
    <t xml:space="preserve">The feasibility and costs associated with this target have been investigated. Given a substantial impact on traffic management and associated costs this project will not be taken further. </t>
  </si>
  <si>
    <t>Options around wifi and solar powered intepretation boards are being explored and considered for presentation to Cabinet in December</t>
  </si>
  <si>
    <t>A review of the Major Incident Plan was undertaken and the results shared with CMT in June 2016.</t>
  </si>
  <si>
    <t>The legislation is enacted - awaiting secondary legislation.</t>
  </si>
  <si>
    <t>Nil projects completed in quarter 1. 4 projects have been approved for funding but have yet to complete</t>
  </si>
  <si>
    <t>ITT has been completed in Q1</t>
  </si>
  <si>
    <t>An ‘overarching’ Marketing Strategy has been produced for cultural services, including open spaces. This strategy outlines ESBC’s approach to Marketing its cultural services and includes a number of action plans which will be worked upon through the year. These action plans then form the basis of specific marketing plans for each service. These actions plans will be monitored and evaluated as they are completed.   </t>
  </si>
  <si>
    <t>A ‘Marketing Performance’ report has been produced for the first part of the 2016/17 year. This report includes details of ongoing ‘Marketing performance’ from each service along with performance of specific campaigns and promotions. All actions for Qtr 1 have been completed or are on course to be completed in line with deadlines.</t>
  </si>
  <si>
    <t>10 Applications of which 9 were in time - 90%
(2nd Quartile)</t>
  </si>
  <si>
    <t>59 applications of which 53 were in time - 90%
(Top Quartile)</t>
  </si>
  <si>
    <t>144 applications of which 141 were in time - 98%
(Top Quartile)</t>
  </si>
  <si>
    <r>
      <t>Consider the merit</t>
    </r>
    <r>
      <rPr>
        <b/>
        <sz val="12"/>
        <rFont val="Arial"/>
        <family val="2"/>
      </rPr>
      <t>s of introducing a Council Efficiency Plan (September 2016)</t>
    </r>
  </si>
  <si>
    <t>Due to be considered ahead of September deadline</t>
  </si>
  <si>
    <t>Information regularly submitted as requested.
Land Registry meeting scheduled for September 2016.</t>
  </si>
  <si>
    <t>To be completed</t>
  </si>
  <si>
    <t>Update of activities to be provided to Deputy Leader</t>
  </si>
  <si>
    <t>Energy efficiency improvements made to the Brewhouse as outlined in initial energy report. New air conditioning installed and upgrade to lighting underway.</t>
  </si>
  <si>
    <t>7.05 days</t>
  </si>
  <si>
    <t xml:space="preserve">Pre-assessment checks have been introduced during June 2016 meaning claims are looked at the next working days from when received. ‘Fast Track’ claims are identified earlier and already in Q2 the performance in relation to this target is down to 4.19 days. </t>
  </si>
  <si>
    <t>To improve performance recorded at Q1, Bartec reporting procedures have been tightened and drivers further instructed to ensure they are correctly recording non-presented bins. Given the Q1 amber rating, missed bins will now be monitored monthly.  Further appropriate action, such as disciplinary, will be taken by management if improvement is not evident.</t>
  </si>
  <si>
    <t>When the Corporate plan was approved, indicator VFM36 was marked as “to be agreed” (following the E-Services campaign going live with the take-up baselined by June 2016). It is proposed that VFM36 is now updated to target these 5 areas.</t>
  </si>
  <si>
    <t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t>
  </si>
  <si>
    <r>
      <t xml:space="preserve">Continue to improve the ways we provide  Benefits to those most in need: Time taken to process Benefit new claims and change events 
</t>
    </r>
    <r>
      <rPr>
        <b/>
        <sz val="12"/>
        <color rgb="FFFF0000"/>
        <rFont val="Arial"/>
        <family val="2"/>
      </rPr>
      <t>(Previously NI 181)</t>
    </r>
  </si>
  <si>
    <r>
      <t xml:space="preserve">Continue to maximise income through effective collection processes </t>
    </r>
    <r>
      <rPr>
        <b/>
        <sz val="12"/>
        <color rgb="FFFF0000"/>
        <rFont val="Arial"/>
        <family val="2"/>
      </rPr>
      <t xml:space="preserve">(Previously BV 9 &amp; 10)  </t>
    </r>
  </si>
  <si>
    <r>
      <t xml:space="preserve">Major Planning Applications determined within 13 weeks
</t>
    </r>
    <r>
      <rPr>
        <b/>
        <sz val="12"/>
        <color rgb="FFFF0000"/>
        <rFont val="Arial"/>
        <family val="2"/>
      </rPr>
      <t>(Previously NI157a)</t>
    </r>
  </si>
  <si>
    <r>
      <t xml:space="preserve">Minor Planning Applications determined within 8 weeks
</t>
    </r>
    <r>
      <rPr>
        <b/>
        <sz val="12"/>
        <color rgb="FFFF0000"/>
        <rFont val="Arial"/>
        <family val="2"/>
      </rPr>
      <t>(Previously NI157b)</t>
    </r>
  </si>
  <si>
    <r>
      <t xml:space="preserve">Other planning applications determined in 8 weeks
</t>
    </r>
    <r>
      <rPr>
        <b/>
        <sz val="12"/>
        <color rgb="FFFF0000"/>
        <rFont val="Arial"/>
        <family val="2"/>
      </rPr>
      <t>(Previously NI157c)</t>
    </r>
  </si>
  <si>
    <r>
      <t xml:space="preserve">Residual household waste per household 
</t>
    </r>
    <r>
      <rPr>
        <b/>
        <sz val="12"/>
        <color rgb="FFFF0000"/>
        <rFont val="Arial"/>
        <family val="2"/>
      </rPr>
      <t>(Previously NI 191)</t>
    </r>
  </si>
  <si>
    <r>
      <t xml:space="preserve">Household waste recycled and composted 
</t>
    </r>
    <r>
      <rPr>
        <b/>
        <sz val="12"/>
        <color rgb="FFFF0000"/>
        <rFont val="Arial"/>
        <family val="2"/>
      </rPr>
      <t>(Previously NI 192)</t>
    </r>
  </si>
  <si>
    <r>
      <t xml:space="preserve">Improved levels of environmental cleanliness (levels of litter) 
</t>
    </r>
    <r>
      <rPr>
        <b/>
        <sz val="12"/>
        <color rgb="FFFF0000"/>
        <rFont val="Arial"/>
        <family val="2"/>
      </rPr>
      <t>(Previously NI195a)</t>
    </r>
  </si>
  <si>
    <r>
      <t xml:space="preserve">Improved levels of environmental cleanliness (levels of fly-posting) </t>
    </r>
    <r>
      <rPr>
        <b/>
        <sz val="12"/>
        <color rgb="FFFF0000"/>
        <rFont val="Arial"/>
        <family val="2"/>
      </rPr>
      <t>(Previously NI195d)</t>
    </r>
  </si>
  <si>
    <r>
      <t xml:space="preserve">Improved levels of environmental cleanliness (levels of graffiti) 
</t>
    </r>
    <r>
      <rPr>
        <b/>
        <sz val="12"/>
        <color rgb="FFFF0000"/>
        <rFont val="Arial"/>
        <family val="2"/>
      </rPr>
      <t>(Previously NI195c)</t>
    </r>
  </si>
  <si>
    <r>
      <t xml:space="preserve">Improved levels of environmental cleanliness (levels of detritus) </t>
    </r>
    <r>
      <rPr>
        <b/>
        <sz val="12"/>
        <color rgb="FFFF0000"/>
        <rFont val="Arial"/>
        <family val="2"/>
      </rPr>
      <t>(Previously NI195b)</t>
    </r>
  </si>
  <si>
    <t xml:space="preserve">Decision has been taken to not proceed at this stage as there is still no further guidance from Government. As soon as the relevant information is provided a further decision will be taken.  </t>
  </si>
  <si>
    <t>Year to Date
(April - Sept 2016)
(NUMERICAL INDICATORS ONLY)</t>
  </si>
  <si>
    <t>Catherine Grimley</t>
  </si>
  <si>
    <t>Unqualified opinion issued, with no signigicant errors in early August 2016.</t>
  </si>
  <si>
    <t>Approved by EDR - September 2016.</t>
  </si>
  <si>
    <t>Key principles agreed with Leader (as portfolio holder)</t>
  </si>
  <si>
    <t>Learn to ride, balanceability and Bikeability courses have been delivered as part of the summer holiday programme. To date, 7 bikeability, 7 learn to ride and 7 family cycle opportunities have been delivered. The steady cycle route in Uttoxeter is planned to be delivered before March 2017</t>
  </si>
  <si>
    <t>Playmakers Award was delivered at St Mary's in Qtr 1 with the potential to run another one subject to Heath Big Local funding. Currently, 14 young people have completed the award.</t>
  </si>
  <si>
    <t>5YLS monitoring was published April 2016 and the Local Authorities Monitoring Report was signed off by EDR in October 2016</t>
  </si>
  <si>
    <t xml:space="preserve">The legislative changes have yet to be published. </t>
  </si>
  <si>
    <t>0% surveyed April - July</t>
  </si>
  <si>
    <t>1% surveyed April - July</t>
  </si>
  <si>
    <t>Work is ongoing in partnership with Staffordshire County Council to deliver a wider programme of town centre regeneration.</t>
  </si>
  <si>
    <t>New collection service successfully commenced on 5 September.</t>
  </si>
  <si>
    <t>Works awarded to preferred contractor for Newton road and Crowberry Lane. To be delivered Q3 and Q4.</t>
  </si>
  <si>
    <t xml:space="preserve">Met with HM Land Registry in September. Provided further information on data format.  </t>
  </si>
  <si>
    <t xml:space="preserve">Benchmarking with other local authorities and serice user satisfaction survey undertaken and analysis of options underway. 
Review to be completed in Quarter 3. </t>
  </si>
  <si>
    <t>50.09% - estimated</t>
  </si>
  <si>
    <t>115kg - estimated</t>
  </si>
  <si>
    <t>228.25kg - estimated</t>
  </si>
  <si>
    <t>52.76% - estimated</t>
  </si>
  <si>
    <t>Q1 In wastedataflow = 121.99 kg</t>
  </si>
  <si>
    <t>Q1 In wastedataflow = 52.9%</t>
  </si>
  <si>
    <t>Low Carbon Solutions have been appointed as principle contrators and installation is due in November 2016</t>
  </si>
  <si>
    <t>13% Completed</t>
  </si>
  <si>
    <t>Arts Council England Funding received to support implementation of the plan. Brewhouse Improvement Plan developed and presented to LDL in August. Plan to be updated following Cultural Services Options Appraisal.</t>
  </si>
  <si>
    <t>Neighbourhood Planning Referenda were held in Marchington, Newborough and Stapenhill on Thursday 23rd June 2016.</t>
  </si>
  <si>
    <t>2nd and 3rd Reminders have been sent to all households. Data Matching is now taking place before canvassers follow up outstanding households.</t>
  </si>
  <si>
    <t>The phase 1 road infrastructure works on site completed, and the site was made secure.</t>
  </si>
  <si>
    <t xml:space="preserve">Allocated a street name and address for the new HWRC
The new access and access road is complete. The HWRC is not yet open because a replacement interceptor tank needed to be installed. This is a County Council issue.
</t>
  </si>
  <si>
    <t>17 Applications of which all were in time - 100%</t>
  </si>
  <si>
    <t>81 Applications of which all 77 were in time - 95%</t>
  </si>
  <si>
    <t>171 Applications of which 169 were in time - 99%</t>
  </si>
  <si>
    <t>Consultants KKP have reported the feasibility study to the Quarry Group, mixed views from partners, although agreed a phased approach would be the quicker option to move on site. A meeting has been arranged with ESBC, Staffs CC, NGB's and SASSOT in October to look at a phased approach.</t>
  </si>
  <si>
    <t>Achieved in Q1</t>
  </si>
  <si>
    <t>10.03 days</t>
  </si>
  <si>
    <t>11.3 days</t>
  </si>
  <si>
    <t>Performance for the month of September shows 8.44 days</t>
  </si>
  <si>
    <t>4.01 days</t>
  </si>
  <si>
    <t>5.47 days</t>
  </si>
  <si>
    <t>Performance for the month of September shows 3 days</t>
  </si>
  <si>
    <t>Meeting held with CAB Chief Executive 08/09/2016. Agreed that current arrangements still apply.</t>
  </si>
  <si>
    <t>not applicable</t>
  </si>
  <si>
    <t>At present the DWP does not intend to roll-out the full UC service in East Staffordshire. We are waiting for the DWP to contact us with their intentions once they have made their decision for roll-out.</t>
  </si>
  <si>
    <t>We look forward to working with the DWP and partners once the decision for full roll-out is made.</t>
  </si>
  <si>
    <t>71.03% recovered; 64% on arrangement</t>
  </si>
  <si>
    <t>77.71% recovered; 66% on arrangement</t>
  </si>
  <si>
    <t>60% recovered; 80% on arrangement</t>
  </si>
  <si>
    <t>57.5% Council Tax; 61.55% NNDR</t>
  </si>
  <si>
    <t>98% Council Tax; 99% NNDR</t>
  </si>
  <si>
    <t>Target is annual.</t>
  </si>
  <si>
    <t>Council Tax £3,503,057.42;               NNDR: £1,103,910.77                        Sundry Debts: £19,180.46</t>
  </si>
  <si>
    <t>Council Tax £3,503,057.42;                              NNDR: £1,103,910.77                                           Sundry Debts: £19,180.46</t>
  </si>
  <si>
    <t>Council Tax: £1,500,000                     NNDR: £500,000                                 Sundry Debts: £45,000</t>
  </si>
  <si>
    <t xml:space="preserve">
Review to be completed in Quarter 3. </t>
  </si>
  <si>
    <t xml:space="preserve">53% (out of 99%) RSLs;                                                          0.02% (out of 50%) Private Landlords;                                    233 (out of 504) Council Tax accounts;                                 61 (out of 504) Council Tax e-billing;                                     0 (out of 203) Business Rates;                                              11 (out of 83) Benefit Claimants                           </t>
  </si>
  <si>
    <t xml:space="preserve">99% RSLs;                                                          50% Private Landlords;                                    504 Council Tax accounts;                                 504 Council Tax e-billing;                                     203 Business Rates;                                              83 Benefit Claimants                           </t>
  </si>
  <si>
    <t>Marketing Campaign being conducted in Q3</t>
  </si>
  <si>
    <t xml:space="preserve">Report taken to CMT on 19th July 2016 and agreed at cabinet on 15th August 2016. Website is currently being updated with information about accreditation schemes and landlords are being signposted to these options. </t>
  </si>
  <si>
    <t>Report taken to CMT on 19th July and recommendation to undertake consultation on selective licensing pilot was agreed at Cabinet on 15th August. Consultation on the proposal went live on 10th October and is due to close on 19th Dec.</t>
  </si>
  <si>
    <t>Further report to be taken to CMT following consultation exercise</t>
  </si>
  <si>
    <t>Detailed business plan for mobile working to be produced by March 2017</t>
  </si>
  <si>
    <t>PSPO out to consultation with anticipated adoption date October 2016</t>
  </si>
  <si>
    <t>As in previous years most projects move to completion in quarters 3 and 4</t>
  </si>
  <si>
    <t xml:space="preserve"> E-consultations be implemented from August. </t>
  </si>
  <si>
    <t>Portal integrator now facilitates all applications.</t>
  </si>
  <si>
    <t xml:space="preserve">Council notified that it has achieved Smarter Planning Status. </t>
  </si>
  <si>
    <t xml:space="preserve">Phase 3 plans re-visited by architect, interior styling agreed and Tender documents prepared. </t>
  </si>
  <si>
    <t>Air Conditioning Company contracted and install date agreed. 2 out of 3 lighting quotes recieved. New heating maintenance contract agreed to imporve VFM. Energy audit carried out to provide further recommendations for energy saving.</t>
  </si>
  <si>
    <t xml:space="preserve">The borough council's elements of the programme were completed September. Screening of the Arisings completed.
Western Power completed works.
All signs completed.
All lighting columns installed and illuminated.
Security bund installed.
</t>
  </si>
  <si>
    <t>Appointment of chartered surveyor programmed for October.</t>
  </si>
  <si>
    <t>Two businesses supported to date</t>
  </si>
  <si>
    <t>Detailed business plan completed in September.</t>
  </si>
  <si>
    <t>Marketing event being planned for January.</t>
  </si>
  <si>
    <t>The plan to install lighting along the Washlands will now be picked up a part of the Town Centre improvement project in partnership with the County Council</t>
  </si>
  <si>
    <t>Executive Decision Record signed agreeing to a 5 year extension to the contract. Results in a £280k annual saving.</t>
  </si>
  <si>
    <r>
      <t>Max Associates have been appointed as project consultants. An initial project meeting was held on 18</t>
    </r>
    <r>
      <rPr>
        <vertAlign val="superscript"/>
        <sz val="12"/>
        <rFont val="Arial"/>
        <family val="2"/>
      </rPr>
      <t>th</t>
    </r>
    <r>
      <rPr>
        <sz val="12"/>
        <rFont val="Arial"/>
        <family val="2"/>
      </rPr>
      <t xml:space="preserve"> August and following that an information gathering exercise was undertaken to collate data on finance, programming and personnel etc. A member officer workshop took place on 29</t>
    </r>
    <r>
      <rPr>
        <vertAlign val="superscript"/>
        <sz val="12"/>
        <rFont val="Arial"/>
        <family val="2"/>
      </rPr>
      <t>TH</t>
    </r>
    <r>
      <rPr>
        <sz val="12"/>
        <rFont val="Arial"/>
        <family val="2"/>
      </rPr>
      <t xml:space="preserve"> September to review and discuss the various options available. A full report will be produced by the end of Q3.</t>
    </r>
  </si>
  <si>
    <t xml:space="preserve">A technical problem with two application types will be resolved with Northgate.  </t>
  </si>
  <si>
    <t xml:space="preserve">On track to achieve savings targets as stated in the Medium Term Financial Strategy </t>
  </si>
  <si>
    <t>Programmed for later in this financial year</t>
  </si>
  <si>
    <t xml:space="preserve">Burton YMCA have been appointed to provide the Rough Sleepers Outreach Service. </t>
  </si>
  <si>
    <t>They are currently undertaking preparatory work and are due to mobilise the service on the 1 November 2016.</t>
  </si>
  <si>
    <t>Not yet due.</t>
  </si>
  <si>
    <t>Customer satisfaction sent to 300 customers on Indoor facilities data base. Customer satisfaction rating (to date) has been achieved.</t>
  </si>
  <si>
    <t>Strategy complete and all outlined actions are on target to be achieved in 2016/17.</t>
  </si>
  <si>
    <t xml:space="preserve">An ongoing marketing performance report is published every other month, containing details of actions and outcomes from marketing activity across cultural services. These are circulated to members in the weekly briefing. All actions as outlined in the individual marketing plans are on course to be achieved.  </t>
  </si>
  <si>
    <t>A facilities review was presented to CMT in August. These operational plans, including a new staffing structure for facilities management will be implemented from October 20th 2016.</t>
  </si>
  <si>
    <t>A report on proposals for Traffic Island and Town Centre Landscaping was taken to CMT in September. It is expected that this report will go on to form part of the SCC/ESBC East Staffordshire Town Centres Regeneration Project.</t>
  </si>
  <si>
    <t>The Sec of State has responded positively to the school scheme. At the time of completion no further updates have been received from Burton Rugby Club regarding progress on the sale of Peel Croft or the development at Tatenhill</t>
  </si>
  <si>
    <t>Three In Bloom Awards achieved, plus recognition of Brizlincote's engagment with the scheme.</t>
  </si>
  <si>
    <t xml:space="preserve">A new Neighbourhood Scheme has been approved by Cabinet (September). This new scheme will come into effect from April 2017. A relaunch of the scheme will take place from November 2016. </t>
  </si>
  <si>
    <t>27 of which 26 were in time - 96%
TOP QUARTILE</t>
  </si>
  <si>
    <t>140 of which 130 were in time - 93%
TOP QUARTILE</t>
  </si>
  <si>
    <t>310 of which 315 were in time - 98%
TOP QUARTILE</t>
  </si>
  <si>
    <t>Current cumulative figure is 1.9 missed bins per 10,000 collections, compared to the Q1 figure of 2.3.</t>
  </si>
  <si>
    <t>Following Q1 results, measures were put in place to tackle performance, resulting in a significant improvement for Q2 of 160 missed bins (1.65 per 10,000 missed bins)</t>
  </si>
  <si>
    <t>This has been rolled out to Members and an officer working group meets regularly</t>
  </si>
  <si>
    <t>Anglesey, Marchignton, Newborogh, Stapenhill were made in Q1 and Q2. Uttoxeter and Denstone are programme for referenda in Q4</t>
  </si>
  <si>
    <t>Programmes &amp; Transformation</t>
  </si>
  <si>
    <t>Report on programme for presentation to CMT in October 2016</t>
  </si>
  <si>
    <t>Report approved that recommended a detailed business plan for mobile working</t>
  </si>
  <si>
    <t>PCC has arranged a County-wide meeting to be held on 11th November to discuss joint working opportunities</t>
  </si>
  <si>
    <t xml:space="preserve">Tender for chartered surveyor to represent the Council in the marketing of the site was processed in September.  </t>
  </si>
  <si>
    <t>No further update.  Target fully achieved</t>
  </si>
  <si>
    <t>Deliver sustainable development at Bargates</t>
  </si>
  <si>
    <t>To facilitate the preferred developer in their submission of a planning application in accordance with relevant supplementary planning document 
(February 2017)</t>
  </si>
  <si>
    <t>Research work on lighting costs and methods have now commenced.</t>
  </si>
  <si>
    <t>Cost plan produced in September.</t>
  </si>
  <si>
    <t>Research work on electric car charging schemes has now commenced</t>
  </si>
  <si>
    <t>Research work on electric car charging schemes is ongoing</t>
  </si>
  <si>
    <t>A launch event has been arranged for January 2017 after which plots willl be released.</t>
  </si>
  <si>
    <t xml:space="preserve">3 projects taken to completion.   
5 further projects awarded funding nearing completion                                                           </t>
  </si>
  <si>
    <t>85-90% of projects taken to completion.</t>
  </si>
  <si>
    <t>Latest forecasts indicate that this is expected to be achieved with a small surplus.</t>
  </si>
  <si>
    <t>New Air Conditioning to be installed from w/c 23 January 2017. New Heating control system being quoted for - to improve performance. New LED lighting installed in upstairs studios.</t>
  </si>
  <si>
    <t>The combined Heat &amp; power unit was fully installed by the 20th December and commissioning of the unit is due w/c 9th January 2017.</t>
  </si>
  <si>
    <t>8.55 days</t>
  </si>
  <si>
    <t>10.52 days</t>
  </si>
  <si>
    <t>3.36 days</t>
  </si>
  <si>
    <t>4.86 days</t>
  </si>
  <si>
    <t>85.17% Council Tax; 86.00% NNDR</t>
  </si>
  <si>
    <t xml:space="preserve">Review completed and findings reported to CMT and LDL in December 2016. </t>
  </si>
  <si>
    <t>More than eight businesses have now been supported in applying for EU grant funding and support activities are ongoing and still available.</t>
  </si>
  <si>
    <t>A community stakeholder workshop event occurred earlier in the year which highlight potential development options. These have since been considered and improvement works to the market square will form part of the town centre regeneration programme next year.</t>
  </si>
  <si>
    <t>A community stakeholder workshop event occurred earlier in the year which highlight potential development options. These have since been considered and improvement works to street furniture on Station Street will form part of the town centre regeneration programme next year.</t>
  </si>
  <si>
    <t xml:space="preserve">Changes made to hardware maintenance contract as required, software maintenance license counts reviewed and adjusted where required. </t>
  </si>
  <si>
    <t>Members identified and a meeting date set for January 2017 in line with the Corporate Plan.</t>
  </si>
  <si>
    <t>Information in relation to Landlord Accreditation has been placed on the ESBC website.</t>
  </si>
  <si>
    <t>All refurbishment works now completed.</t>
  </si>
  <si>
    <t>An improvement plan is in place and performance continues to improve. In Q3, a total of 95 missed bins were recorded (0.99 missed bins per 10,000 collections)</t>
  </si>
  <si>
    <t>1.66 missed bins per 10,000 collections</t>
  </si>
  <si>
    <t>Additional 1 Bikeability, 1 learn to ride and 1 family cycle happened in October, giving 8 opportunities across these areas. The steady cycle route is still planned before March</t>
  </si>
  <si>
    <t>55.19% HBOPs recovered                          61% HBOPs on arrangement</t>
  </si>
  <si>
    <t>45.18% - estimated</t>
  </si>
  <si>
    <t>118.65kg - estimated</t>
  </si>
  <si>
    <t>462.86kg - estimated</t>
  </si>
  <si>
    <t>50.33% - estimated</t>
  </si>
  <si>
    <t>346.22kg - estimated</t>
  </si>
  <si>
    <t>51.75% - estimated</t>
  </si>
  <si>
    <t>Report approved. Work has begun to source suitable mobile working platform. This will form part of the corporate plan for 2017/2018</t>
  </si>
  <si>
    <t>Secondary legislation is awaited.</t>
  </si>
  <si>
    <t>Member briefing to Audit Committee in relation to the Appointment of External Auditors delivered.  Member briefing on the MTFS planned.</t>
  </si>
  <si>
    <t>Meeting held with all relevant partners on site at the Quarry. Productive meeting with a clear set of targets. ESBC to commision the Agronomy Report which is to be carried out in December with a report due in January. Topographical survey also carried out, report in January.</t>
  </si>
  <si>
    <t xml:space="preserve">The options appraisal has been completed and Max Associates have submitted a full report with their recommendations. </t>
  </si>
  <si>
    <t>New interpretation boards to be installed  in quarter 4.</t>
  </si>
  <si>
    <t>Site marketing activities are currently ongoing with an informal tender deadline for bids of January 27th.</t>
  </si>
  <si>
    <t>Work with the preferred developer is ongoing, with a final presentation due on 26th January, ahead of the submission of a planning application in Q4.</t>
  </si>
  <si>
    <t>Q4 typically  higher, hence 3 days end of year forecast</t>
  </si>
  <si>
    <t>11 Applications of which 10 were in time - 91%</t>
  </si>
  <si>
    <t>68 Applications of which 67 were in time - 99%</t>
  </si>
  <si>
    <t>142 Applications of which 141 were in time - 99%</t>
  </si>
  <si>
    <t>6 projects taken to completion                       2 Projects awarded funding and in progress.</t>
  </si>
  <si>
    <t>The final briefing is scheduled for 9th March 2017.</t>
  </si>
  <si>
    <t>Third quarterly briefing held on 11th October 2016</t>
  </si>
  <si>
    <t>9 projects taken to completion  (47%)                  
5 projects awarded funding and in progress.                                                         
3 projects applied for funding 
2 Projects still in development.</t>
  </si>
  <si>
    <t xml:space="preserve">Officers attended HM Land Registry Annual Conference in October, held in Nottingham. 
Monthly search and data figures for November sent to HM Land Registry as requested. </t>
  </si>
  <si>
    <t xml:space="preserve">Uttoxeter and Denstone Neighbourhood Planning Referenda scheduled for February 2017.
</t>
  </si>
  <si>
    <t>Canvass was completed and submitted on 1  December 2016</t>
  </si>
  <si>
    <t>Provisional settlement receieved and inline with expectations.  Draft MTFS being updated to take into account latest forecasts. Budget on track for approval by Council in February 2017.</t>
  </si>
  <si>
    <t>New Policy approved at Cabinet in December, for roll out to managers via Managers Forum.</t>
  </si>
  <si>
    <t>Achieved in Quarter 2</t>
  </si>
  <si>
    <t xml:space="preserve">Review of machine functionality proposed for corporate plan 2017/2018 </t>
  </si>
  <si>
    <t xml:space="preserve">Appraisal completed and report presented to CMT October 2016. No further charging for open spaces. </t>
  </si>
  <si>
    <t>Meeting held on 11th November 2016 between all Staffordshire districts, Stoke and the Office of the Police &amp; Crime Commission, where agreement was reached by all parties to develop a collaborative solution that would yield operational savings.</t>
  </si>
  <si>
    <t>Research work on electric car charging schemes is ongoing.</t>
  </si>
  <si>
    <t>Surveyed August - November</t>
  </si>
  <si>
    <t>Follow up onsultation exercise completed and currently assessing responses</t>
  </si>
  <si>
    <t>Due to be reported at year end</t>
  </si>
  <si>
    <t>a) 1 HA                                                       
b) 8 landlords                                                           
c) 72 Council Tax payers                                                             
d) 0 Business Rate payers                                                               
e) 3 Benefit claimants</t>
  </si>
  <si>
    <t>Target fully achieved in Q2.</t>
  </si>
  <si>
    <t xml:space="preserve"> HWRC is now open to the public.</t>
  </si>
  <si>
    <t>38 of which 36 were in time - 95%
TOP QUARTILE</t>
  </si>
  <si>
    <t>208 of which 197 were in time - 95%
TOP QUARTILE</t>
  </si>
  <si>
    <t>457 of which 451 were in time - 99%
TOP QUARTILE</t>
  </si>
  <si>
    <t>Anglesey, Marchington, Newborough, Stapenhill were made in Q1 and Q2. Uttoxeter and Denstone are programmed for referenda in Q4</t>
  </si>
  <si>
    <t>A range of customer care activities have been embedded throughout the year, including mystery shoppers, mystery telephone calls and the Customer Portal. 
Customer satisfaction sent in Q3 to 235 customers on Indoor facilities data base. Customer satisfaction rating (to date) has been achieved.</t>
  </si>
  <si>
    <t>Accepted as part of the Dementia Action Alliance (Mental Health and Well-being) by demonstrating our commitment to improving lives for people with dementia.</t>
  </si>
  <si>
    <t>New application submitted to extend the Healthy Families (physical activity)initiative until 31st March 2017</t>
  </si>
  <si>
    <t>Commissioned to deliver child obesity programme (nutrition and obesity) from September. Other promotional actvities are being developed</t>
  </si>
  <si>
    <t>Health Related Initiative aimed at Older People programmed for Quarter 4</t>
  </si>
  <si>
    <t>Events have included: 
Christmas Light Switch on;
Late Night Shopping;
Carol singing and brass band performance;
Christmas Craft Market &amp; Christmas Tree giveaway;
Busy Bees;
Monthly car boot sale;
Halloween Spook Market.</t>
  </si>
  <si>
    <t xml:space="preserve">Events have included: 
Thai Boxing;
Learn Direct Starter business taster day;
Record Fayre;
R&amp;B Band Night;
Arch Recordings Band Night
</t>
  </si>
  <si>
    <t>A covering report will be presented to CMT on the 17th January before progressing through the groups to Cabinet on February 13th.</t>
  </si>
  <si>
    <t>Tender documents to be revised due to no acceptable tenders being submitted. Revised tender to be agreed and re-issued January 2017. Aim for contractor to be appointed by March 2017.</t>
  </si>
  <si>
    <t xml:space="preserve">79.31%. </t>
  </si>
  <si>
    <t>Meetings conducted at CMT level with Burton Rugby Club project team. No additional update in terms of the project development.</t>
  </si>
  <si>
    <t>Solar powered touch activated intepretation boards have been costed out and considered too expensive for the benefits that would be derived. An alternative, financially better, option has been developed with traditional interpretation boards with a QR code included to enable visitors to gain more information</t>
  </si>
  <si>
    <t>69.41% HBOPs recovered                          83% HBOPs on arrangement</t>
  </si>
  <si>
    <t>70% HBOPs recovered                              83% HBOPs on arrangement</t>
  </si>
  <si>
    <t>Achieved in Quarter 1</t>
  </si>
  <si>
    <t xml:space="preserve">Information awaited from DWP. </t>
  </si>
  <si>
    <t>a) 88% (only 2 HA Landlords to sign up)          
b) 1.3% (12 landlords)                                                           
c) 361 Council Tax payers                                                             
d) 0 Business Rate payers                                                               
e) 17 Benefit claimants</t>
  </si>
  <si>
    <t>Monthly performance has consistently been at 9 days or less since September 2016.                                                          
As at 31/01/2017, year to date performance is 9.98 days. We are confident this target will be achieved.</t>
  </si>
  <si>
    <t>Monthly performance has consistently been at 3 days or less since September 2016.                                                          
As at 31/01/2017, year to date performance is 4.77 days. Concerted efforts are being taken to improve claims processing for the next two months to achieve target performance.</t>
  </si>
  <si>
    <t>Council Tax £2,154,720.31                         NNDR: £793,347.16                                     Sundry Debts £31,461.43</t>
  </si>
  <si>
    <r>
      <rPr>
        <b/>
        <sz val="12"/>
        <color rgb="FF000000"/>
        <rFont val="Arial"/>
        <family val="2"/>
      </rPr>
      <t>Council Tax:</t>
    </r>
    <r>
      <rPr>
        <sz val="12"/>
        <color rgb="FF000000"/>
        <rFont val="Arial"/>
        <family val="2"/>
      </rPr>
      <t xml:space="preserve"> The figure outstanding is net of accounts on arrangement and being processed for write offs.                                                           </t>
    </r>
    <r>
      <rPr>
        <b/>
        <sz val="12"/>
        <color rgb="FF000000"/>
        <rFont val="Arial"/>
        <family val="2"/>
      </rPr>
      <t>NNDR</t>
    </r>
    <r>
      <rPr>
        <sz val="12"/>
        <color rgb="FF000000"/>
        <rFont val="Arial"/>
        <family val="2"/>
      </rPr>
      <t xml:space="preserve">: The figure outstanding is net of accounts on arrangement and being processed for write offs. This target is on track to be achieved.                                                                             </t>
    </r>
    <r>
      <rPr>
        <b/>
        <sz val="12"/>
        <color rgb="FF000000"/>
        <rFont val="Arial"/>
        <family val="2"/>
      </rPr>
      <t>Sundry Debt</t>
    </r>
    <r>
      <rPr>
        <sz val="12"/>
        <color rgb="FF000000"/>
        <rFont val="Arial"/>
        <family val="2"/>
      </rPr>
      <t xml:space="preserve"> arrears are currently on track to achieve the target.</t>
    </r>
  </si>
  <si>
    <t>Since the end of December we have seen a marked increase in the uptake across all indicators. 100% of HA landlords are now signed up to e-services and we are confident that the Council Tax, Business Rates and Benefit claimants targets will be achieved. We have already targeted private Landlords to sign up to e-services but this is proving to be more difficult.</t>
  </si>
  <si>
    <t>a) 100%                                                        
b) 50%                                                           
c) 504 Council Tax payers                                                             
d) 203 Business Rate payers                                                               
e) 83 Benefit claimants</t>
  </si>
  <si>
    <t>Submission made to PSN authority.</t>
  </si>
  <si>
    <t xml:space="preserve">One element of this target has been addressed through Cabinet previously approving £85k of capital funding to a public art maintenance programme.
However the wider target is being requested for deletion, as the remaining elements of this work are to be merged into the Town Centre Regeneration Programme.
</t>
  </si>
  <si>
    <t>Green Flags awarded for Bramshall, Stapenhill Gardens and the Kingfisher Trail.
The Council is currently challenging the Green Flag report relating to Branston Water Park. The Council is aware that other local authorities are in a similar position with Green Flag.</t>
  </si>
  <si>
    <t>a) 60% of HBOPs overpayments recovered during the year
b) 80% of HBOPs processed and on payment arrangement</t>
  </si>
  <si>
    <t>Collection Rates: 
a) Council Tax 98%  
b) NNDR 99%</t>
  </si>
  <si>
    <t xml:space="preserve">a) Council Tax: 1,500,000
b) NNDR: £500,000
c) Sundry Debts: £45,000
</t>
  </si>
  <si>
    <t>Achieve unqualified opinions on:
a) Statement of Accounts with minimal errors; 
b) In relation to Value for Money</t>
  </si>
  <si>
    <t>Deliver a range of Health Promotion Activity including initiatives based around phase VI of the Healthy City Network work programme, covering; 
a) Nutrition and obesity (1)
b) Mental health and well being (1)
c) Physical activity (1) 
d) Older people (1) 
(March 2017)</t>
  </si>
  <si>
    <t>Multiple Target?</t>
  </si>
  <si>
    <t>Singular target</t>
  </si>
  <si>
    <t>Multiple target</t>
  </si>
  <si>
    <t>Achieve three in Bloom awards in: 
a) Burton 
b) Uttoxeter 
c) Winshill 
(September 2016)</t>
  </si>
  <si>
    <t>Complete the refurbishment of the public toilets at: 
a) Bradley Street, Uttoxeter 
b) Newton Road, Burton
c) Crowberry Lane, Barton 
(March 2017)</t>
  </si>
  <si>
    <t>Jeff Upton</t>
  </si>
  <si>
    <t>During Q4, a total of 122 missed bins were recorded (1.26 per 10,000 collections)</t>
  </si>
  <si>
    <t>214 missed bins recorded in Q1. Equates to 2.3 missed bins per 10,000 collections.</t>
  </si>
  <si>
    <t>6.49 days</t>
  </si>
  <si>
    <t>9.50 days</t>
  </si>
  <si>
    <t>Since September 2016, the Benefits Team has consistently processed claims and changes of circumstance below the target each month. Performance at the start of 2016 was not as good, which has affected the overall figure. However, performance at the start of 2017 is significantly better which is a good indication for the new financial year.</t>
  </si>
  <si>
    <t>4.48 days</t>
  </si>
  <si>
    <t>4.76 days</t>
  </si>
  <si>
    <t>Council Tax collection has improved by 0.21% over 2016/17 and NNDR has improved by 1.23% on 2016/17.</t>
  </si>
  <si>
    <t>The final figures for Council Tax and NNDR are net of sums on arrangement with the Council, including attachments to earnings and benefits, and debts currently with Jacobs Bailiff. Sundry Debts target has been met.</t>
  </si>
  <si>
    <t xml:space="preserve">Introduced a new ‘Young at Heart’ at Uttoxeter LC as part of the Active Adults programme. Sessions start with chair based exercise moving on to non chair based. Currently have 8 enrolled. </t>
  </si>
  <si>
    <t xml:space="preserve">Fourth Quarter briefing held on 8th March 2017 </t>
  </si>
  <si>
    <t>10 Applications of which 9 were in time - 90%</t>
  </si>
  <si>
    <t>74 Applications of which 73 were in time - 99%</t>
  </si>
  <si>
    <t>137 Applications of which 136 were in time - 99%</t>
  </si>
  <si>
    <t xml:space="preserve">14 projects taken to completion                  </t>
  </si>
  <si>
    <t xml:space="preserve">87% (20 out of 23 projects) of the agreed Neighbourhood Working Programme taken to completion. </t>
  </si>
  <si>
    <t>The remaining 3 projects not completed but funding has been awarded</t>
  </si>
  <si>
    <t>Completed in Quarter 3</t>
  </si>
  <si>
    <t>Completed in Quarter 2</t>
  </si>
  <si>
    <t>Completed in Quarter 1</t>
  </si>
  <si>
    <t xml:space="preserve">Phase 3 has been implemented. Contractor appointed early March 2017 as per revised project plans. 
Novus Property solutions to undertake the work. </t>
  </si>
  <si>
    <t>Work planned for Summer 2018</t>
  </si>
  <si>
    <t>Year 1 of the 2 year programme has been completed. Air Conditioning system has been contracted and installation to take place. Work on the Brewhouse roof contracted and taking place April 2017. New energy efficient lighting has been implemented and a programme of replacement begun in October 2016 which is ongoing.</t>
  </si>
  <si>
    <t>Awaiting formal notification from GCHQ.</t>
  </si>
  <si>
    <t>Officer and Member Steering groups met on 19th and 23rd January respectively.
We have appointed Pozzoni Architects to draw up a specification and cost plan to consider refurbishment to old Town Hall as preferred accommodation option post May 2018.</t>
  </si>
  <si>
    <t>6 Neighbourhood Plans "made"</t>
  </si>
  <si>
    <t>Budget approved by Council in February 2017</t>
  </si>
  <si>
    <t>Member Briefing on MTFS held in the Quarter 4</t>
  </si>
  <si>
    <t>Develop a number of cycling projects in support of the Borough's Cycling Strategy including; 
a) 6 family cycle days
b) 6 Bikeability  
c) 6 Balance Ability Sessions 
d) The introduction of a new 'Steady' cycle ride route in and around Uttoxeter
(March 2017)</t>
  </si>
  <si>
    <t xml:space="preserve">A total of 591 missed bins have been recorded for the year. This equates to 1.5 per 10,000 collections. </t>
  </si>
  <si>
    <t>a) 75.78% recovered;                              
b) 84% on arrangement</t>
  </si>
  <si>
    <t>a) 72.06% recovered;                              
b) 84% on arrangement</t>
  </si>
  <si>
    <t>a) Council Tax 97.51%;
b) NNDR 98.76%</t>
  </si>
  <si>
    <t>a) Council Tax £1,927,772.27;               
b) NNDR £589,292.87;                              
c) Sundry Debts £34,702.27</t>
  </si>
  <si>
    <t>The recommendations provided by Max Associates were approved by Cabinet on the 13th February 2017</t>
  </si>
  <si>
    <t>12 days</t>
  </si>
  <si>
    <r>
      <t xml:space="preserve">282 Applications of which 270 were in time - 96%
</t>
    </r>
    <r>
      <rPr>
        <sz val="12"/>
        <rFont val="Arial"/>
        <family val="2"/>
      </rPr>
      <t>TOP QUARTILE</t>
    </r>
  </si>
  <si>
    <r>
      <t xml:space="preserve">48 Applications of which 45 were in time - 94%
</t>
    </r>
    <r>
      <rPr>
        <sz val="12"/>
        <rFont val="Arial"/>
        <family val="2"/>
      </rPr>
      <t>TOP QUARTILE</t>
    </r>
  </si>
  <si>
    <r>
      <t xml:space="preserve">594 Applications of which 587 were in time - 99%
</t>
    </r>
    <r>
      <rPr>
        <sz val="12"/>
        <rFont val="Arial"/>
        <family val="2"/>
      </rPr>
      <t>TOP QUARTILE</t>
    </r>
  </si>
  <si>
    <t>We have continued to work with DWP and partners to ensure preparations are set in place for the roll out of Full Service Universal Credit. The roll-out will take place in August 2018 in East Staffordshire.</t>
  </si>
  <si>
    <t>2 briefings delivered
Member Briefing on MTFS held in Quarter 4 and Audit Committee Briefing held in Quarter 3.</t>
  </si>
  <si>
    <t>a) RSLs: 100%                                                              
b) Private Landlords: 12%;                                                                
c) Council Tax payers:496;                                                         
d) Business Rate payers: 1;                                                            
e) Benefit claimants: 34</t>
  </si>
  <si>
    <t>Bids have been received for the site (January 2017) and have been compared against an independent valuation. A preferred developer has been identified (February 2017) - subject to Council approval.</t>
  </si>
  <si>
    <t xml:space="preserve">26 businesses have now been met with in order to provide support in applying for EU grant funding. </t>
  </si>
  <si>
    <t>Support activities are ongoing and still available.</t>
  </si>
  <si>
    <t xml:space="preserve">Self build plots marketed for sale at an event held in January, including individual plots being discussed with those attendees who have expressed a purchase interest in specific plots. </t>
  </si>
  <si>
    <t>A business plan and viability study was completed and presented to CMT in January 2017.</t>
  </si>
  <si>
    <t>2
(EM-Con Comic Convention; Ultra White Collar Boxing)</t>
  </si>
  <si>
    <t xml:space="preserve">4
(Valentines Craft Market; Busy Bee’s Children’s holiday activities; Free bouncy Castle during Half Term; Car boot sale)
</t>
  </si>
  <si>
    <t xml:space="preserve">
a) RSLs: 100%                                                              
b) Private Landlords: 12%;                                                                
c) Council Tax payers:496;                                                         
d) Business Rate payers: 1;                                                            
e) Benefit claimants: 34</t>
  </si>
  <si>
    <t xml:space="preserve">Private landlords (b), business ratepayers (d) and benefit claimants (e) have not taken the opportunity to sign up to e-services despite our engagement with them. We will continue to encourage sign up to e-services across the service as we move forward. </t>
  </si>
  <si>
    <t>Meetings are continuing at CMT level with Burton Rugby Club to assist in facilitating the development of plans.</t>
  </si>
  <si>
    <t xml:space="preserve">ESBC commissioned an Agronomy Report which the results have now been received and present to Aggregate Industries to discuss the next steps in preparing the land for Sports Use. </t>
  </si>
  <si>
    <t>Meetings are continuing with the CIO and partners to assist in facilitating the development of plans</t>
  </si>
  <si>
    <t>Achieve four Green Flags for: 
a) Bramshall  
b) Branston Water Park
c)Stapenhill Gardens 
d) The Kingfisher Trail 
(December 2016)</t>
  </si>
  <si>
    <t xml:space="preserve">The Corporate representatives have also satisfactorily implemented the necessary project management processes in readiness for delivery of the  procurement phase of the project throughout 2017/18 &amp; 2018/19. </t>
  </si>
  <si>
    <t xml:space="preserve">All corporate representatives that worked on the strategic leisure appraisal have satisfactorily contributed to that phase, resulting in the relevant data gathering, facilitation of the strategic objective setting and all other project milestones for 2016/17 being achieved, leading to the options appraisal being successfully completed as targeted in VFM01. </t>
  </si>
  <si>
    <t>All work required for 2016/17 completed in accordance with the requirements. 
Monthly figures sent to HM Land Registry as required during Quarter 4</t>
  </si>
  <si>
    <t>Savings targets achieved 
(subject to final outturn)</t>
  </si>
  <si>
    <t>All Neighbourhood Planning Referenda held in 2016/17 were completed in accordance with stautory requirements. 
Uttoxeter and Denstone Neighbourhhod Planning Referenda were held on 2nd February.
6 Neighbourhood Plans have been made during the 2016/17 year.</t>
  </si>
  <si>
    <t>Anglesey, Marchington, Newborough, Stapenhill were made in Quarter 1 and Quarter 2. Uttoxeter and Denstone made in Quarter 4</t>
  </si>
  <si>
    <t xml:space="preserve">450.23kg - estimated </t>
  </si>
  <si>
    <t>50.88% - estimated</t>
  </si>
  <si>
    <t xml:space="preserve">44.47% - estimated </t>
  </si>
  <si>
    <t>113kg - estimated</t>
  </si>
  <si>
    <t xml:space="preserve">A range of customer care activities have been embedded throughout the year, including mystery shoppers, mystery telephone calls and the Customer Portal. 
The sites achieved an overall Customer satisfaction rating of 83% through mystery telephone calls and mystery visits. </t>
  </si>
  <si>
    <t>b) The Council is aware that a number of other authorities have failed to meet the GF criteria this year despite achieving the standard in previous years. Examples from the judges of shortcomings at Branston Water Park included:
● Café opening hours too short
● Water level too low (judges were however informed of impact of Barton Marina)
● Fishing pegs not up to standard - officers meet regularly with fishermen and this has not previously been reported to us as an issue
● Bird viewing screen in the wrong place - this has not been raised as an issue in the previous 7 years</t>
  </si>
  <si>
    <t xml:space="preserve">
b) As a consequence the Open Spaces Team are reviewing  
the quality assurance frameworks for parks and open spaces and identifying a revised approach for all our Green Flag parks / open spaces during the coming financial year (as targeted in 2017/18 Corporate Plan indicator PSC08). </t>
  </si>
  <si>
    <t>Quarterly performance reports have been provided throughout the year.</t>
  </si>
  <si>
    <t>Above 85% of all marketing targets have been achieved in 2016/17.</t>
  </si>
  <si>
    <t>a) Commissioned to deliver child obesity programme from September (nutrition and obesity) 
b) Accepted as part of the Dementia Action Alliance by demonstrating our commitment to improving lives for people with dementia (Mental Health and Well-being) 
c) Healthy Families initiative extended until 31st March 2017 (physical activity)
d) Introduced a new ‘Young at Heart’ at Uttoxeter LC as part of the Active Adults programme (older people)</t>
  </si>
  <si>
    <t>A second scheme was run during the summer, based at Shobnall, but open to Uttoxeter people. 
16 people attend</t>
  </si>
  <si>
    <t>2 schemes completed, the first in Quarter 1 and the second in Quarter 3.</t>
  </si>
  <si>
    <t xml:space="preserve">a) Green Flag awarded for Bramshall  
b) The Council, despite challenging the initial outcome, has now received confirmation that Branston Water Park did not meet the qualifying criteria for the award. 
c) Green Flag awarded for Stapenhill Gardens 
d) Green Flag awarded for the Kingfisher Trail </t>
  </si>
  <si>
    <r>
      <t>Further bikeability, balanceability and learn to ride days were organised in February  half term. Therefore: 
a) 9 family cycle days;
b) 9 bikeability;
c) 9 balanceability sessions;
d) The ‘Steady’ cycle route has been developed, mapped and will be delivered as part of the Summer 2017 cycling programme.</t>
    </r>
    <r>
      <rPr>
        <sz val="12"/>
        <color rgb="FFFF0000"/>
        <rFont val="Arial"/>
        <family val="2"/>
      </rPr>
      <t>’</t>
    </r>
  </si>
  <si>
    <t>a) 9 family cycle days;
b) 9 bikeability;
c) 9 balanceability sessions;
d) Completed</t>
  </si>
  <si>
    <t xml:space="preserve">The Housing White Paper was published in February 2017. A draft response to the consultation is being prepared for submission by the May 2nd deadline, following input from the relevant Deputy Leader, Leader and Chair of Planning Committee. </t>
  </si>
  <si>
    <t>The necessary work has been undertaken in accordance with the requirements.</t>
  </si>
  <si>
    <t>The preferred developer has been facilitated in their work, leading to the creation of an appropriate scheme for Bargates by February 2017 but which has yet to be submitted due to having to give consideration as to whether a Polyclinic is suitable on the site.</t>
  </si>
  <si>
    <t xml:space="preserve">A planning application is expected to be submitted in Quarter 1 2017/18, and additional facilitation work will be provided on an ongoing basis as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</si>
</sst>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mmm\ yyyy"/>
    <numFmt numFmtId="165" formatCode="#,##0_ ;[Red]\-#,##0\ "/>
  </numFmts>
  <fonts count="7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sz val="12"/>
      <color rgb="FFFF0000"/>
      <name val="Arial"/>
      <family val="2"/>
    </font>
    <font>
      <b/>
      <sz val="12"/>
      <color rgb="FFFF0000"/>
      <name val="Arial"/>
      <family val="2"/>
    </font>
    <font>
      <vertAlign val="superscript"/>
      <sz val="12"/>
      <name val="Arial"/>
      <family val="2"/>
    </font>
    <font>
      <b/>
      <sz val="48"/>
      <name val="Arial"/>
      <family val="2"/>
    </font>
    <font>
      <b/>
      <sz val="12"/>
      <color rgb="FF00B050"/>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cellStyleXfs>
  <cellXfs count="559">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0" fillId="8" borderId="0" xfId="0" applyFill="1"/>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2" fillId="8" borderId="3"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7" borderId="3" xfId="0" applyFont="1" applyFill="1" applyBorder="1" applyAlignment="1" applyProtection="1">
      <alignment horizontal="left" vertical="center" wrapText="1"/>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1" fillId="0" borderId="1" xfId="0" applyFont="1" applyFill="1" applyBorder="1" applyAlignment="1" applyProtection="1">
      <alignment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0" fontId="2"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1" fontId="10" fillId="18" borderId="6" xfId="0" applyNumberFormat="1" applyFont="1" applyFill="1" applyBorder="1" applyAlignment="1" applyProtection="1">
      <alignment horizontal="left" vertical="center"/>
    </xf>
    <xf numFmtId="1" fontId="10" fillId="18" borderId="7" xfId="0" applyNumberFormat="1" applyFont="1" applyFill="1" applyBorder="1" applyAlignment="1" applyProtection="1">
      <alignment horizontal="left"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9" fontId="35" fillId="0" borderId="3" xfId="0" applyNumberFormat="1"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6" fillId="0" borderId="3" xfId="0" applyFont="1" applyFill="1" applyBorder="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62" fillId="0" borderId="0" xfId="0" applyFont="1" applyAlignment="1" applyProtection="1">
      <alignment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164" fontId="1" fillId="23"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63" fillId="18" borderId="3" xfId="0" applyFont="1" applyFill="1" applyBorder="1" applyAlignment="1" applyProtection="1">
      <alignment horizontal="center" vertical="center" wrapText="1"/>
    </xf>
    <xf numFmtId="0" fontId="7" fillId="21" borderId="3" xfId="0" applyFont="1" applyFill="1" applyBorder="1" applyAlignment="1" applyProtection="1">
      <alignment horizontal="left" vertical="center" wrapText="1"/>
    </xf>
    <xf numFmtId="9" fontId="7" fillId="21" borderId="3" xfId="0" applyNumberFormat="1"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35" fillId="5" borderId="3" xfId="0" applyFont="1" applyFill="1" applyBorder="1" applyAlignment="1" applyProtection="1">
      <alignment horizontal="left" vertical="center" wrapText="1"/>
    </xf>
    <xf numFmtId="6" fontId="6" fillId="0" borderId="3" xfId="0" applyNumberFormat="1"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10" fontId="35" fillId="5" borderId="3" xfId="0" applyNumberFormat="1" applyFont="1" applyFill="1" applyBorder="1" applyAlignment="1" applyProtection="1">
      <alignment horizontal="left" vertical="center" wrapText="1"/>
    </xf>
    <xf numFmtId="9" fontId="6" fillId="0" borderId="3" xfId="0" applyNumberFormat="1"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35" fillId="5"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6" fillId="0" borderId="3" xfId="0" applyFont="1" applyFill="1" applyBorder="1" applyAlignment="1" applyProtection="1">
      <alignment horizontal="left"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9" fillId="8" borderId="4" xfId="0" applyFont="1" applyFill="1" applyBorder="1" applyAlignment="1" applyProtection="1">
      <alignment horizontal="center" vertical="center"/>
    </xf>
    <xf numFmtId="0" fontId="69" fillId="8" borderId="3" xfId="0" applyFont="1" applyFill="1" applyBorder="1" applyAlignment="1" applyProtection="1">
      <alignment horizontal="center" vertical="center" wrapText="1"/>
    </xf>
    <xf numFmtId="0" fontId="1" fillId="13"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20" fillId="18" borderId="3" xfId="0" applyFont="1" applyFill="1" applyBorder="1" applyAlignment="1" applyProtection="1">
      <alignment horizontal="left" vertical="top" wrapText="1"/>
    </xf>
    <xf numFmtId="0" fontId="63" fillId="18" borderId="3" xfId="0" applyFont="1" applyFill="1" applyBorder="1" applyAlignment="1" applyProtection="1">
      <alignment horizontal="left" vertical="top" wrapText="1"/>
    </xf>
    <xf numFmtId="0" fontId="2" fillId="5" borderId="3" xfId="0" applyFont="1" applyFill="1" applyBorder="1" applyAlignment="1" applyProtection="1">
      <alignment horizontal="center" vertical="center" wrapText="1"/>
    </xf>
    <xf numFmtId="8" fontId="35" fillId="5" borderId="3" xfId="0" applyNumberFormat="1" applyFont="1" applyFill="1" applyBorder="1" applyAlignment="1" applyProtection="1">
      <alignment horizontal="left" vertical="center" wrapText="1"/>
    </xf>
    <xf numFmtId="2" fontId="35" fillId="5" borderId="3" xfId="0" applyNumberFormat="1"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6"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0" fontId="35" fillId="5" borderId="0" xfId="0" applyFont="1" applyFill="1" applyAlignment="1" applyProtection="1">
      <alignment horizontal="left" vertical="center" wrapText="1"/>
    </xf>
    <xf numFmtId="0" fontId="0" fillId="5" borderId="3" xfId="0" applyFill="1" applyBorder="1" applyAlignment="1" applyProtection="1">
      <alignment horizontal="left" vertical="top" wrapText="1"/>
    </xf>
    <xf numFmtId="0" fontId="35" fillId="5" borderId="3" xfId="0" applyFont="1" applyFill="1" applyBorder="1" applyAlignment="1" applyProtection="1">
      <alignment wrapText="1"/>
    </xf>
    <xf numFmtId="0" fontId="1" fillId="5" borderId="3"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xf>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6" fillId="0" borderId="0" xfId="0" applyFont="1" applyFill="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Fill="1" applyAlignment="1" applyProtection="1">
      <alignment wrapText="1"/>
    </xf>
    <xf numFmtId="1" fontId="61" fillId="9" borderId="0"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left" vertical="center" wrapText="1"/>
    </xf>
    <xf numFmtId="0" fontId="52" fillId="5" borderId="3" xfId="0"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top" wrapText="1"/>
    </xf>
    <xf numFmtId="9" fontId="52" fillId="0" borderId="3" xfId="0" applyNumberFormat="1" applyFont="1" applyFill="1" applyBorder="1" applyAlignment="1" applyProtection="1">
      <alignment horizontal="left" vertical="center" wrapText="1"/>
    </xf>
    <xf numFmtId="0" fontId="52" fillId="0" borderId="3" xfId="0" applyFont="1" applyFill="1" applyBorder="1" applyAlignment="1" applyProtection="1">
      <alignment horizontal="left" vertical="top" wrapText="1"/>
    </xf>
    <xf numFmtId="9" fontId="52" fillId="8" borderId="3" xfId="0" applyNumberFormat="1" applyFont="1" applyFill="1" applyBorder="1" applyAlignment="1" applyProtection="1">
      <alignment horizontal="left" vertical="center" wrapText="1"/>
    </xf>
    <xf numFmtId="9" fontId="52" fillId="5" borderId="3" xfId="0" applyNumberFormat="1" applyFont="1" applyFill="1" applyBorder="1" applyAlignment="1" applyProtection="1">
      <alignment horizontal="left" vertical="center" wrapText="1"/>
    </xf>
    <xf numFmtId="10" fontId="52" fillId="0" borderId="3" xfId="0" applyNumberFormat="1" applyFont="1" applyFill="1" applyBorder="1" applyAlignment="1" applyProtection="1">
      <alignment horizontal="left" vertical="center" wrapText="1"/>
    </xf>
    <xf numFmtId="8" fontId="52" fillId="0" borderId="3" xfId="0" applyNumberFormat="1" applyFont="1" applyFill="1" applyBorder="1" applyAlignment="1" applyProtection="1">
      <alignment horizontal="left" vertical="center" wrapText="1"/>
    </xf>
    <xf numFmtId="6" fontId="52" fillId="0" borderId="3" xfId="0" applyNumberFormat="1" applyFont="1" applyFill="1" applyBorder="1" applyAlignment="1" applyProtection="1">
      <alignment horizontal="left" vertical="center" wrapText="1"/>
    </xf>
    <xf numFmtId="1" fontId="52" fillId="0" borderId="3" xfId="0" applyNumberFormat="1" applyFont="1" applyFill="1" applyBorder="1" applyAlignment="1" applyProtection="1">
      <alignment horizontal="left" vertical="center" wrapText="1"/>
    </xf>
    <xf numFmtId="2" fontId="52" fillId="0" borderId="3" xfId="0" applyNumberFormat="1" applyFont="1" applyFill="1" applyBorder="1" applyAlignment="1" applyProtection="1">
      <alignment horizontal="left" vertical="center" wrapText="1"/>
    </xf>
    <xf numFmtId="0" fontId="0" fillId="8" borderId="3" xfId="0" applyFont="1" applyFill="1" applyBorder="1" applyAlignment="1" applyProtection="1">
      <alignment horizontal="left" vertical="top" wrapText="1"/>
    </xf>
    <xf numFmtId="0" fontId="52" fillId="5"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67" fillId="8"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8" fontId="35" fillId="0" borderId="3" xfId="0" applyNumberFormat="1" applyFont="1" applyFill="1" applyBorder="1" applyAlignment="1" applyProtection="1">
      <alignment horizontal="left" vertical="center" wrapText="1"/>
      <protection locked="0"/>
    </xf>
    <xf numFmtId="10"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35" fillId="0" borderId="3" xfId="0" applyNumberFormat="1" applyFont="1" applyFill="1" applyBorder="1" applyAlignment="1" applyProtection="1">
      <alignment horizontal="left" vertical="center" wrapText="1"/>
      <protection locked="0"/>
    </xf>
    <xf numFmtId="0" fontId="35" fillId="0" borderId="3"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left" vertical="center" wrapText="1"/>
      <protection locked="0"/>
    </xf>
    <xf numFmtId="164" fontId="63" fillId="18" borderId="3" xfId="0" applyNumberFormat="1" applyFont="1" applyFill="1" applyBorder="1" applyAlignment="1" applyProtection="1">
      <alignment horizontal="left" vertical="center" wrapText="1"/>
    </xf>
    <xf numFmtId="0" fontId="63" fillId="18" borderId="3" xfId="0" applyFont="1" applyFill="1" applyBorder="1" applyAlignment="1" applyProtection="1">
      <alignment horizontal="left" vertical="center" wrapText="1"/>
    </xf>
    <xf numFmtId="0" fontId="50" fillId="0" borderId="0" xfId="0" applyFont="1" applyAlignment="1" applyProtection="1">
      <alignment vertical="center" wrapText="1"/>
    </xf>
    <xf numFmtId="165" fontId="35" fillId="0" borderId="3" xfId="0" applyNumberFormat="1" applyFont="1" applyFill="1" applyBorder="1" applyAlignment="1" applyProtection="1">
      <alignment horizontal="left" vertical="center" wrapText="1"/>
      <protection locked="0"/>
    </xf>
    <xf numFmtId="0" fontId="67" fillId="0" borderId="3" xfId="0" applyFont="1" applyFill="1" applyBorder="1" applyAlignment="1" applyProtection="1">
      <alignment horizontal="left" vertical="center" wrapText="1"/>
      <protection locked="0"/>
    </xf>
    <xf numFmtId="9" fontId="35" fillId="5" borderId="0" xfId="0" applyNumberFormat="1" applyFont="1" applyFill="1" applyAlignment="1" applyProtection="1">
      <alignment horizontal="left" vertical="center" wrapText="1"/>
    </xf>
    <xf numFmtId="0" fontId="20" fillId="18" borderId="6" xfId="0" applyFont="1" applyFill="1" applyBorder="1" applyAlignment="1" applyProtection="1">
      <alignment horizontal="left" vertical="center" wrapText="1"/>
    </xf>
    <xf numFmtId="0" fontId="52" fillId="0" borderId="4" xfId="0" applyFont="1" applyFill="1" applyBorder="1" applyAlignment="1" applyProtection="1">
      <alignment horizontal="left" vertical="top" wrapText="1"/>
    </xf>
    <xf numFmtId="0" fontId="20" fillId="18" borderId="6"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20" fillId="18" borderId="7" xfId="0" applyFont="1" applyFill="1" applyBorder="1" applyAlignment="1" applyProtection="1">
      <alignment horizontal="center" vertical="center" wrapText="1"/>
    </xf>
    <xf numFmtId="0" fontId="70" fillId="0" borderId="3" xfId="0" applyFont="1" applyFill="1" applyBorder="1" applyAlignment="1" applyProtection="1">
      <alignment horizontal="left" vertical="center" wrapText="1"/>
      <protection locked="0"/>
    </xf>
    <xf numFmtId="0" fontId="35" fillId="23" borderId="3" xfId="0" applyFont="1" applyFill="1" applyBorder="1" applyAlignment="1" applyProtection="1">
      <alignment horizontal="left" vertical="center" wrapText="1"/>
    </xf>
    <xf numFmtId="0" fontId="1" fillId="23" borderId="3" xfId="0" applyFont="1" applyFill="1" applyBorder="1" applyAlignment="1" applyProtection="1">
      <alignment horizontal="center" vertical="center" wrapText="1"/>
    </xf>
    <xf numFmtId="0" fontId="52" fillId="5" borderId="3" xfId="0" applyFont="1" applyFill="1" applyBorder="1" applyAlignment="1" applyProtection="1">
      <alignment horizontal="left" vertical="center" wrapText="1"/>
      <protection locked="0"/>
    </xf>
    <xf numFmtId="0" fontId="1" fillId="23" borderId="3" xfId="0" applyFont="1" applyFill="1" applyBorder="1" applyAlignment="1" applyProtection="1">
      <alignment horizontal="center" vertical="center" wrapText="1"/>
      <protection locked="0"/>
    </xf>
    <xf numFmtId="10" fontId="7" fillId="0" borderId="3" xfId="0" applyNumberFormat="1" applyFont="1" applyFill="1" applyBorder="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8" xfId="2" applyFont="1" applyFill="1" applyAlignment="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center" vertical="center" wrapText="1"/>
    </xf>
    <xf numFmtId="1" fontId="61" fillId="9" borderId="34" xfId="0" applyNumberFormat="1" applyFont="1" applyFill="1" applyBorder="1" applyAlignment="1" applyProtection="1">
      <alignment horizontal="center" vertical="center" wrapText="1"/>
    </xf>
    <xf numFmtId="1" fontId="61" fillId="9" borderId="35" xfId="0" applyNumberFormat="1" applyFont="1" applyFill="1" applyBorder="1" applyAlignment="1" applyProtection="1">
      <alignment horizontal="center"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4">
    <cellStyle name="Heading 2" xfId="2" builtinId="17"/>
    <cellStyle name="Hyperlink" xfId="3" builtinId="8"/>
    <cellStyle name="Normal" xfId="0" builtinId="0"/>
    <cellStyle name="Normal 2 2" xfId="1"/>
  </cellStyles>
  <dxfs count="291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92D05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00863D"/>
      <color rgb="FFFF00FF"/>
      <color rgb="FFFFFF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0.98765432098765427</c:v>
                </c:pt>
                <c:pt idx="1">
                  <c:v>0.98989898989898983</c:v>
                </c:pt>
                <c:pt idx="2">
                  <c:v>0.95283018867924529</c:v>
                </c:pt>
                <c:pt idx="3">
                  <c:v>0.95412844036697253</c:v>
                </c:pt>
              </c:numCache>
            </c:numRef>
          </c:val>
          <c:smooth val="0"/>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1.2345679012345678E-2</c:v>
                </c:pt>
                <c:pt idx="1">
                  <c:v>1.0101010101010102E-2</c:v>
                </c:pt>
                <c:pt idx="2">
                  <c:v>4.716981132075472E-2</c:v>
                </c:pt>
                <c:pt idx="3">
                  <c:v>3.669724770642202E-2</c:v>
                </c:pt>
              </c:numCache>
            </c:numRef>
          </c:val>
          <c:smooth val="0"/>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0</c:v>
                </c:pt>
                <c:pt idx="1">
                  <c:v>0</c:v>
                </c:pt>
                <c:pt idx="2">
                  <c:v>0</c:v>
                </c:pt>
                <c:pt idx="3">
                  <c:v>9.1743119266055051E-3</c:v>
                </c:pt>
              </c:numCache>
            </c:numRef>
          </c:val>
          <c:smooth val="0"/>
        </c:ser>
        <c:dLbls>
          <c:showLegendKey val="0"/>
          <c:showVal val="1"/>
          <c:showCatName val="0"/>
          <c:showSerName val="0"/>
          <c:showPercent val="0"/>
          <c:showBubbleSize val="0"/>
        </c:dLbls>
        <c:smooth val="0"/>
        <c:axId val="344181208"/>
        <c:axId val="388404288"/>
      </c:lineChart>
      <c:catAx>
        <c:axId val="344181208"/>
        <c:scaling>
          <c:orientation val="minMax"/>
        </c:scaling>
        <c:delete val="0"/>
        <c:axPos val="b"/>
        <c:numFmt formatCode="General" sourceLinked="0"/>
        <c:majorTickMark val="out"/>
        <c:minorTickMark val="none"/>
        <c:tickLblPos val="nextTo"/>
        <c:txPr>
          <a:bodyPr/>
          <a:lstStyle/>
          <a:p>
            <a:pPr>
              <a:defRPr lang="en-US"/>
            </a:pPr>
            <a:endParaRPr lang="en-US"/>
          </a:p>
        </c:txPr>
        <c:crossAx val="388404288"/>
        <c:crosses val="autoZero"/>
        <c:auto val="1"/>
        <c:lblAlgn val="ctr"/>
        <c:lblOffset val="100"/>
        <c:noMultiLvlLbl val="0"/>
      </c:catAx>
      <c:valAx>
        <c:axId val="3884042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1812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PRIORITY'!$AY$23:$AY$25</c:f>
              <c:strCache>
                <c:ptCount val="3"/>
                <c:pt idx="0">
                  <c:v>Green</c:v>
                </c:pt>
                <c:pt idx="1">
                  <c:v>Amber</c:v>
                </c:pt>
                <c:pt idx="2">
                  <c:v>Red</c:v>
                </c:pt>
              </c:strCache>
            </c:strRef>
          </c:cat>
          <c:val>
            <c:numRef>
              <c:f>'4. CHARTS BY PRIORITY'!$BA$23:$BA$25</c:f>
              <c:numCache>
                <c:formatCode>0.00%</c:formatCode>
                <c:ptCount val="3"/>
                <c:pt idx="0">
                  <c:v>1</c:v>
                </c:pt>
                <c:pt idx="1">
                  <c:v>0</c:v>
                </c:pt>
                <c:pt idx="2">
                  <c:v>0</c:v>
                </c:pt>
              </c:numCache>
            </c:numRef>
          </c:val>
        </c:ser>
        <c:dLbls>
          <c:showLegendKey val="0"/>
          <c:showVal val="0"/>
          <c:showCatName val="0"/>
          <c:showSerName val="0"/>
          <c:showPercent val="0"/>
          <c:showBubbleSize val="0"/>
          <c:showLeaderLines val="1"/>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PRIORITY'!$BA$39:$BA$41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PRIORITY'!$AY$55:$AY$57</c:f>
            </c:multiLvlStrRef>
          </c:cat>
          <c:val>
            <c:numRef>
              <c:f>'4. CHARTS BY PRIORITY'!$BA$55:$BA$57</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PRIORITY'!$BB$7:$BB$9</c:f>
              <c:numCache>
                <c:formatCode>0.00%</c:formatCode>
                <c:ptCount val="3"/>
                <c:pt idx="0">
                  <c:v>0.95283018867924529</c:v>
                </c:pt>
                <c:pt idx="1">
                  <c:v>4.716981132075472E-2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PRIORITY'!$BC$7:$BC$9</c:f>
              <c:numCache>
                <c:formatCode>0.00%</c:formatCode>
                <c:ptCount val="3"/>
                <c:pt idx="0">
                  <c:v>0.95412844036697253</c:v>
                </c:pt>
                <c:pt idx="1">
                  <c:v>3.669724770642202E-2</c:v>
                </c:pt>
                <c:pt idx="2">
                  <c:v>9.1743119266055051E-3</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PRIORITY'!$AY$23:$AY$25</c:f>
              <c:strCache>
                <c:ptCount val="3"/>
                <c:pt idx="0">
                  <c:v>Green</c:v>
                </c:pt>
                <c:pt idx="1">
                  <c:v>Amber</c:v>
                </c:pt>
                <c:pt idx="2">
                  <c:v>Red</c:v>
                </c:pt>
              </c:strCache>
            </c:strRef>
          </c:cat>
          <c:val>
            <c:numRef>
              <c:f>'4. CHARTS BY PRIORITY'!$BB$23:$BB$25</c:f>
              <c:numCache>
                <c:formatCode>0.00%</c:formatCode>
                <c:ptCount val="3"/>
                <c:pt idx="0">
                  <c:v>0.9375</c:v>
                </c:pt>
                <c:pt idx="1">
                  <c:v>6.25E-2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PRIORITY'!$AY$23:$AY$25</c:f>
              <c:strCache>
                <c:ptCount val="3"/>
                <c:pt idx="0">
                  <c:v>Green</c:v>
                </c:pt>
                <c:pt idx="1">
                  <c:v>Amber</c:v>
                </c:pt>
                <c:pt idx="2">
                  <c:v>Red</c:v>
                </c:pt>
              </c:strCache>
            </c:strRef>
          </c:cat>
          <c:val>
            <c:numRef>
              <c:f>'4. CHARTS BY PRIORITY'!$BC$23:$BC$25</c:f>
              <c:numCache>
                <c:formatCode>0.00%</c:formatCode>
                <c:ptCount val="3"/>
                <c:pt idx="0">
                  <c:v>0.94117647058823528</c:v>
                </c:pt>
                <c:pt idx="1">
                  <c:v>3.9215686274509803E-2</c:v>
                </c:pt>
                <c:pt idx="2">
                  <c:v>1.9607843137254902E-2</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PRIORITY'!$BB$39:$BB$41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PRIORITY'!$BC$39:$BC$41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PRIORITY'!$AY$55:$AY$57</c:f>
            </c:multiLvlStrRef>
          </c:cat>
          <c:val>
            <c:numRef>
              <c:f>'4. CHARTS BY PRIORITY'!$BB$55:$BB$57</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1</c:v>
                </c:pt>
                <c:pt idx="1">
                  <c:v>1</c:v>
                </c:pt>
                <c:pt idx="2">
                  <c:v>0.9375</c:v>
                </c:pt>
                <c:pt idx="3">
                  <c:v>0.94117647058823528</c:v>
                </c:pt>
              </c:numCache>
            </c:numRef>
          </c:val>
          <c:smooth val="0"/>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6.25E-2</c:v>
                </c:pt>
                <c:pt idx="3">
                  <c:v>3.9215686274509803E-2</c:v>
                </c:pt>
              </c:numCache>
            </c:numRef>
          </c:val>
          <c:smooth val="0"/>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0</c:v>
                </c:pt>
                <c:pt idx="1">
                  <c:v>0</c:v>
                </c:pt>
                <c:pt idx="2">
                  <c:v>0</c:v>
                </c:pt>
                <c:pt idx="3">
                  <c:v>1.9607843137254902E-2</c:v>
                </c:pt>
              </c:numCache>
            </c:numRef>
          </c:val>
          <c:smooth val="0"/>
        </c:ser>
        <c:dLbls>
          <c:showLegendKey val="0"/>
          <c:showVal val="1"/>
          <c:showCatName val="0"/>
          <c:showSerName val="0"/>
          <c:showPercent val="0"/>
          <c:showBubbleSize val="0"/>
        </c:dLbls>
        <c:smooth val="0"/>
        <c:axId val="398589160"/>
        <c:axId val="388640456"/>
      </c:lineChart>
      <c:catAx>
        <c:axId val="398589160"/>
        <c:scaling>
          <c:orientation val="minMax"/>
        </c:scaling>
        <c:delete val="0"/>
        <c:axPos val="b"/>
        <c:numFmt formatCode="General" sourceLinked="0"/>
        <c:majorTickMark val="out"/>
        <c:minorTickMark val="none"/>
        <c:tickLblPos val="nextTo"/>
        <c:txPr>
          <a:bodyPr/>
          <a:lstStyle/>
          <a:p>
            <a:pPr>
              <a:defRPr lang="en-US"/>
            </a:pPr>
            <a:endParaRPr lang="en-US"/>
          </a:p>
        </c:txPr>
        <c:crossAx val="388640456"/>
        <c:crosses val="autoZero"/>
        <c:auto val="1"/>
        <c:lblAlgn val="ctr"/>
        <c:lblOffset val="100"/>
        <c:noMultiLvlLbl val="0"/>
      </c:catAx>
      <c:valAx>
        <c:axId val="388640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8589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PRIORITY'!$AY$55:$AY$57</c:f>
            </c:multiLvlStrRef>
          </c:cat>
          <c:val>
            <c:numRef>
              <c:f>'4. CHARTS BY PRIORITY'!$BC$55:$BC$57</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0.92592592592592582</c:v>
                </c:pt>
                <c:pt idx="3">
                  <c:v>0.92857142857142849</c:v>
                </c:pt>
              </c:numCache>
            </c:numRef>
          </c:val>
          <c:smooth val="0"/>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7.407407407407407E-2</c:v>
                </c:pt>
                <c:pt idx="3">
                  <c:v>3.5714285714285712E-2</c:v>
                </c:pt>
              </c:numCache>
            </c:numRef>
          </c:val>
          <c:smooth val="0"/>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3.5714285714285712E-2</c:v>
                </c:pt>
              </c:numCache>
            </c:numRef>
          </c:val>
          <c:smooth val="0"/>
        </c:ser>
        <c:dLbls>
          <c:showLegendKey val="0"/>
          <c:showVal val="1"/>
          <c:showCatName val="0"/>
          <c:showSerName val="0"/>
          <c:showPercent val="0"/>
          <c:showBubbleSize val="0"/>
        </c:dLbls>
        <c:smooth val="0"/>
        <c:axId val="399433456"/>
        <c:axId val="399429928"/>
      </c:lineChart>
      <c:catAx>
        <c:axId val="399433456"/>
        <c:scaling>
          <c:orientation val="minMax"/>
        </c:scaling>
        <c:delete val="0"/>
        <c:axPos val="b"/>
        <c:majorTickMark val="out"/>
        <c:minorTickMark val="none"/>
        <c:tickLblPos val="nextTo"/>
        <c:txPr>
          <a:bodyPr/>
          <a:lstStyle/>
          <a:p>
            <a:pPr>
              <a:defRPr lang="en-US"/>
            </a:pPr>
            <a:endParaRPr lang="en-US"/>
          </a:p>
        </c:txPr>
        <c:crossAx val="399429928"/>
        <c:crosses val="autoZero"/>
        <c:auto val="1"/>
        <c:lblAlgn val="ctr"/>
        <c:lblOffset val="100"/>
        <c:noMultiLvlLbl val="0"/>
      </c:catAx>
      <c:valAx>
        <c:axId val="399429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9433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0.95652173913043481</c:v>
                </c:pt>
                <c:pt idx="3">
                  <c:v>0.95833333333333337</c:v>
                </c:pt>
              </c:numCache>
            </c:numRef>
          </c:val>
          <c:smooth val="0"/>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4.3478260869565216E-2</c:v>
                </c:pt>
                <c:pt idx="3">
                  <c:v>4.1666666666666664E-2</c:v>
                </c:pt>
              </c:numCache>
            </c:numRef>
          </c:val>
          <c:smooth val="0"/>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99431888"/>
        <c:axId val="399434240"/>
      </c:lineChart>
      <c:catAx>
        <c:axId val="399431888"/>
        <c:scaling>
          <c:orientation val="minMax"/>
        </c:scaling>
        <c:delete val="0"/>
        <c:axPos val="b"/>
        <c:numFmt formatCode="General" sourceLinked="0"/>
        <c:majorTickMark val="out"/>
        <c:minorTickMark val="none"/>
        <c:tickLblPos val="nextTo"/>
        <c:txPr>
          <a:bodyPr/>
          <a:lstStyle/>
          <a:p>
            <a:pPr>
              <a:defRPr lang="en-US"/>
            </a:pPr>
            <a:endParaRPr lang="en-US"/>
          </a:p>
        </c:txPr>
        <c:crossAx val="399434240"/>
        <c:crosses val="autoZero"/>
        <c:auto val="1"/>
        <c:lblAlgn val="ctr"/>
        <c:lblOffset val="100"/>
        <c:noMultiLvlLbl val="0"/>
      </c:catAx>
      <c:valAx>
        <c:axId val="3994342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9431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 AND 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0.9375</c:v>
                </c:pt>
                <c:pt idx="1">
                  <c:v>0.95000000000000007</c:v>
                </c:pt>
                <c:pt idx="2">
                  <c:v>0.95238095238095233</c:v>
                </c:pt>
                <c:pt idx="3">
                  <c:v>0.95238095238095233</c:v>
                </c:pt>
              </c:numCache>
            </c:numRef>
          </c:val>
          <c:smooth val="0"/>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6.25E-2</c:v>
                </c:pt>
                <c:pt idx="1">
                  <c:v>0.05</c:v>
                </c:pt>
                <c:pt idx="2">
                  <c:v>4.7619047619047616E-2</c:v>
                </c:pt>
                <c:pt idx="3">
                  <c:v>4.7619047619047616E-2</c:v>
                </c:pt>
              </c:numCache>
            </c:numRef>
          </c:val>
          <c:smooth val="0"/>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99432280"/>
        <c:axId val="399434632"/>
      </c:lineChart>
      <c:catAx>
        <c:axId val="399432280"/>
        <c:scaling>
          <c:orientation val="minMax"/>
        </c:scaling>
        <c:delete val="0"/>
        <c:axPos val="b"/>
        <c:numFmt formatCode="General" sourceLinked="0"/>
        <c:majorTickMark val="out"/>
        <c:minorTickMark val="none"/>
        <c:tickLblPos val="nextTo"/>
        <c:txPr>
          <a:bodyPr/>
          <a:lstStyle/>
          <a:p>
            <a:pPr>
              <a:defRPr lang="en-US"/>
            </a:pPr>
            <a:endParaRPr lang="en-US"/>
          </a:p>
        </c:txPr>
        <c:crossAx val="399434632"/>
        <c:crosses val="autoZero"/>
        <c:auto val="1"/>
        <c:lblAlgn val="ctr"/>
        <c:lblOffset val="100"/>
        <c:noMultiLvlLbl val="0"/>
      </c:catAx>
      <c:valAx>
        <c:axId val="399434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9432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PROGRAMMES AND TRANSFORMATION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0.8571428571428571</c:v>
                </c:pt>
                <c:pt idx="3">
                  <c:v>0.875</c:v>
                </c:pt>
              </c:numCache>
            </c:numRef>
          </c:val>
          <c:smooth val="0"/>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0.14285714285714285</c:v>
                </c:pt>
                <c:pt idx="3">
                  <c:v>0.125</c:v>
                </c:pt>
              </c:numCache>
            </c:numRef>
          </c:val>
          <c:smooth val="0"/>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99435024"/>
        <c:axId val="399430712"/>
      </c:lineChart>
      <c:catAx>
        <c:axId val="399435024"/>
        <c:scaling>
          <c:orientation val="minMax"/>
        </c:scaling>
        <c:delete val="0"/>
        <c:axPos val="b"/>
        <c:numFmt formatCode="General" sourceLinked="0"/>
        <c:majorTickMark val="out"/>
        <c:minorTickMark val="none"/>
        <c:tickLblPos val="nextTo"/>
        <c:txPr>
          <a:bodyPr/>
          <a:lstStyle/>
          <a:p>
            <a:pPr>
              <a:defRPr lang="en-US"/>
            </a:pPr>
            <a:endParaRPr lang="en-US"/>
          </a:p>
        </c:txPr>
        <c:crossAx val="399430712"/>
        <c:crosses val="autoZero"/>
        <c:auto val="1"/>
        <c:lblAlgn val="ctr"/>
        <c:lblOffset val="100"/>
        <c:noMultiLvlLbl val="0"/>
      </c:catAx>
      <c:valAx>
        <c:axId val="399430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99435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204"/>
          <c:y val="2.777777777779320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AND ENVIRONMENT - Quarter 1</a:t>
            </a:r>
          </a:p>
        </c:rich>
      </c:tx>
      <c:layout>
        <c:manualLayout>
          <c:xMode val="edge"/>
          <c:yMode val="edge"/>
          <c:x val="0.13899280133843644"/>
          <c:y val="2.666666666666667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0.9375</c:v>
                </c:pt>
                <c:pt idx="1">
                  <c:v>6.25E-2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PROGRAMMES AND TRANSFORMATION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PRIORITY'!$AZ$39:$BC$39</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PRIORITY'!$AZ$40:$BC$40</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PRIORITY'!$AZ$41:$BC$41</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dLbls>
          <c:showLegendKey val="0"/>
          <c:showVal val="1"/>
          <c:showCatName val="0"/>
          <c:showSerName val="0"/>
          <c:showPercent val="0"/>
          <c:showBubbleSize val="0"/>
        </c:dLbls>
        <c:marker val="1"/>
        <c:smooth val="0"/>
        <c:axId val="399125912"/>
        <c:axId val="343785384"/>
      </c:lineChart>
      <c:catAx>
        <c:axId val="399125912"/>
        <c:scaling>
          <c:orientation val="minMax"/>
        </c:scaling>
        <c:delete val="0"/>
        <c:axPos val="b"/>
        <c:numFmt formatCode="General" sourceLinked="0"/>
        <c:majorTickMark val="out"/>
        <c:minorTickMark val="none"/>
        <c:tickLblPos val="nextTo"/>
        <c:txPr>
          <a:bodyPr/>
          <a:lstStyle/>
          <a:p>
            <a:pPr>
              <a:defRPr lang="en-US"/>
            </a:pPr>
            <a:endParaRPr lang="en-US"/>
          </a:p>
        </c:txPr>
        <c:crossAx val="343785384"/>
        <c:crosses val="autoZero"/>
        <c:auto val="1"/>
        <c:lblAlgn val="ctr"/>
        <c:lblOffset val="100"/>
        <c:noMultiLvlLbl val="0"/>
      </c:catAx>
      <c:valAx>
        <c:axId val="3437853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9125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AND ENVIRONMENT </a:t>
            </a: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0.95000000000000007</c:v>
                </c:pt>
                <c:pt idx="1">
                  <c:v>0.05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0.92592592592592582</c:v>
                </c:pt>
                <c:pt idx="1">
                  <c:v>7.407407407407407E-2</c:v>
                </c:pt>
                <c:pt idx="2">
                  <c:v>0</c:v>
                </c:pt>
              </c:numCache>
            </c:numRef>
          </c:val>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0.92857142857142849</c:v>
                </c:pt>
                <c:pt idx="1">
                  <c:v>3.5714285714285712E-2</c:v>
                </c:pt>
                <c:pt idx="2">
                  <c:v>3.5714285714285712E-2</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0.95652173913043481</c:v>
                </c:pt>
                <c:pt idx="1">
                  <c:v>4.3478260869565216E-2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0.95833333333333337</c:v>
                </c:pt>
                <c:pt idx="1">
                  <c:v>4.1666666666666664E-2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AND ENVIRONMENT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0.95238095238095233</c:v>
                </c:pt>
                <c:pt idx="1">
                  <c:v>4.7619047619047616E-2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AND ENVIRONMENT </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0.95238095238095233</c:v>
                </c:pt>
                <c:pt idx="1">
                  <c:v>4.7619047619047616E-2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0.8571428571428571</c:v>
                </c:pt>
                <c:pt idx="1">
                  <c:v>0.14285714285714285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PRIORITY'!$AZ$55:$BC$55</c:f>
            </c:numRef>
          </c:val>
          <c:smooth val="0"/>
          <c:extLs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PRIORITY'!$AZ$56:$BC$56</c:f>
            </c:numRef>
          </c:val>
          <c:smooth val="0"/>
          <c:extLs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PRIORITY'!$AZ$57:$BC$57</c:f>
            </c:numRef>
          </c:val>
          <c:smooth val="0"/>
          <c:extLs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dLbls>
          <c:showLegendKey val="0"/>
          <c:showVal val="1"/>
          <c:showCatName val="0"/>
          <c:showSerName val="0"/>
          <c:showPercent val="0"/>
          <c:showBubbleSize val="0"/>
        </c:dLbls>
        <c:marker val="1"/>
        <c:smooth val="0"/>
        <c:axId val="398889256"/>
        <c:axId val="398889640"/>
      </c:lineChart>
      <c:catAx>
        <c:axId val="398889256"/>
        <c:scaling>
          <c:orientation val="minMax"/>
        </c:scaling>
        <c:delete val="0"/>
        <c:axPos val="b"/>
        <c:numFmt formatCode="General" sourceLinked="0"/>
        <c:majorTickMark val="out"/>
        <c:minorTickMark val="none"/>
        <c:tickLblPos val="nextTo"/>
        <c:txPr>
          <a:bodyPr/>
          <a:lstStyle/>
          <a:p>
            <a:pPr>
              <a:defRPr lang="en-US"/>
            </a:pPr>
            <a:endParaRPr lang="en-US"/>
          </a:p>
        </c:txPr>
        <c:crossAx val="398889640"/>
        <c:crosses val="autoZero"/>
        <c:auto val="1"/>
        <c:lblAlgn val="ctr"/>
        <c:lblOffset val="100"/>
        <c:noMultiLvlLbl val="0"/>
      </c:catAx>
      <c:valAx>
        <c:axId val="3988896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988892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0.875</c:v>
                </c:pt>
                <c:pt idx="1">
                  <c:v>0.125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400464024"/>
        <c:axId val="400466768"/>
      </c:lineChart>
      <c:catAx>
        <c:axId val="400464024"/>
        <c:scaling>
          <c:orientation val="minMax"/>
        </c:scaling>
        <c:delete val="0"/>
        <c:axPos val="b"/>
        <c:numFmt formatCode="General" sourceLinked="0"/>
        <c:majorTickMark val="out"/>
        <c:minorTickMark val="none"/>
        <c:tickLblPos val="nextTo"/>
        <c:txPr>
          <a:bodyPr/>
          <a:lstStyle/>
          <a:p>
            <a:pPr>
              <a:defRPr lang="en-US"/>
            </a:pPr>
            <a:endParaRPr lang="en-US"/>
          </a:p>
        </c:txPr>
        <c:crossAx val="400466768"/>
        <c:crosses val="autoZero"/>
        <c:auto val="1"/>
        <c:lblAlgn val="ctr"/>
        <c:lblOffset val="100"/>
        <c:noMultiLvlLbl val="0"/>
      </c:catAx>
      <c:valAx>
        <c:axId val="4004667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00464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AND NEIGHBOURHOODS</a:t>
            </a:r>
            <a:endParaRPr lang="en-US" baseline="0"/>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401597928"/>
        <c:axId val="401592440"/>
      </c:lineChart>
      <c:catAx>
        <c:axId val="401597928"/>
        <c:scaling>
          <c:orientation val="minMax"/>
        </c:scaling>
        <c:delete val="0"/>
        <c:axPos val="b"/>
        <c:numFmt formatCode="General" sourceLinked="0"/>
        <c:majorTickMark val="out"/>
        <c:minorTickMark val="none"/>
        <c:tickLblPos val="nextTo"/>
        <c:txPr>
          <a:bodyPr/>
          <a:lstStyle/>
          <a:p>
            <a:pPr>
              <a:defRPr lang="en-US"/>
            </a:pPr>
            <a:endParaRPr lang="en-US"/>
          </a:p>
        </c:txPr>
        <c:crossAx val="401592440"/>
        <c:crosses val="autoZero"/>
        <c:auto val="1"/>
        <c:lblAlgn val="ctr"/>
        <c:lblOffset val="100"/>
        <c:noMultiLvlLbl val="0"/>
      </c:catAx>
      <c:valAx>
        <c:axId val="4015924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015979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0.98765432098765427</c:v>
                </c:pt>
                <c:pt idx="1">
                  <c:v>1.2345679012345678E-2</c:v>
                </c:pt>
                <c:pt idx="2">
                  <c:v>0</c:v>
                </c:pt>
              </c:numCache>
            </c:numRef>
          </c:val>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PRIORITY'!$AY$23:$AY$25</c:f>
              <c:strCache>
                <c:ptCount val="3"/>
                <c:pt idx="0">
                  <c:v>Green</c:v>
                </c:pt>
                <c:pt idx="1">
                  <c:v>Amber</c:v>
                </c:pt>
                <c:pt idx="2">
                  <c:v>Red</c:v>
                </c:pt>
              </c:strCache>
            </c:strRef>
          </c:cat>
          <c:val>
            <c:numRef>
              <c:f>'4. CHARTS BY PRIORITY'!$AZ$23:$AZ$25</c:f>
              <c:numCache>
                <c:formatCode>0.00%</c:formatCode>
                <c:ptCount val="3"/>
                <c:pt idx="0">
                  <c:v>1</c:v>
                </c:pt>
                <c:pt idx="1">
                  <c:v>0</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PRIORITY'!$AZ$39:$AZ$41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PRIORITY'!$AY$55:$AY$57</c:f>
            </c:multiLvlStrRef>
          </c:cat>
          <c:val>
            <c:numRef>
              <c:f>'4. CHARTS BY PRIORITY'!$AZ$55:$AZ$57</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PRIORITY'!$BA$7:$BA$9</c:f>
              <c:numCache>
                <c:formatCode>0.00%</c:formatCode>
                <c:ptCount val="3"/>
                <c:pt idx="0">
                  <c:v>0.98989898989898983</c:v>
                </c:pt>
                <c:pt idx="1">
                  <c:v>1.0101010101010102E-2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abbott" refreshedDate="42551.575840393518" createdVersion="3" refreshedVersion="3" minRefreshableVersion="3" recordCount="113">
  <cacheSource type="worksheet">
    <worksheetSource ref="I3:AA116" sheet="1. ALL DATA"/>
  </cacheSource>
  <cacheFields count="19">
    <cacheField name="Quarter 1 On Track? (R/A/G)" numFmtId="0">
      <sharedItems containsBlank="1"/>
    </cacheField>
    <cacheField name="Comments / Further action (Q1)_x000a_(IF APPLICABLE)" numFmtId="0">
      <sharedItems containsNonDate="0" containsString="0" containsBlank="1"/>
    </cacheField>
    <cacheField name="Quarter 2 _x000a_(July - Sept 2016)" numFmtId="0">
      <sharedItems containsNonDate="0" containsString="0" containsBlank="1"/>
    </cacheField>
    <cacheField name="Year to Date_x000a_(April - Sept 2015)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6)" numFmtId="0">
      <sharedItems containsNonDate="0" containsString="0" containsBlank="1"/>
    </cacheField>
    <cacheField name="Year to Date_x000a_(April - Dec 2016)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In Danger of Falling Behind Target" u="1"/>
        <s v="Deleted" u="1"/>
        <s v="Off Target" u="1"/>
        <s v="Deferred" u="1"/>
        <s v="Fully Achieved" u="1"/>
        <s v="Not yet due" u="1"/>
        <s v="On Track to be Achieved" u="1"/>
      </sharedItems>
    </cacheField>
    <cacheField name="Comments / Further action (Q3)_x000a_(IF APPLICABLE)" numFmtId="0">
      <sharedItems containsNonDate="0" containsString="0" containsBlank="1"/>
    </cacheField>
    <cacheField name="Quarter 4 _x000a_(Jan - March 2017)" numFmtId="0">
      <sharedItems containsNonDate="0" containsString="0" containsBlank="1"/>
    </cacheField>
    <cacheField name="Cumulative Annual Outturn_x000a_(April 2016 - March 2017)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Team" numFmtId="0">
      <sharedItems containsBlank="1"/>
    </cacheField>
    <cacheField name="Portfolio" numFmtId="0">
      <sharedItems containsBlank="1" count="8">
        <m/>
        <s v="Cultural Services"/>
        <s v="Enterprise and Environment"/>
        <s v="Leader of the Council"/>
        <s v="Programmes and Transformation"/>
        <s v="Planning and Neighbourhoods"/>
        <s v="Regulatory Services"/>
        <s v="Financ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
  <r>
    <m/>
    <m/>
    <m/>
    <m/>
    <m/>
    <m/>
    <m/>
    <m/>
    <m/>
    <m/>
    <x v="0"/>
    <m/>
    <m/>
    <m/>
    <m/>
    <m/>
    <m/>
    <m/>
    <x v="0"/>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Cultural Services"/>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Community, Open Spaces and Facilities"/>
    <x v="1"/>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Customer Contacts"/>
    <x v="4"/>
  </r>
  <r>
    <s v="Update not Provided"/>
    <m/>
    <m/>
    <m/>
    <m/>
    <s v="Update not Provided"/>
    <m/>
    <m/>
    <m/>
    <m/>
    <x v="1"/>
    <m/>
    <m/>
    <m/>
    <s v="Update not provided"/>
    <m/>
    <s v="Value for Money Council Services"/>
    <s v="Finance"/>
    <x v="4"/>
  </r>
  <r>
    <s v="Update not Provided"/>
    <m/>
    <m/>
    <m/>
    <m/>
    <s v="Update not Provided"/>
    <m/>
    <m/>
    <m/>
    <m/>
    <x v="1"/>
    <m/>
    <m/>
    <m/>
    <s v="Update not provided"/>
    <m/>
    <s v="Value for Money Council Services"/>
    <s v="Programmes and Transformation"/>
    <x v="4"/>
  </r>
  <r>
    <s v="Update not Provided"/>
    <m/>
    <m/>
    <m/>
    <m/>
    <s v="Update not Provided"/>
    <m/>
    <m/>
    <m/>
    <m/>
    <x v="1"/>
    <m/>
    <m/>
    <m/>
    <s v="Update not provided"/>
    <m/>
    <s v="Value for Money Council Services"/>
    <s v="Human Resources"/>
    <x v="3"/>
  </r>
  <r>
    <s v="Update not Provided"/>
    <m/>
    <m/>
    <m/>
    <m/>
    <s v="Update not Provided"/>
    <m/>
    <m/>
    <m/>
    <m/>
    <x v="1"/>
    <m/>
    <m/>
    <m/>
    <s v="Update not provided"/>
    <m/>
    <s v="Value for Money Council Services"/>
    <s v="Learning and Development"/>
    <x v="3"/>
  </r>
  <r>
    <s v="Update not Provided"/>
    <m/>
    <m/>
    <m/>
    <m/>
    <s v="Update not Provided"/>
    <m/>
    <m/>
    <m/>
    <m/>
    <x v="1"/>
    <m/>
    <m/>
    <m/>
    <s v="Update not provided"/>
    <m/>
    <s v="Value for Money Council Services"/>
    <s v="Payments"/>
    <x v="3"/>
  </r>
  <r>
    <s v="Update not Provided"/>
    <m/>
    <m/>
    <m/>
    <m/>
    <s v="Update not Provided"/>
    <m/>
    <m/>
    <m/>
    <m/>
    <x v="1"/>
    <m/>
    <m/>
    <m/>
    <s v="Update not provided"/>
    <m/>
    <s v="Value for Money Council Services"/>
    <s v="Payroll"/>
    <x v="3"/>
  </r>
  <r>
    <s v="Update not Provided"/>
    <m/>
    <m/>
    <m/>
    <m/>
    <s v="Update not Provided"/>
    <m/>
    <m/>
    <m/>
    <m/>
    <x v="1"/>
    <m/>
    <m/>
    <m/>
    <s v="Update not provided"/>
    <m/>
    <s v="Value for Money Council Services"/>
    <s v="Assets and Estates"/>
    <x v="3"/>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Enforcement"/>
    <x v="6"/>
  </r>
  <r>
    <s v="Update not Provided"/>
    <m/>
    <m/>
    <m/>
    <m/>
    <s v="Update not Provided"/>
    <m/>
    <m/>
    <m/>
    <m/>
    <x v="1"/>
    <m/>
    <m/>
    <m/>
    <s v="Update not provided"/>
    <m/>
    <s v="Value for Money Council Services"/>
    <s v="Car Parks"/>
    <x v="6"/>
  </r>
  <r>
    <s v="Update not Provided"/>
    <m/>
    <m/>
    <m/>
    <m/>
    <s v="Update not Provided"/>
    <m/>
    <m/>
    <m/>
    <m/>
    <x v="1"/>
    <m/>
    <m/>
    <m/>
    <s v="Update not provided"/>
    <m/>
    <s v="Value for Money Council Services"/>
    <s v="Enforcement"/>
    <x v="6"/>
  </r>
  <r>
    <m/>
    <m/>
    <m/>
    <m/>
    <m/>
    <m/>
    <m/>
    <m/>
    <m/>
    <m/>
    <x v="0"/>
    <m/>
    <m/>
    <m/>
    <m/>
    <m/>
    <m/>
    <m/>
    <x v="0"/>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Legal"/>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Car Parks"/>
    <x v="3"/>
  </r>
  <r>
    <s v="Update not Provided"/>
    <m/>
    <m/>
    <m/>
    <m/>
    <s v="Update not Provided"/>
    <m/>
    <m/>
    <m/>
    <m/>
    <x v="1"/>
    <m/>
    <m/>
    <m/>
    <s v="Update not provided"/>
    <m/>
    <s v="Promoting Local Economic Growth"/>
    <s v="Elections"/>
    <x v="3"/>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Local Land Charges"/>
    <x v="5"/>
  </r>
  <r>
    <m/>
    <m/>
    <m/>
    <m/>
    <m/>
    <m/>
    <m/>
    <m/>
    <m/>
    <m/>
    <x v="0"/>
    <m/>
    <m/>
    <m/>
    <m/>
    <m/>
    <m/>
    <m/>
    <x v="0"/>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Leisure Centr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Enterprise"/>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Housing Options"/>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terprise"/>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7:B22" firstHeaderRow="1" firstDataRow="1" firstDataCol="1"/>
  <pivotFields count="19">
    <pivotField showAll="0"/>
    <pivotField showAll="0" defaultSubtotal="0"/>
    <pivotField showAll="0" defaultSubtotal="0"/>
    <pivotField showAll="0"/>
    <pivotField showAll="0"/>
    <pivotField showAll="0"/>
    <pivotField showAll="0"/>
    <pivotField showAll="0" defaultSubtotal="0"/>
    <pivotField showAll="0" defaultSubtotal="0"/>
    <pivotField showAll="0" defaultSubtotal="0"/>
    <pivotField axis="axisRow" dataField="1" showAll="0">
      <items count="10">
        <item m="1" x="7"/>
        <item x="0"/>
        <item m="1" x="6"/>
        <item m="1" x="8"/>
        <item m="1" x="2"/>
        <item m="1" x="4"/>
        <item m="1" x="3"/>
        <item m="1" x="5"/>
        <item x="1"/>
        <item t="default"/>
      </items>
    </pivotField>
    <pivotField showAll="0" defaultSubtotal="0"/>
    <pivotField showAll="0" defaultSubtotal="0"/>
    <pivotField showAll="0" defaultSubtotal="0"/>
    <pivotField showAll="0"/>
    <pivotField showAll="0" defaultSubtotal="0"/>
    <pivotField showAll="0"/>
    <pivotField showAll="0"/>
    <pivotField axis="axisRow" showAll="0">
      <items count="9">
        <item x="1"/>
        <item x="2"/>
        <item m="1" x="7"/>
        <item x="3"/>
        <item x="5"/>
        <item x="6"/>
        <item x="0"/>
        <item x="4"/>
        <item t="default"/>
      </items>
    </pivotField>
  </pivotFields>
  <rowFields count="2">
    <field x="18"/>
    <field x="10"/>
  </rowFields>
  <rowItems count="15">
    <i>
      <x/>
    </i>
    <i r="1">
      <x v="8"/>
    </i>
    <i>
      <x v="1"/>
    </i>
    <i r="1">
      <x v="8"/>
    </i>
    <i>
      <x v="3"/>
    </i>
    <i r="1">
      <x v="8"/>
    </i>
    <i>
      <x v="4"/>
    </i>
    <i r="1">
      <x v="8"/>
    </i>
    <i>
      <x v="5"/>
    </i>
    <i r="1">
      <x v="8"/>
    </i>
    <i>
      <x v="6"/>
    </i>
    <i r="1">
      <x v="1"/>
    </i>
    <i>
      <x v="7"/>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39"/>
  <sheetViews>
    <sheetView zoomScale="70" zoomScaleNormal="70" workbookViewId="0">
      <selection activeCell="C14" sqref="C14"/>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469</v>
      </c>
      <c r="B1" s="21"/>
      <c r="C1" s="12"/>
      <c r="D1" s="12"/>
      <c r="E1" s="12"/>
      <c r="F1" s="12"/>
      <c r="G1" s="12"/>
      <c r="H1" s="12"/>
      <c r="I1" s="12"/>
    </row>
    <row r="2" spans="1:9" s="13" customFormat="1" ht="27" customHeight="1" thickTop="1" thickBot="1">
      <c r="A2" s="19" t="s">
        <v>74</v>
      </c>
      <c r="B2" s="20"/>
      <c r="C2" s="17"/>
      <c r="D2" s="17"/>
      <c r="E2" s="17"/>
      <c r="F2" s="25" t="s">
        <v>52</v>
      </c>
      <c r="G2" s="18" t="s">
        <v>247</v>
      </c>
      <c r="H2" s="18" t="s">
        <v>248</v>
      </c>
      <c r="I2" s="18" t="s">
        <v>249</v>
      </c>
    </row>
    <row r="3" spans="1:9" s="13" customFormat="1" ht="27" customHeight="1" thickTop="1" thickBot="1">
      <c r="A3" s="19" t="s">
        <v>80</v>
      </c>
      <c r="B3" s="20"/>
      <c r="C3" s="17"/>
      <c r="D3" s="17"/>
      <c r="E3" s="17"/>
      <c r="F3" s="25" t="s">
        <v>70</v>
      </c>
      <c r="G3" s="25" t="s">
        <v>71</v>
      </c>
      <c r="H3" s="25" t="s">
        <v>72</v>
      </c>
      <c r="I3" s="25" t="s">
        <v>73</v>
      </c>
    </row>
    <row r="4" spans="1:9" s="13" customFormat="1" ht="27" customHeight="1" thickTop="1" thickBot="1">
      <c r="A4" s="19" t="s">
        <v>75</v>
      </c>
      <c r="B4" s="20"/>
      <c r="C4" s="20"/>
      <c r="D4" s="20"/>
      <c r="E4" s="20"/>
      <c r="F4" s="25" t="s">
        <v>53</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9" customFormat="1" ht="55.5" thickTop="1" thickBot="1">
      <c r="A7" s="37"/>
      <c r="B7" s="37"/>
      <c r="C7" s="40" t="s">
        <v>54</v>
      </c>
      <c r="D7" s="40" t="s">
        <v>60</v>
      </c>
      <c r="E7" s="38"/>
      <c r="F7" s="37"/>
      <c r="G7" s="41" t="s">
        <v>61</v>
      </c>
      <c r="H7" s="41" t="s">
        <v>62</v>
      </c>
    </row>
    <row r="8" spans="1:9" s="29" customFormat="1" ht="17.25" thickTop="1" thickBot="1">
      <c r="A8" s="510" t="s">
        <v>63</v>
      </c>
      <c r="B8" s="513" t="s">
        <v>55</v>
      </c>
      <c r="C8" s="27" t="s">
        <v>56</v>
      </c>
      <c r="D8" s="27" t="s">
        <v>56</v>
      </c>
      <c r="E8" s="28"/>
      <c r="F8" s="507" t="s">
        <v>78</v>
      </c>
      <c r="G8" s="27" t="s">
        <v>255</v>
      </c>
      <c r="H8" s="27" t="s">
        <v>255</v>
      </c>
    </row>
    <row r="9" spans="1:9" s="29" customFormat="1" ht="17.25" thickTop="1" thickBot="1">
      <c r="A9" s="511"/>
      <c r="B9" s="513"/>
      <c r="C9" s="27" t="s">
        <v>57</v>
      </c>
      <c r="D9" s="27" t="s">
        <v>57</v>
      </c>
      <c r="E9" s="28"/>
      <c r="F9" s="508"/>
      <c r="G9" s="27" t="s">
        <v>256</v>
      </c>
      <c r="H9" s="27" t="s">
        <v>256</v>
      </c>
    </row>
    <row r="10" spans="1:9" s="29" customFormat="1" ht="17.25" thickTop="1" thickBot="1">
      <c r="A10" s="511"/>
      <c r="B10" s="513"/>
      <c r="C10" s="27" t="s">
        <v>58</v>
      </c>
      <c r="D10" s="27" t="s">
        <v>58</v>
      </c>
      <c r="E10" s="28"/>
      <c r="F10" s="508"/>
      <c r="G10" s="27" t="s">
        <v>257</v>
      </c>
      <c r="H10" s="27" t="s">
        <v>257</v>
      </c>
    </row>
    <row r="11" spans="1:9" s="29" customFormat="1" ht="17.25" thickTop="1" thickBot="1">
      <c r="A11" s="511"/>
      <c r="B11" s="513"/>
      <c r="C11" s="27" t="s">
        <v>59</v>
      </c>
      <c r="D11" s="27" t="s">
        <v>59</v>
      </c>
      <c r="E11" s="28"/>
      <c r="F11" s="509"/>
      <c r="G11" s="27" t="s">
        <v>258</v>
      </c>
      <c r="H11" s="27" t="s">
        <v>258</v>
      </c>
    </row>
    <row r="12" spans="1:9" s="29" customFormat="1" ht="6" customHeight="1" thickTop="1" thickBot="1">
      <c r="A12" s="511"/>
      <c r="B12" s="26"/>
      <c r="C12" s="26"/>
      <c r="D12" s="26"/>
      <c r="E12" s="28"/>
      <c r="F12" s="26"/>
      <c r="G12" s="33"/>
      <c r="H12" s="33"/>
    </row>
    <row r="13" spans="1:9" s="29" customFormat="1" ht="17.25" thickTop="1" thickBot="1">
      <c r="A13" s="511"/>
      <c r="B13" s="513" t="s">
        <v>250</v>
      </c>
      <c r="C13" s="27" t="s">
        <v>56</v>
      </c>
      <c r="D13" s="27" t="s">
        <v>56</v>
      </c>
      <c r="E13" s="28"/>
      <c r="F13" s="507" t="s">
        <v>99</v>
      </c>
      <c r="G13" s="27" t="s">
        <v>255</v>
      </c>
      <c r="H13" s="27" t="s">
        <v>255</v>
      </c>
    </row>
    <row r="14" spans="1:9" s="29" customFormat="1" ht="17.25" thickTop="1" thickBot="1">
      <c r="A14" s="511"/>
      <c r="B14" s="513"/>
      <c r="C14" s="27" t="s">
        <v>57</v>
      </c>
      <c r="D14" s="27" t="s">
        <v>57</v>
      </c>
      <c r="E14" s="28"/>
      <c r="F14" s="508"/>
      <c r="G14" s="27" t="s">
        <v>256</v>
      </c>
      <c r="H14" s="27" t="s">
        <v>256</v>
      </c>
    </row>
    <row r="15" spans="1:9" s="29" customFormat="1" ht="17.25" thickTop="1" thickBot="1">
      <c r="A15" s="511"/>
      <c r="B15" s="513"/>
      <c r="C15" s="27" t="s">
        <v>58</v>
      </c>
      <c r="D15" s="27" t="s">
        <v>58</v>
      </c>
      <c r="E15" s="28"/>
      <c r="F15" s="508"/>
      <c r="G15" s="27" t="s">
        <v>257</v>
      </c>
      <c r="H15" s="27" t="s">
        <v>257</v>
      </c>
    </row>
    <row r="16" spans="1:9" s="29" customFormat="1" ht="17.25" thickTop="1" thickBot="1">
      <c r="A16" s="511"/>
      <c r="B16" s="513"/>
      <c r="C16" s="27" t="s">
        <v>59</v>
      </c>
      <c r="D16" s="27" t="s">
        <v>59</v>
      </c>
      <c r="E16" s="28"/>
      <c r="F16" s="509"/>
      <c r="G16" s="27" t="s">
        <v>258</v>
      </c>
      <c r="H16" s="27" t="s">
        <v>258</v>
      </c>
    </row>
    <row r="17" spans="1:8" s="29" customFormat="1" ht="6" customHeight="1" thickTop="1" thickBot="1">
      <c r="A17" s="511"/>
      <c r="B17" s="26"/>
      <c r="C17" s="26"/>
      <c r="D17" s="26"/>
      <c r="E17" s="28"/>
      <c r="F17" s="26"/>
      <c r="G17" s="26"/>
      <c r="H17" s="26"/>
    </row>
    <row r="18" spans="1:8" s="29" customFormat="1" ht="17.25" customHeight="1" thickTop="1" thickBot="1">
      <c r="A18" s="511"/>
      <c r="B18" s="513" t="s">
        <v>251</v>
      </c>
      <c r="C18" s="27" t="s">
        <v>56</v>
      </c>
      <c r="D18" s="27" t="s">
        <v>56</v>
      </c>
      <c r="E18" s="28"/>
      <c r="F18" s="506" t="s">
        <v>253</v>
      </c>
      <c r="G18" s="27" t="s">
        <v>255</v>
      </c>
      <c r="H18" s="27" t="s">
        <v>255</v>
      </c>
    </row>
    <row r="19" spans="1:8" s="29" customFormat="1" ht="17.25" thickTop="1" thickBot="1">
      <c r="A19" s="511"/>
      <c r="B19" s="513"/>
      <c r="C19" s="27" t="s">
        <v>57</v>
      </c>
      <c r="D19" s="27" t="s">
        <v>57</v>
      </c>
      <c r="E19" s="28"/>
      <c r="F19" s="506"/>
      <c r="G19" s="27" t="s">
        <v>256</v>
      </c>
      <c r="H19" s="27" t="s">
        <v>256</v>
      </c>
    </row>
    <row r="20" spans="1:8" s="29" customFormat="1" ht="17.25" thickTop="1" thickBot="1">
      <c r="A20" s="511"/>
      <c r="B20" s="513"/>
      <c r="C20" s="27" t="s">
        <v>58</v>
      </c>
      <c r="D20" s="27" t="s">
        <v>58</v>
      </c>
      <c r="E20" s="28"/>
      <c r="F20" s="506"/>
      <c r="G20" s="27" t="s">
        <v>257</v>
      </c>
      <c r="H20" s="27" t="s">
        <v>257</v>
      </c>
    </row>
    <row r="21" spans="1:8" s="29" customFormat="1" ht="17.25" thickTop="1" thickBot="1">
      <c r="A21" s="511"/>
      <c r="B21" s="513"/>
      <c r="C21" s="27" t="s">
        <v>59</v>
      </c>
      <c r="D21" s="27" t="s">
        <v>59</v>
      </c>
      <c r="E21" s="28"/>
      <c r="F21" s="506"/>
      <c r="G21" s="27" t="s">
        <v>258</v>
      </c>
      <c r="H21" s="27" t="s">
        <v>258</v>
      </c>
    </row>
    <row r="22" spans="1:8" s="29" customFormat="1" ht="6" customHeight="1" thickTop="1" thickBot="1">
      <c r="A22" s="511"/>
      <c r="B22" s="26"/>
      <c r="C22" s="26"/>
      <c r="D22" s="26"/>
      <c r="E22" s="28"/>
      <c r="F22" s="26"/>
      <c r="G22" s="26"/>
      <c r="H22" s="26"/>
    </row>
    <row r="23" spans="1:8" s="29" customFormat="1" ht="17.25" customHeight="1" thickTop="1" thickBot="1">
      <c r="A23" s="511"/>
      <c r="B23" s="513" t="s">
        <v>252</v>
      </c>
      <c r="C23" s="27" t="s">
        <v>56</v>
      </c>
      <c r="D23" s="27" t="s">
        <v>56</v>
      </c>
      <c r="E23" s="28"/>
      <c r="F23" s="506" t="s">
        <v>464</v>
      </c>
      <c r="G23" s="27" t="s">
        <v>255</v>
      </c>
      <c r="H23" s="27" t="s">
        <v>255</v>
      </c>
    </row>
    <row r="24" spans="1:8" s="29" customFormat="1" ht="17.25" thickTop="1" thickBot="1">
      <c r="A24" s="511"/>
      <c r="B24" s="513"/>
      <c r="C24" s="27" t="s">
        <v>57</v>
      </c>
      <c r="D24" s="27" t="s">
        <v>57</v>
      </c>
      <c r="E24" s="28"/>
      <c r="F24" s="506"/>
      <c r="G24" s="27" t="s">
        <v>256</v>
      </c>
      <c r="H24" s="27" t="s">
        <v>256</v>
      </c>
    </row>
    <row r="25" spans="1:8" s="29" customFormat="1" ht="17.25" thickTop="1" thickBot="1">
      <c r="A25" s="511"/>
      <c r="B25" s="513"/>
      <c r="C25" s="27" t="s">
        <v>58</v>
      </c>
      <c r="D25" s="27" t="s">
        <v>58</v>
      </c>
      <c r="E25" s="28"/>
      <c r="F25" s="506"/>
      <c r="G25" s="27" t="s">
        <v>257</v>
      </c>
      <c r="H25" s="27" t="s">
        <v>257</v>
      </c>
    </row>
    <row r="26" spans="1:8" s="29" customFormat="1" ht="17.25" thickTop="1" thickBot="1">
      <c r="A26" s="512"/>
      <c r="B26" s="513"/>
      <c r="C26" s="27" t="s">
        <v>59</v>
      </c>
      <c r="D26" s="27" t="s">
        <v>59</v>
      </c>
      <c r="E26" s="28"/>
      <c r="F26" s="506"/>
      <c r="G26" s="27" t="s">
        <v>258</v>
      </c>
      <c r="H26" s="27" t="s">
        <v>258</v>
      </c>
    </row>
    <row r="27" spans="1:8" ht="6" customHeight="1" thickTop="1" thickBot="1">
      <c r="A27" s="14"/>
      <c r="B27" s="14"/>
      <c r="C27" s="14"/>
      <c r="D27" s="14"/>
      <c r="E27" s="14"/>
      <c r="F27" s="26"/>
      <c r="G27" s="26"/>
      <c r="H27" s="26"/>
    </row>
    <row r="28" spans="1:8" ht="17.25" thickTop="1" thickBot="1">
      <c r="F28" s="506" t="s">
        <v>254</v>
      </c>
      <c r="G28" s="27" t="s">
        <v>255</v>
      </c>
      <c r="H28" s="27" t="s">
        <v>255</v>
      </c>
    </row>
    <row r="29" spans="1:8" ht="17.25" thickTop="1" thickBot="1">
      <c r="F29" s="506"/>
      <c r="G29" s="27" t="s">
        <v>256</v>
      </c>
      <c r="H29" s="27" t="s">
        <v>256</v>
      </c>
    </row>
    <row r="30" spans="1:8" ht="17.25" customHeight="1" thickTop="1" thickBot="1">
      <c r="A30" s="503" t="s">
        <v>270</v>
      </c>
      <c r="F30" s="506"/>
      <c r="G30" s="27" t="s">
        <v>257</v>
      </c>
      <c r="H30" s="27" t="s">
        <v>257</v>
      </c>
    </row>
    <row r="31" spans="1:8" ht="19.5" customHeight="1" thickTop="1" thickBot="1">
      <c r="A31" s="504"/>
      <c r="F31" s="506"/>
      <c r="G31" s="27" t="s">
        <v>258</v>
      </c>
      <c r="H31" s="27" t="s">
        <v>258</v>
      </c>
    </row>
    <row r="32" spans="1:8" ht="6" customHeight="1" thickTop="1" thickBot="1">
      <c r="A32" s="504"/>
      <c r="F32" s="26"/>
      <c r="G32" s="26"/>
      <c r="H32" s="26"/>
    </row>
    <row r="33" spans="1:8" ht="19.5" customHeight="1" thickTop="1" thickBot="1">
      <c r="A33" s="504"/>
      <c r="F33" s="506" t="s">
        <v>39</v>
      </c>
      <c r="G33" s="27" t="s">
        <v>255</v>
      </c>
      <c r="H33" s="27" t="s">
        <v>255</v>
      </c>
    </row>
    <row r="34" spans="1:8" ht="19.5" customHeight="1" thickTop="1" thickBot="1">
      <c r="A34" s="504"/>
      <c r="F34" s="506"/>
      <c r="G34" s="27" t="s">
        <v>256</v>
      </c>
      <c r="H34" s="27" t="s">
        <v>256</v>
      </c>
    </row>
    <row r="35" spans="1:8" ht="19.5" customHeight="1" thickTop="1" thickBot="1">
      <c r="A35" s="505"/>
      <c r="F35" s="506"/>
      <c r="G35" s="27" t="s">
        <v>257</v>
      </c>
      <c r="H35" s="27" t="s">
        <v>257</v>
      </c>
    </row>
    <row r="36" spans="1:8" ht="16.5" thickBot="1">
      <c r="F36" s="506"/>
      <c r="G36" s="27" t="s">
        <v>258</v>
      </c>
      <c r="H36" s="27" t="s">
        <v>258</v>
      </c>
    </row>
    <row r="37" spans="1:8" ht="7.5" customHeight="1" thickTop="1" thickBot="1">
      <c r="F37" s="26"/>
      <c r="G37" s="26"/>
      <c r="H37" s="26"/>
    </row>
    <row r="38" spans="1:8" ht="13.5" customHeight="1" thickTop="1"/>
    <row r="39" spans="1:8" ht="12.75" customHeight="1"/>
  </sheetData>
  <mergeCells count="12">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REGUL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467</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PRIORITY'!Q6+'3. % BY PRIORITY'!Q7</f>
        <v>101</v>
      </c>
      <c r="D5" s="186">
        <f>'3. % BY PRIORITY'!U6</f>
        <v>0.95283018867924529</v>
      </c>
      <c r="E5" s="135">
        <f>'3. % BY PRIORITY'!Q9</f>
        <v>5</v>
      </c>
      <c r="F5" s="131">
        <f>'3. % BY PRIORITY'!U9</f>
        <v>4.716981132075472E-2</v>
      </c>
      <c r="G5" s="136">
        <f>'3. % BY PRIORITY'!Q13+'3. % BY PRIORITY'!Q14</f>
        <v>0</v>
      </c>
      <c r="H5" s="133">
        <f>'3. % BY PRIORITY'!U13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PRIORITY'!Q28+'3. % BY PRIORITY'!Q29</f>
        <v>45</v>
      </c>
      <c r="D7" s="186">
        <f>'3. % BY PRIORITY'!U28</f>
        <v>0.9375</v>
      </c>
      <c r="E7" s="137">
        <f>'3. % BY PRIORITY'!Q31</f>
        <v>3</v>
      </c>
      <c r="F7" s="131">
        <f>'3. % BY PRIORITY'!U31</f>
        <v>6.25E-2</v>
      </c>
      <c r="G7" s="136">
        <f>'3. % BY PRIORITY'!Q35+'3. % BY PRIORITY'!Q36</f>
        <v>0</v>
      </c>
      <c r="H7" s="133">
        <f>'3. % BY PRIORITY'!U35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PRIORITY'!Q50+'3. % BY PRIORITY'!Q51</f>
        <v>24</v>
      </c>
      <c r="D8" s="186">
        <f>'3. % BY PRIORITY'!U50</f>
        <v>1</v>
      </c>
      <c r="E8" s="137">
        <f>'3. % BY PRIORITY'!Q53</f>
        <v>0</v>
      </c>
      <c r="F8" s="131">
        <f>'3. % BY PRIORITY'!U53</f>
        <v>0</v>
      </c>
      <c r="G8" s="136">
        <f>'3. % BY PRIORITY'!Q57+'3. % BY PRIORITY'!Q58</f>
        <v>0</v>
      </c>
      <c r="H8" s="133">
        <f>'3. % BY PRIORITY'!U57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PRIORITY'!Q72+'3. % BY PRIORITY'!Q73</f>
        <v>32</v>
      </c>
      <c r="D9" s="186">
        <f>'3. % BY PRIORITY'!U72</f>
        <v>0.94117647058823528</v>
      </c>
      <c r="E9" s="137">
        <f>'3. % BY PRIORITY'!Q75</f>
        <v>2</v>
      </c>
      <c r="F9" s="131">
        <f>'3. % BY PRIORITY'!U75</f>
        <v>5.8823529411764705E-2</v>
      </c>
      <c r="G9" s="136">
        <f>'3. % BY PRIORITY'!Q79+'3. % BY PRIORITY'!Q80</f>
        <v>0</v>
      </c>
      <c r="H9" s="133">
        <f>'3. % BY PRIORITY'!U79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PORTFOLIO'!P6+'5. % BY PORTFOLIO'!P7</f>
        <v>25</v>
      </c>
      <c r="D11" s="186">
        <f>'5. % BY PORTFOLIO'!T6</f>
        <v>0.92592592592592582</v>
      </c>
      <c r="E11" s="137">
        <f>'5. % BY PORTFOLIO'!P9</f>
        <v>2</v>
      </c>
      <c r="F11" s="131">
        <f>'5. % BY PORTFOLIO'!T9:T11</f>
        <v>0</v>
      </c>
      <c r="G11" s="136">
        <f>'5. % BY PORTFOLIO'!P13+'5. % BY PORTFOLIO'!P14</f>
        <v>0</v>
      </c>
      <c r="H11" s="133">
        <f>'5. % BY PORTFOLIO'!T13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PORTFOLIO'!P29+'5. % BY PORTFOLIO'!P30</f>
        <v>22</v>
      </c>
      <c r="D12" s="186">
        <f>'5. % BY PORTFOLIO'!T29</f>
        <v>0.95652173913043481</v>
      </c>
      <c r="E12" s="138">
        <f>'5. % BY PORTFOLIO'!P32</f>
        <v>1</v>
      </c>
      <c r="F12" s="131">
        <f>'5. % BY PORTFOLIO'!T32</f>
        <v>4.3478260869565216E-2</v>
      </c>
      <c r="G12" s="136">
        <f>'5. % BY PORTFOLIO'!P36+'5. % BY PORTFOLIO'!P37</f>
        <v>0</v>
      </c>
      <c r="H12" s="133">
        <f>'5. % BY PORTFOLIO'!T36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PORTFOLIO'!P51+'5. % BY PORTFOLIO'!P52</f>
        <v>20</v>
      </c>
      <c r="D13" s="186">
        <f>'5. % BY PORTFOLIO'!T51</f>
        <v>0.95238095238095233</v>
      </c>
      <c r="E13" s="138">
        <f>'5. % BY PORTFOLIO'!P54</f>
        <v>1</v>
      </c>
      <c r="F13" s="131">
        <f>'5. % BY PORTFOLIO'!T54</f>
        <v>4.7619047619047616E-2</v>
      </c>
      <c r="G13" s="136">
        <f>'5. % BY PORTFOLIO'!P58+'5. % BY PORTFOLIO'!P59</f>
        <v>0</v>
      </c>
      <c r="H13" s="133">
        <f>'5. % BY PORTFOLIO'!T58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PORTFOLIO'!P73+'5. % BY PORTFOLIO'!P74</f>
        <v>6</v>
      </c>
      <c r="D14" s="186">
        <f>'5. % BY PORTFOLIO'!T73</f>
        <v>0.8571428571428571</v>
      </c>
      <c r="E14" s="138">
        <f>'5. % BY PORTFOLIO'!P76</f>
        <v>1</v>
      </c>
      <c r="F14" s="131">
        <f>'5. % BY PORTFOLIO'!T76</f>
        <v>0.14285714285714285</v>
      </c>
      <c r="G14" s="136">
        <f>'5. % BY PORTFOLIO'!P80+'5. % BY PORTFOLIO'!P81</f>
        <v>0</v>
      </c>
      <c r="H14" s="133">
        <f>'5. % BY PORTFOLIO'!T80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PORTFOLIO'!P95+'5. % BY PORTFOLIO'!P96</f>
        <v>20</v>
      </c>
      <c r="D15" s="186">
        <f>'5. % BY PORTFOLIO'!T95</f>
        <v>1</v>
      </c>
      <c r="E15" s="138">
        <f>'5. % BY PORTFOLIO'!P98</f>
        <v>0</v>
      </c>
      <c r="F15" s="131">
        <f>'5. % BY PORTFOLIO'!T98</f>
        <v>0</v>
      </c>
      <c r="G15" s="136">
        <f>'5. % BY PORTFOLIO'!P102+'5. % BY PORTFOLIO'!P103</f>
        <v>0</v>
      </c>
      <c r="H15" s="133">
        <f>'5. % BY PORTFOLIO'!T102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PORTFOLIO'!P117+'5. % BY PORTFOLIO'!P118</f>
        <v>8</v>
      </c>
      <c r="D16" s="186">
        <f>'5. % BY PORTFOLIO'!T117</f>
        <v>1</v>
      </c>
      <c r="E16" s="138">
        <f>'5. % BY PORTFOLIO'!P120</f>
        <v>0</v>
      </c>
      <c r="F16" s="131">
        <f>'5. % BY PORTFOLIO'!T120</f>
        <v>0</v>
      </c>
      <c r="G16" s="136">
        <f>'5. % BY PORTFOLIO'!P124+'5. % BY PORTFOLIO'!P125</f>
        <v>0</v>
      </c>
      <c r="H16" s="133">
        <f>'5. % BY PORTFOLIO'!T124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468</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PRIORITY'!X6+'3. % BY PRIORITY'!X7</f>
        <v>104</v>
      </c>
      <c r="D5" s="186">
        <f>'3. % BY PRIORITY'!AB6</f>
        <v>0.95412844036697253</v>
      </c>
      <c r="E5" s="135">
        <f>'3. % BY PRIORITY'!X9+'3. % BY PRIORITY'!X10+'3. % BY PRIORITY'!X11</f>
        <v>4</v>
      </c>
      <c r="F5" s="131">
        <f>'3. % BY PRIORITY'!AB9</f>
        <v>3.669724770642202E-2</v>
      </c>
      <c r="G5" s="136">
        <f>'3. % BY PRIORITY'!X13+'3. % BY PRIORITY'!X14</f>
        <v>1</v>
      </c>
      <c r="H5" s="133">
        <f>'3. % BY PRIORITY'!AB13</f>
        <v>9.1743119266055051E-3</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PRIORITY'!X28+'3. % BY PRIORITY'!X29</f>
        <v>48</v>
      </c>
      <c r="D7" s="186">
        <f>'3. % BY PRIORITY'!AB28</f>
        <v>0.94117647058823528</v>
      </c>
      <c r="E7" s="137">
        <f>'3. % BY PRIORITY'!X31+'3. % BY PRIORITY'!X32+'3. % BY PRIORITY'!X33</f>
        <v>2</v>
      </c>
      <c r="F7" s="131">
        <f>'3. % BY PRIORITY'!AB31</f>
        <v>3.9215686274509803E-2</v>
      </c>
      <c r="G7" s="136">
        <f>'3. % BY PRIORITY'!X35+'3. % BY PRIORITY'!X36</f>
        <v>1</v>
      </c>
      <c r="H7" s="133">
        <f>'3. % BY PRIORITY'!AB35</f>
        <v>1.9607843137254902E-2</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PRIORITY'!X50+'3. % BY PRIORITY'!X51</f>
        <v>23</v>
      </c>
      <c r="D8" s="186">
        <f>'3. % BY PRIORITY'!AB50</f>
        <v>0.95833333333333337</v>
      </c>
      <c r="E8" s="137">
        <f>'3. % BY PRIORITY'!X53+'3. % BY PRIORITY'!X54+'3. % BY PRIORITY'!X55</f>
        <v>1</v>
      </c>
      <c r="F8" s="131">
        <f>'3. % BY PRIORITY'!AB53</f>
        <v>4.1666666666666664E-2</v>
      </c>
      <c r="G8" s="136">
        <f>'3. % BY PRIORITY'!X57+'3. % BY PRIORITY'!X58</f>
        <v>0</v>
      </c>
      <c r="H8" s="133">
        <f>'3. % BY PRIORITY'!AB57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PRIORITY'!X72+'3. % BY PRIORITY'!X73</f>
        <v>33</v>
      </c>
      <c r="D9" s="186">
        <f>'3. % BY PRIORITY'!AB72</f>
        <v>0.97058823529411764</v>
      </c>
      <c r="E9" s="137">
        <f>'3. % BY PRIORITY'!X75+'3. % BY PRIORITY'!X76+'3. % BY PRIORITY'!X77</f>
        <v>1</v>
      </c>
      <c r="F9" s="131">
        <f>'3. % BY PRIORITY'!AB75</f>
        <v>2.9411764705882353E-2</v>
      </c>
      <c r="G9" s="136">
        <f>'3. % BY PRIORITY'!X79+'3. % BY PRIORITY'!X80</f>
        <v>0</v>
      </c>
      <c r="H9" s="133">
        <f>'3. % BY PRIORITY'!AB79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PORTFOLIO'!W6+'5. % BY PORTFOLIO'!W7</f>
        <v>26</v>
      </c>
      <c r="D11" s="186">
        <f>'5. % BY PORTFOLIO'!AA6</f>
        <v>0.92857142857142849</v>
      </c>
      <c r="E11" s="137">
        <f>'5. % BY PORTFOLIO'!W9+'5. % BY PORTFOLIO'!W10+'5. % BY PORTFOLIO'!W11</f>
        <v>1</v>
      </c>
      <c r="F11" s="131">
        <f>'5. % BY PORTFOLIO'!AA9</f>
        <v>3.5714285714285712E-2</v>
      </c>
      <c r="G11" s="136">
        <f>'5. % BY PORTFOLIO'!W13+'5. % BY PORTFOLIO'!W14</f>
        <v>1</v>
      </c>
      <c r="H11" s="133">
        <f>'5. % BY PORTFOLIO'!AA13</f>
        <v>3.5714285714285712E-2</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PORTFOLIO'!W29+'5. % BY PORTFOLIO'!W30</f>
        <v>23</v>
      </c>
      <c r="D12" s="186">
        <f>'5. % BY PORTFOLIO'!AA29</f>
        <v>0.95833333333333337</v>
      </c>
      <c r="E12" s="138">
        <f>'5. % BY PORTFOLIO'!W32+'5. % BY PORTFOLIO'!W33+'5. % BY PORTFOLIO'!W34</f>
        <v>1</v>
      </c>
      <c r="F12" s="131">
        <f>'5. % BY PORTFOLIO'!AA32</f>
        <v>4.1666666666666664E-2</v>
      </c>
      <c r="G12" s="136">
        <f>'5. % BY PORTFOLIO'!W36+'5. % BY PORTFOLIO'!W37</f>
        <v>0</v>
      </c>
      <c r="H12" s="133">
        <f>'5. % BY PORTFOLIO'!AA36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PORTFOLIO'!W51+'5. % BY PORTFOLIO'!W52</f>
        <v>20</v>
      </c>
      <c r="D13" s="186">
        <f>'5. % BY PORTFOLIO'!AA51</f>
        <v>0.95238095238095233</v>
      </c>
      <c r="E13" s="138">
        <f>'5. % BY PORTFOLIO'!W54+'5. % BY PORTFOLIO'!W55+'5. % BY PORTFOLIO'!W56</f>
        <v>1</v>
      </c>
      <c r="F13" s="131">
        <f>'5. % BY PORTFOLIO'!AA54</f>
        <v>4.7619047619047616E-2</v>
      </c>
      <c r="G13" s="136">
        <f>'5. % BY PORTFOLIO'!W58+'5. % BY PORTFOLIO'!W59</f>
        <v>0</v>
      </c>
      <c r="H13" s="133">
        <f>'5. % BY PORTFOLIO'!AA58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PORTFOLIO'!W73+'5. % BY PORTFOLIO'!W74</f>
        <v>7</v>
      </c>
      <c r="D14" s="186">
        <f>'5. % BY PORTFOLIO'!AA73</f>
        <v>0.875</v>
      </c>
      <c r="E14" s="138">
        <f>'5. % BY PORTFOLIO'!W76+'5. % BY PORTFOLIO'!W77+'5. % BY PORTFOLIO'!W78</f>
        <v>1</v>
      </c>
      <c r="F14" s="131">
        <f>'5. % BY PORTFOLIO'!AA76</f>
        <v>0.125</v>
      </c>
      <c r="G14" s="136">
        <f>'5. % BY PORTFOLIO'!W80+'5. % BY PORTFOLIO'!W81</f>
        <v>0</v>
      </c>
      <c r="H14" s="133">
        <f>'5. % BY PORTFOLIO'!AA80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PORTFOLIO'!W95+'5. % BY PORTFOLIO'!W96</f>
        <v>20</v>
      </c>
      <c r="D15" s="186">
        <f>'5. % BY PORTFOLIO'!AA95</f>
        <v>1</v>
      </c>
      <c r="E15" s="138">
        <f>'5. % BY PORTFOLIO'!W98+'5. % BY PORTFOLIO'!W99+'5. % BY PORTFOLIO'!W100</f>
        <v>0</v>
      </c>
      <c r="F15" s="131">
        <f>'5. % BY PORTFOLIO'!AA98</f>
        <v>0</v>
      </c>
      <c r="G15" s="136">
        <f>'5. % BY PORTFOLIO'!W102+'5. % BY PORTFOLIO'!W103</f>
        <v>0</v>
      </c>
      <c r="H15" s="133">
        <f>'5. % BY PORTFOLIO'!AA102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PORTFOLIO'!W117+'5. % BY PORTFOLIO'!W118</f>
        <v>8</v>
      </c>
      <c r="D16" s="186">
        <f>'5. % BY PORTFOLIO'!AA117</f>
        <v>1</v>
      </c>
      <c r="E16" s="138">
        <f>'5. % BY PORTFOLIO'!W120+'5. % BY PORTFOLIO'!W121+'5. % BY PORTFOLIO'!W122</f>
        <v>0</v>
      </c>
      <c r="F16" s="131">
        <f>'5. % BY PORTFOLIO'!AA120</f>
        <v>0</v>
      </c>
      <c r="G16" s="136">
        <f>'5. % BY PORTFOLIO'!W124+'5. % BY PORTFOLIO'!W125</f>
        <v>0</v>
      </c>
      <c r="H16" s="133">
        <f>'5. % BY PORTFOLIO'!AA124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2"/>
  <sheetViews>
    <sheetView workbookViewId="0">
      <selection activeCell="B14" sqref="B14"/>
    </sheetView>
  </sheetViews>
  <sheetFormatPr defaultRowHeight="15"/>
  <cols>
    <col min="1" max="1" width="32.4257812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92" t="s">
        <v>64</v>
      </c>
    </row>
    <row r="2" spans="1:7" ht="24" customHeight="1">
      <c r="A2" s="550" t="s">
        <v>269</v>
      </c>
      <c r="B2" s="551"/>
      <c r="C2" s="551"/>
      <c r="D2" s="551"/>
      <c r="E2" s="551"/>
      <c r="F2" s="551"/>
      <c r="G2" s="552"/>
    </row>
    <row r="3" spans="1:7" ht="24" customHeight="1">
      <c r="A3" s="553"/>
      <c r="B3" s="554"/>
      <c r="C3" s="554"/>
      <c r="D3" s="554"/>
      <c r="E3" s="554"/>
      <c r="F3" s="554"/>
      <c r="G3" s="555"/>
    </row>
    <row r="4" spans="1:7" ht="24" customHeight="1" thickBot="1">
      <c r="A4" s="556"/>
      <c r="B4" s="557"/>
      <c r="C4" s="557"/>
      <c r="D4" s="557"/>
      <c r="E4" s="557"/>
      <c r="F4" s="557"/>
      <c r="G4" s="558"/>
    </row>
    <row r="7" spans="1:7">
      <c r="A7" s="256" t="s">
        <v>268</v>
      </c>
      <c r="B7" t="s">
        <v>273</v>
      </c>
    </row>
    <row r="8" spans="1:7">
      <c r="A8" s="258" t="s">
        <v>93</v>
      </c>
      <c r="B8" s="257">
        <v>25</v>
      </c>
    </row>
    <row r="9" spans="1:7">
      <c r="A9" s="261" t="s">
        <v>46</v>
      </c>
      <c r="B9" s="257">
        <v>25</v>
      </c>
    </row>
    <row r="10" spans="1:7">
      <c r="A10" s="258" t="s">
        <v>217</v>
      </c>
      <c r="B10" s="257">
        <v>22</v>
      </c>
    </row>
    <row r="11" spans="1:7">
      <c r="A11" s="261" t="s">
        <v>46</v>
      </c>
      <c r="B11" s="257">
        <v>22</v>
      </c>
    </row>
    <row r="12" spans="1:7">
      <c r="A12" s="258" t="s">
        <v>79</v>
      </c>
      <c r="B12" s="257">
        <v>30</v>
      </c>
    </row>
    <row r="13" spans="1:7">
      <c r="A13" s="261" t="s">
        <v>46</v>
      </c>
      <c r="B13" s="257">
        <v>30</v>
      </c>
      <c r="D13" s="23"/>
    </row>
    <row r="14" spans="1:7">
      <c r="A14" s="258" t="s">
        <v>218</v>
      </c>
      <c r="B14" s="257">
        <v>17</v>
      </c>
      <c r="D14" s="23"/>
    </row>
    <row r="15" spans="1:7">
      <c r="A15" s="261" t="s">
        <v>46</v>
      </c>
      <c r="B15" s="257">
        <v>17</v>
      </c>
    </row>
    <row r="16" spans="1:7">
      <c r="A16" s="258" t="s">
        <v>6</v>
      </c>
      <c r="B16" s="257">
        <v>8</v>
      </c>
    </row>
    <row r="17" spans="1:2">
      <c r="A17" s="261" t="s">
        <v>46</v>
      </c>
      <c r="B17" s="257">
        <v>8</v>
      </c>
    </row>
    <row r="18" spans="1:2">
      <c r="A18" s="258" t="s">
        <v>266</v>
      </c>
      <c r="B18" s="257"/>
    </row>
    <row r="19" spans="1:2">
      <c r="A19" s="261" t="s">
        <v>266</v>
      </c>
      <c r="B19" s="257"/>
    </row>
    <row r="20" spans="1:2">
      <c r="A20" s="258" t="s">
        <v>91</v>
      </c>
      <c r="B20" s="257">
        <v>8</v>
      </c>
    </row>
    <row r="21" spans="1:2">
      <c r="A21" s="261" t="s">
        <v>46</v>
      </c>
      <c r="B21" s="257">
        <v>8</v>
      </c>
    </row>
    <row r="22" spans="1:2">
      <c r="A22" s="258" t="s">
        <v>267</v>
      </c>
      <c r="B22" s="257">
        <v>110</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Z169"/>
  <sheetViews>
    <sheetView tabSelected="1" zoomScale="70" zoomScaleNormal="70" zoomScaleSheetLayoutView="30" workbookViewId="0">
      <pane xSplit="6" ySplit="3" topLeftCell="U4" activePane="bottomRight" state="frozen"/>
      <selection pane="topRight" activeCell="G1" sqref="G1"/>
      <selection pane="bottomLeft" activeCell="A3" sqref="A3"/>
      <selection pane="bottomRight" activeCell="A5" sqref="A5"/>
    </sheetView>
  </sheetViews>
  <sheetFormatPr defaultColWidth="9.140625" defaultRowHeight="15.75"/>
  <cols>
    <col min="1" max="1" width="12.7109375" style="150" customWidth="1"/>
    <col min="2" max="2" width="15" style="44" customWidth="1"/>
    <col min="3" max="3" width="46.85546875" style="140" customWidth="1"/>
    <col min="4" max="4" width="48.28515625" style="141" customWidth="1"/>
    <col min="5" max="5" width="26.5703125" style="141" hidden="1" customWidth="1"/>
    <col min="6" max="6" width="26.5703125" style="44" hidden="1" customWidth="1"/>
    <col min="7" max="7" width="39.28515625" style="140" customWidth="1"/>
    <col min="8" max="8" width="36.28515625" style="140" hidden="1" customWidth="1"/>
    <col min="9" max="9" width="17.85546875" style="425" hidden="1" customWidth="1"/>
    <col min="10" max="10" width="0.140625" style="140" customWidth="1"/>
    <col min="11" max="11" width="47.28515625" style="46" customWidth="1"/>
    <col min="12" max="13" width="37.42578125" style="46" hidden="1" customWidth="1"/>
    <col min="14" max="14" width="18.85546875" style="139" hidden="1" customWidth="1"/>
    <col min="15" max="15" width="54.5703125" style="46" hidden="1" customWidth="1"/>
    <col min="16" max="16" width="41.85546875" style="274" customWidth="1"/>
    <col min="17" max="18" width="41.85546875" style="274" hidden="1" customWidth="1"/>
    <col min="19" max="19" width="20.85546875" style="46" hidden="1" customWidth="1"/>
    <col min="20" max="20" width="66" style="275" hidden="1" customWidth="1"/>
    <col min="21" max="22" width="47.42578125" style="274" customWidth="1"/>
    <col min="23" max="23" width="25.28515625" style="139" customWidth="1"/>
    <col min="24" max="24" width="35.5703125" style="286" customWidth="1"/>
    <col min="25" max="25" width="21.28515625" style="141" customWidth="1"/>
    <col min="26" max="26" width="23.5703125" style="141" hidden="1" customWidth="1"/>
    <col min="27" max="27" width="32.28515625" style="44" hidden="1" customWidth="1"/>
    <col min="28" max="28" width="22.85546875" style="141" customWidth="1"/>
    <col min="29" max="29" width="9.140625" style="294" hidden="1" customWidth="1"/>
    <col min="30" max="16384" width="9.140625" style="44"/>
  </cols>
  <sheetData>
    <row r="1" spans="1:52" s="384" customFormat="1" ht="18.75">
      <c r="A1" s="253" t="s">
        <v>64</v>
      </c>
      <c r="C1" s="385"/>
      <c r="D1" s="386"/>
      <c r="E1" s="386"/>
      <c r="G1" s="385"/>
      <c r="H1" s="385"/>
      <c r="I1" s="415"/>
      <c r="J1" s="385"/>
      <c r="K1" s="45"/>
      <c r="L1" s="45"/>
      <c r="M1" s="45"/>
      <c r="N1" s="387"/>
      <c r="O1" s="45"/>
      <c r="P1" s="388"/>
      <c r="Q1" s="388"/>
      <c r="R1" s="388"/>
      <c r="S1" s="45"/>
      <c r="T1" s="389"/>
      <c r="U1" s="388"/>
      <c r="V1" s="388"/>
      <c r="W1" s="387"/>
      <c r="X1" s="390"/>
      <c r="Y1" s="386"/>
      <c r="Z1" s="386"/>
      <c r="AB1" s="386"/>
      <c r="AC1" s="391"/>
    </row>
    <row r="2" spans="1:52" ht="61.5" hidden="1" customHeight="1" thickTop="1">
      <c r="A2" s="514" t="s">
        <v>265</v>
      </c>
      <c r="B2" s="515"/>
      <c r="C2" s="515"/>
      <c r="D2" s="516"/>
      <c r="E2" s="455"/>
      <c r="F2" s="384"/>
      <c r="G2" s="385"/>
      <c r="H2" s="385"/>
      <c r="I2" s="415"/>
      <c r="J2" s="385"/>
      <c r="K2" s="45"/>
      <c r="L2" s="45"/>
      <c r="M2" s="45"/>
      <c r="N2" s="387"/>
      <c r="O2" s="45"/>
      <c r="P2" s="388"/>
      <c r="Q2" s="388"/>
      <c r="R2" s="388"/>
      <c r="S2" s="45"/>
      <c r="T2" s="389"/>
      <c r="U2" s="388"/>
      <c r="V2" s="388"/>
      <c r="W2" s="387"/>
      <c r="X2" s="390"/>
      <c r="Y2" s="386"/>
      <c r="Z2" s="386"/>
      <c r="AA2" s="384"/>
      <c r="AB2" s="386"/>
      <c r="AC2" s="391"/>
      <c r="AD2" s="384"/>
      <c r="AE2" s="384"/>
      <c r="AF2" s="384"/>
      <c r="AG2" s="384"/>
      <c r="AH2" s="384"/>
      <c r="AI2" s="384"/>
      <c r="AJ2" s="384"/>
      <c r="AK2" s="384"/>
      <c r="AL2" s="384"/>
      <c r="AM2" s="384"/>
      <c r="AN2" s="384"/>
      <c r="AO2" s="384"/>
      <c r="AP2" s="384"/>
      <c r="AQ2" s="384"/>
      <c r="AR2" s="384"/>
      <c r="AS2" s="384"/>
      <c r="AT2" s="384"/>
      <c r="AU2" s="384"/>
      <c r="AV2" s="384"/>
      <c r="AW2" s="384"/>
      <c r="AX2" s="384"/>
      <c r="AY2" s="384"/>
      <c r="AZ2" s="384"/>
    </row>
    <row r="3" spans="1:52" s="56" customFormat="1" ht="67.5" customHeight="1">
      <c r="A3" s="393" t="s">
        <v>246</v>
      </c>
      <c r="B3" s="394" t="s">
        <v>123</v>
      </c>
      <c r="C3" s="395" t="s">
        <v>0</v>
      </c>
      <c r="D3" s="394" t="s">
        <v>450</v>
      </c>
      <c r="E3" s="394" t="s">
        <v>804</v>
      </c>
      <c r="F3" s="394" t="s">
        <v>97</v>
      </c>
      <c r="G3" s="394" t="s">
        <v>453</v>
      </c>
      <c r="H3" s="394" t="s">
        <v>41</v>
      </c>
      <c r="I3" s="394" t="s">
        <v>90</v>
      </c>
      <c r="J3" s="394" t="s">
        <v>451</v>
      </c>
      <c r="K3" s="394" t="s">
        <v>452</v>
      </c>
      <c r="L3" s="394" t="s">
        <v>599</v>
      </c>
      <c r="M3" s="394" t="s">
        <v>259</v>
      </c>
      <c r="N3" s="394" t="s">
        <v>8</v>
      </c>
      <c r="O3" s="394" t="s">
        <v>260</v>
      </c>
      <c r="P3" s="394" t="s">
        <v>454</v>
      </c>
      <c r="Q3" s="394" t="s">
        <v>455</v>
      </c>
      <c r="R3" s="394" t="s">
        <v>272</v>
      </c>
      <c r="S3" s="394" t="s">
        <v>9</v>
      </c>
      <c r="T3" s="394" t="s">
        <v>456</v>
      </c>
      <c r="U3" s="394" t="s">
        <v>457</v>
      </c>
      <c r="V3" s="394" t="s">
        <v>458</v>
      </c>
      <c r="W3" s="394" t="s">
        <v>76</v>
      </c>
      <c r="X3" s="394" t="s">
        <v>459</v>
      </c>
      <c r="Y3" s="394" t="s">
        <v>4</v>
      </c>
      <c r="Z3" s="394" t="s">
        <v>98</v>
      </c>
      <c r="AA3" s="394" t="s">
        <v>69</v>
      </c>
      <c r="AB3" s="394" t="s">
        <v>5</v>
      </c>
      <c r="AC3" s="393" t="s">
        <v>102</v>
      </c>
    </row>
    <row r="4" spans="1:52" s="297" customFormat="1" ht="21">
      <c r="A4" s="396" t="s">
        <v>241</v>
      </c>
      <c r="B4" s="397"/>
      <c r="C4" s="398"/>
      <c r="D4" s="397"/>
      <c r="E4" s="397"/>
      <c r="F4" s="397"/>
      <c r="G4" s="397"/>
      <c r="H4" s="397"/>
      <c r="I4" s="397"/>
      <c r="J4" s="397"/>
      <c r="K4" s="397"/>
      <c r="L4" s="397"/>
      <c r="M4" s="397"/>
      <c r="N4" s="397"/>
      <c r="O4" s="397"/>
      <c r="P4" s="399"/>
      <c r="Q4" s="399"/>
      <c r="R4" s="399"/>
      <c r="S4" s="397"/>
      <c r="T4" s="399"/>
      <c r="U4" s="485"/>
      <c r="V4" s="399"/>
      <c r="W4" s="397"/>
      <c r="X4" s="397"/>
      <c r="Y4" s="397"/>
      <c r="Z4" s="397"/>
      <c r="AA4" s="397"/>
      <c r="AB4" s="397"/>
      <c r="AC4" s="400">
        <v>1</v>
      </c>
    </row>
    <row r="5" spans="1:52" s="56" customFormat="1" ht="153.75" customHeight="1">
      <c r="A5" s="210" t="s">
        <v>128</v>
      </c>
      <c r="B5" s="208" t="s">
        <v>113</v>
      </c>
      <c r="C5" s="182" t="s">
        <v>274</v>
      </c>
      <c r="D5" s="410" t="s">
        <v>275</v>
      </c>
      <c r="E5" s="456" t="s">
        <v>805</v>
      </c>
      <c r="F5" s="144">
        <v>42705</v>
      </c>
      <c r="G5" s="416" t="s">
        <v>506</v>
      </c>
      <c r="H5" s="276" t="s">
        <v>551</v>
      </c>
      <c r="I5" s="148" t="s">
        <v>43</v>
      </c>
      <c r="J5" s="260"/>
      <c r="K5" s="445" t="s">
        <v>674</v>
      </c>
      <c r="L5" s="416"/>
      <c r="M5" s="416"/>
      <c r="N5" s="437" t="s">
        <v>43</v>
      </c>
      <c r="O5" s="416"/>
      <c r="P5" s="457" t="s">
        <v>741</v>
      </c>
      <c r="Q5" s="458"/>
      <c r="R5" s="458"/>
      <c r="S5" s="148" t="s">
        <v>42</v>
      </c>
      <c r="T5" s="459" t="s">
        <v>780</v>
      </c>
      <c r="U5" s="476" t="s">
        <v>827</v>
      </c>
      <c r="V5" s="476"/>
      <c r="W5" s="446" t="s">
        <v>42</v>
      </c>
      <c r="X5" s="472"/>
      <c r="Y5" s="143" t="s">
        <v>214</v>
      </c>
      <c r="Z5" s="142" t="s">
        <v>347</v>
      </c>
      <c r="AA5" s="181" t="s">
        <v>93</v>
      </c>
      <c r="AB5" s="401" t="s">
        <v>103</v>
      </c>
      <c r="AC5" s="295">
        <v>2</v>
      </c>
    </row>
    <row r="6" spans="1:52" ht="153.75" customHeight="1">
      <c r="A6" s="210" t="s">
        <v>129</v>
      </c>
      <c r="B6" s="208" t="s">
        <v>113</v>
      </c>
      <c r="C6" s="182" t="s">
        <v>274</v>
      </c>
      <c r="D6" s="410" t="s">
        <v>276</v>
      </c>
      <c r="E6" s="456" t="s">
        <v>805</v>
      </c>
      <c r="F6" s="144">
        <v>42795</v>
      </c>
      <c r="G6" s="421" t="s">
        <v>507</v>
      </c>
      <c r="H6" s="276"/>
      <c r="I6" s="148" t="s">
        <v>45</v>
      </c>
      <c r="J6" s="260"/>
      <c r="K6" s="416" t="s">
        <v>680</v>
      </c>
      <c r="L6" s="416"/>
      <c r="M6" s="416"/>
      <c r="N6" s="437" t="s">
        <v>45</v>
      </c>
      <c r="O6" s="416"/>
      <c r="P6" s="457" t="s">
        <v>45</v>
      </c>
      <c r="Q6" s="458"/>
      <c r="R6" s="458"/>
      <c r="S6" s="148" t="s">
        <v>45</v>
      </c>
      <c r="T6" s="459"/>
      <c r="U6" s="476" t="s">
        <v>844</v>
      </c>
      <c r="V6" s="476"/>
      <c r="W6" s="446" t="s">
        <v>42</v>
      </c>
      <c r="X6" s="472"/>
      <c r="Y6" s="143" t="s">
        <v>214</v>
      </c>
      <c r="Z6" s="142" t="s">
        <v>347</v>
      </c>
      <c r="AA6" s="181" t="s">
        <v>93</v>
      </c>
      <c r="AB6" s="401" t="s">
        <v>103</v>
      </c>
      <c r="AC6" s="295">
        <v>3</v>
      </c>
    </row>
    <row r="7" spans="1:52" ht="188.25" customHeight="1">
      <c r="A7" s="210" t="s">
        <v>130</v>
      </c>
      <c r="B7" s="208" t="s">
        <v>113</v>
      </c>
      <c r="C7" s="182" t="s">
        <v>277</v>
      </c>
      <c r="D7" s="410" t="s">
        <v>278</v>
      </c>
      <c r="E7" s="456" t="s">
        <v>805</v>
      </c>
      <c r="F7" s="144">
        <v>42795</v>
      </c>
      <c r="G7" s="416" t="s">
        <v>552</v>
      </c>
      <c r="H7" s="276"/>
      <c r="I7" s="148" t="s">
        <v>45</v>
      </c>
      <c r="J7" s="260"/>
      <c r="K7" s="416" t="s">
        <v>681</v>
      </c>
      <c r="L7" s="416"/>
      <c r="M7" s="416"/>
      <c r="N7" s="437" t="s">
        <v>43</v>
      </c>
      <c r="O7" s="416"/>
      <c r="P7" s="416" t="s">
        <v>773</v>
      </c>
      <c r="Q7" s="458"/>
      <c r="R7" s="458"/>
      <c r="S7" s="148" t="s">
        <v>43</v>
      </c>
      <c r="T7" s="459"/>
      <c r="U7" s="260" t="s">
        <v>875</v>
      </c>
      <c r="V7" s="479">
        <v>0.83</v>
      </c>
      <c r="W7" s="446" t="s">
        <v>42</v>
      </c>
      <c r="X7" s="472"/>
      <c r="Y7" s="143" t="s">
        <v>214</v>
      </c>
      <c r="Z7" s="142" t="s">
        <v>93</v>
      </c>
      <c r="AA7" s="181" t="s">
        <v>93</v>
      </c>
      <c r="AB7" s="401" t="s">
        <v>103</v>
      </c>
      <c r="AC7" s="295">
        <v>4</v>
      </c>
    </row>
    <row r="8" spans="1:52" ht="153.75" customHeight="1">
      <c r="A8" s="210" t="s">
        <v>131</v>
      </c>
      <c r="B8" s="208" t="s">
        <v>120</v>
      </c>
      <c r="C8" s="182" t="s">
        <v>279</v>
      </c>
      <c r="D8" s="410" t="s">
        <v>280</v>
      </c>
      <c r="E8" s="456" t="s">
        <v>805</v>
      </c>
      <c r="F8" s="144">
        <v>42522</v>
      </c>
      <c r="G8" s="416" t="s">
        <v>571</v>
      </c>
      <c r="H8" s="276"/>
      <c r="I8" s="148" t="s">
        <v>42</v>
      </c>
      <c r="J8" s="260"/>
      <c r="K8" s="416" t="s">
        <v>682</v>
      </c>
      <c r="L8" s="416"/>
      <c r="M8" s="416"/>
      <c r="N8" s="437" t="s">
        <v>42</v>
      </c>
      <c r="O8" s="416"/>
      <c r="P8" s="457" t="s">
        <v>787</v>
      </c>
      <c r="Q8" s="458"/>
      <c r="R8" s="458"/>
      <c r="S8" s="148" t="s">
        <v>42</v>
      </c>
      <c r="T8" s="459"/>
      <c r="U8" s="484" t="s">
        <v>829</v>
      </c>
      <c r="V8" s="476"/>
      <c r="W8" s="446" t="s">
        <v>42</v>
      </c>
      <c r="X8" s="472"/>
      <c r="Y8" s="143" t="s">
        <v>214</v>
      </c>
      <c r="Z8" s="142" t="s">
        <v>348</v>
      </c>
      <c r="AA8" s="181" t="s">
        <v>93</v>
      </c>
      <c r="AB8" s="401" t="s">
        <v>103</v>
      </c>
      <c r="AC8" s="295">
        <v>5</v>
      </c>
    </row>
    <row r="9" spans="1:52" ht="165">
      <c r="A9" s="210" t="s">
        <v>132</v>
      </c>
      <c r="B9" s="208" t="s">
        <v>120</v>
      </c>
      <c r="C9" s="182" t="s">
        <v>281</v>
      </c>
      <c r="D9" s="410" t="s">
        <v>282</v>
      </c>
      <c r="E9" s="456" t="s">
        <v>805</v>
      </c>
      <c r="F9" s="144">
        <v>42795</v>
      </c>
      <c r="G9" s="416" t="s">
        <v>572</v>
      </c>
      <c r="H9" s="276"/>
      <c r="I9" s="148" t="s">
        <v>43</v>
      </c>
      <c r="J9" s="260"/>
      <c r="K9" s="416" t="s">
        <v>683</v>
      </c>
      <c r="L9" s="416"/>
      <c r="M9" s="416"/>
      <c r="N9" s="437" t="s">
        <v>43</v>
      </c>
      <c r="O9" s="416"/>
      <c r="P9" s="416" t="s">
        <v>683</v>
      </c>
      <c r="Q9" s="460">
        <v>1</v>
      </c>
      <c r="R9" s="458"/>
      <c r="S9" s="148" t="s">
        <v>43</v>
      </c>
      <c r="T9" s="459"/>
      <c r="U9" s="476" t="s">
        <v>878</v>
      </c>
      <c r="V9" s="479" t="s">
        <v>879</v>
      </c>
      <c r="W9" s="446" t="s">
        <v>42</v>
      </c>
      <c r="X9" s="476" t="s">
        <v>683</v>
      </c>
      <c r="Y9" s="143" t="s">
        <v>214</v>
      </c>
      <c r="Z9" s="142" t="s">
        <v>348</v>
      </c>
      <c r="AA9" s="181" t="s">
        <v>93</v>
      </c>
      <c r="AB9" s="401" t="s">
        <v>103</v>
      </c>
      <c r="AC9" s="295">
        <v>6</v>
      </c>
    </row>
    <row r="10" spans="1:52" ht="153.75" customHeight="1">
      <c r="A10" s="210" t="s">
        <v>133</v>
      </c>
      <c r="B10" s="208" t="s">
        <v>115</v>
      </c>
      <c r="C10" s="182" t="s">
        <v>283</v>
      </c>
      <c r="D10" s="410" t="s">
        <v>284</v>
      </c>
      <c r="E10" s="456" t="s">
        <v>805</v>
      </c>
      <c r="F10" s="144">
        <v>42614</v>
      </c>
      <c r="G10" s="416" t="s">
        <v>535</v>
      </c>
      <c r="H10" s="276" t="s">
        <v>536</v>
      </c>
      <c r="I10" s="148" t="s">
        <v>43</v>
      </c>
      <c r="J10" s="260"/>
      <c r="K10" s="416" t="s">
        <v>623</v>
      </c>
      <c r="L10" s="416"/>
      <c r="M10" s="416"/>
      <c r="N10" s="437" t="s">
        <v>42</v>
      </c>
      <c r="O10" s="416"/>
      <c r="P10" s="457" t="s">
        <v>758</v>
      </c>
      <c r="Q10" s="458"/>
      <c r="R10" s="458"/>
      <c r="S10" s="148" t="s">
        <v>42</v>
      </c>
      <c r="T10" s="459"/>
      <c r="U10" s="476" t="s">
        <v>828</v>
      </c>
      <c r="V10" s="476"/>
      <c r="W10" s="446" t="s">
        <v>42</v>
      </c>
      <c r="X10" s="473"/>
      <c r="Y10" s="143" t="s">
        <v>214</v>
      </c>
      <c r="Z10" s="142" t="s">
        <v>349</v>
      </c>
      <c r="AA10" s="181" t="s">
        <v>93</v>
      </c>
      <c r="AB10" s="401" t="s">
        <v>103</v>
      </c>
      <c r="AC10" s="295">
        <v>7</v>
      </c>
    </row>
    <row r="11" spans="1:52" ht="153.75" customHeight="1">
      <c r="A11" s="210" t="s">
        <v>134</v>
      </c>
      <c r="B11" s="208" t="s">
        <v>115</v>
      </c>
      <c r="C11" s="182" t="s">
        <v>283</v>
      </c>
      <c r="D11" s="410" t="s">
        <v>285</v>
      </c>
      <c r="E11" s="456" t="s">
        <v>805</v>
      </c>
      <c r="F11" s="144">
        <v>42644</v>
      </c>
      <c r="G11" s="416" t="s">
        <v>533</v>
      </c>
      <c r="H11" s="276" t="s">
        <v>534</v>
      </c>
      <c r="I11" s="148" t="s">
        <v>42</v>
      </c>
      <c r="J11" s="260"/>
      <c r="K11" s="416" t="s">
        <v>632</v>
      </c>
      <c r="L11" s="418"/>
      <c r="M11" s="418"/>
      <c r="N11" s="437" t="s">
        <v>42</v>
      </c>
      <c r="O11" s="416"/>
      <c r="P11" s="457" t="s">
        <v>787</v>
      </c>
      <c r="Q11" s="460"/>
      <c r="R11" s="460"/>
      <c r="S11" s="148" t="s">
        <v>42</v>
      </c>
      <c r="T11" s="459"/>
      <c r="U11" s="479" t="s">
        <v>829</v>
      </c>
      <c r="V11" s="479"/>
      <c r="W11" s="446" t="s">
        <v>42</v>
      </c>
      <c r="X11" s="472"/>
      <c r="Y11" s="143" t="s">
        <v>214</v>
      </c>
      <c r="Z11" s="142" t="s">
        <v>349</v>
      </c>
      <c r="AA11" s="181" t="s">
        <v>93</v>
      </c>
      <c r="AB11" s="401" t="s">
        <v>103</v>
      </c>
      <c r="AC11" s="295">
        <v>8</v>
      </c>
    </row>
    <row r="12" spans="1:52" ht="153.75" customHeight="1">
      <c r="A12" s="210" t="s">
        <v>135</v>
      </c>
      <c r="B12" s="208" t="s">
        <v>115</v>
      </c>
      <c r="C12" s="182" t="s">
        <v>283</v>
      </c>
      <c r="D12" s="410" t="s">
        <v>286</v>
      </c>
      <c r="E12" s="456" t="s">
        <v>805</v>
      </c>
      <c r="F12" s="144">
        <v>42795</v>
      </c>
      <c r="G12" s="416" t="s">
        <v>530</v>
      </c>
      <c r="H12" s="276" t="s">
        <v>532</v>
      </c>
      <c r="I12" s="148" t="s">
        <v>43</v>
      </c>
      <c r="J12" s="260"/>
      <c r="K12" s="416" t="s">
        <v>665</v>
      </c>
      <c r="L12" s="416"/>
      <c r="M12" s="416"/>
      <c r="N12" s="437" t="s">
        <v>43</v>
      </c>
      <c r="O12" s="416"/>
      <c r="P12" s="457" t="s">
        <v>781</v>
      </c>
      <c r="Q12" s="458"/>
      <c r="R12" s="458"/>
      <c r="S12" s="148" t="s">
        <v>43</v>
      </c>
      <c r="T12" s="459"/>
      <c r="U12" s="476" t="s">
        <v>830</v>
      </c>
      <c r="V12" s="476"/>
      <c r="W12" s="446" t="s">
        <v>42</v>
      </c>
      <c r="X12" s="473" t="s">
        <v>831</v>
      </c>
      <c r="Y12" s="143" t="s">
        <v>214</v>
      </c>
      <c r="Z12" s="142" t="s">
        <v>349</v>
      </c>
      <c r="AA12" s="181" t="s">
        <v>93</v>
      </c>
      <c r="AB12" s="401" t="s">
        <v>103</v>
      </c>
      <c r="AC12" s="295">
        <v>9</v>
      </c>
    </row>
    <row r="13" spans="1:52" ht="153.75" customHeight="1">
      <c r="A13" s="210" t="s">
        <v>136</v>
      </c>
      <c r="B13" s="208" t="s">
        <v>113</v>
      </c>
      <c r="C13" s="182" t="s">
        <v>287</v>
      </c>
      <c r="D13" s="410" t="s">
        <v>288</v>
      </c>
      <c r="E13" s="456" t="s">
        <v>805</v>
      </c>
      <c r="F13" s="144">
        <v>42736</v>
      </c>
      <c r="G13" s="416" t="s">
        <v>570</v>
      </c>
      <c r="H13" s="276"/>
      <c r="I13" s="148" t="s">
        <v>43</v>
      </c>
      <c r="J13" s="260"/>
      <c r="K13" s="416" t="s">
        <v>621</v>
      </c>
      <c r="L13" s="416"/>
      <c r="M13" s="416"/>
      <c r="N13" s="437" t="s">
        <v>43</v>
      </c>
      <c r="O13" s="416"/>
      <c r="P13" s="457" t="s">
        <v>713</v>
      </c>
      <c r="Q13" s="458"/>
      <c r="R13" s="458"/>
      <c r="S13" s="148" t="s">
        <v>42</v>
      </c>
      <c r="T13" s="459"/>
      <c r="U13" s="476" t="s">
        <v>827</v>
      </c>
      <c r="V13" s="476"/>
      <c r="W13" s="446" t="s">
        <v>42</v>
      </c>
      <c r="X13" s="472"/>
      <c r="Y13" s="143" t="s">
        <v>214</v>
      </c>
      <c r="Z13" s="142" t="s">
        <v>350</v>
      </c>
      <c r="AA13" s="181" t="s">
        <v>93</v>
      </c>
      <c r="AB13" s="401" t="s">
        <v>103</v>
      </c>
      <c r="AC13" s="295">
        <v>10</v>
      </c>
    </row>
    <row r="14" spans="1:52" ht="153.75" customHeight="1">
      <c r="A14" s="210" t="s">
        <v>137</v>
      </c>
      <c r="B14" s="208" t="s">
        <v>115</v>
      </c>
      <c r="C14" s="182" t="s">
        <v>287</v>
      </c>
      <c r="D14" s="410" t="s">
        <v>289</v>
      </c>
      <c r="E14" s="456" t="s">
        <v>805</v>
      </c>
      <c r="F14" s="144">
        <v>42795</v>
      </c>
      <c r="G14" s="416" t="s">
        <v>531</v>
      </c>
      <c r="H14" s="276" t="s">
        <v>581</v>
      </c>
      <c r="I14" s="148" t="s">
        <v>43</v>
      </c>
      <c r="J14" s="260"/>
      <c r="K14" s="416" t="s">
        <v>666</v>
      </c>
      <c r="L14" s="416"/>
      <c r="M14" s="416"/>
      <c r="N14" s="437" t="s">
        <v>43</v>
      </c>
      <c r="O14" s="416"/>
      <c r="P14" s="457" t="s">
        <v>712</v>
      </c>
      <c r="Q14" s="458"/>
      <c r="R14" s="458"/>
      <c r="S14" s="148" t="s">
        <v>43</v>
      </c>
      <c r="T14" s="459"/>
      <c r="U14" s="476" t="s">
        <v>832</v>
      </c>
      <c r="V14" s="476"/>
      <c r="W14" s="446" t="s">
        <v>42</v>
      </c>
      <c r="X14" s="472"/>
      <c r="Y14" s="143" t="s">
        <v>214</v>
      </c>
      <c r="Z14" s="147" t="s">
        <v>350</v>
      </c>
      <c r="AA14" s="181" t="s">
        <v>93</v>
      </c>
      <c r="AB14" s="401" t="s">
        <v>103</v>
      </c>
      <c r="AC14" s="295">
        <v>11</v>
      </c>
    </row>
    <row r="15" spans="1:52" ht="153.75" customHeight="1">
      <c r="A15" s="210" t="s">
        <v>138</v>
      </c>
      <c r="B15" s="208" t="s">
        <v>125</v>
      </c>
      <c r="C15" s="182" t="s">
        <v>290</v>
      </c>
      <c r="D15" s="410" t="s">
        <v>291</v>
      </c>
      <c r="E15" s="456" t="s">
        <v>805</v>
      </c>
      <c r="F15" s="144">
        <v>42644</v>
      </c>
      <c r="G15" s="416" t="s">
        <v>547</v>
      </c>
      <c r="H15" s="276"/>
      <c r="I15" s="148" t="s">
        <v>43</v>
      </c>
      <c r="J15" s="260"/>
      <c r="K15" s="416" t="s">
        <v>684</v>
      </c>
      <c r="L15" s="416"/>
      <c r="M15" s="416"/>
      <c r="N15" s="437" t="s">
        <v>42</v>
      </c>
      <c r="O15" s="416"/>
      <c r="P15" s="457" t="s">
        <v>758</v>
      </c>
      <c r="Q15" s="458"/>
      <c r="R15" s="458"/>
      <c r="S15" s="148" t="s">
        <v>42</v>
      </c>
      <c r="T15" s="459"/>
      <c r="U15" s="476" t="s">
        <v>828</v>
      </c>
      <c r="V15" s="476"/>
      <c r="W15" s="446" t="s">
        <v>42</v>
      </c>
      <c r="X15" s="472"/>
      <c r="Y15" s="143" t="s">
        <v>214</v>
      </c>
      <c r="Z15" s="147" t="s">
        <v>351</v>
      </c>
      <c r="AA15" s="181" t="s">
        <v>93</v>
      </c>
      <c r="AB15" s="401" t="s">
        <v>103</v>
      </c>
      <c r="AC15" s="295">
        <v>12</v>
      </c>
    </row>
    <row r="16" spans="1:52" ht="153.75" customHeight="1">
      <c r="A16" s="210" t="s">
        <v>139</v>
      </c>
      <c r="B16" s="208" t="s">
        <v>116</v>
      </c>
      <c r="C16" s="182" t="s">
        <v>292</v>
      </c>
      <c r="D16" s="410" t="s">
        <v>293</v>
      </c>
      <c r="E16" s="456" t="s">
        <v>805</v>
      </c>
      <c r="F16" s="144">
        <v>42795</v>
      </c>
      <c r="G16" s="416" t="s">
        <v>511</v>
      </c>
      <c r="H16" s="276" t="s">
        <v>512</v>
      </c>
      <c r="I16" s="148" t="s">
        <v>43</v>
      </c>
      <c r="J16" s="260"/>
      <c r="K16" s="416" t="s">
        <v>673</v>
      </c>
      <c r="L16" s="418"/>
      <c r="M16" s="444"/>
      <c r="N16" s="437" t="s">
        <v>42</v>
      </c>
      <c r="O16" s="416"/>
      <c r="P16" s="457" t="s">
        <v>758</v>
      </c>
      <c r="Q16" s="458"/>
      <c r="R16" s="458"/>
      <c r="S16" s="148" t="s">
        <v>42</v>
      </c>
      <c r="T16" s="459"/>
      <c r="U16" s="476" t="s">
        <v>828</v>
      </c>
      <c r="V16" s="476"/>
      <c r="W16" s="446" t="s">
        <v>42</v>
      </c>
      <c r="X16" s="472"/>
      <c r="Y16" s="143" t="s">
        <v>214</v>
      </c>
      <c r="Z16" s="142" t="s">
        <v>106</v>
      </c>
      <c r="AA16" s="181" t="s">
        <v>217</v>
      </c>
      <c r="AB16" s="401" t="s">
        <v>105</v>
      </c>
      <c r="AC16" s="295">
        <v>13</v>
      </c>
    </row>
    <row r="17" spans="1:29" ht="153.75" customHeight="1">
      <c r="A17" s="210" t="s">
        <v>140</v>
      </c>
      <c r="B17" s="208" t="s">
        <v>116</v>
      </c>
      <c r="C17" s="182" t="s">
        <v>294</v>
      </c>
      <c r="D17" s="410" t="s">
        <v>295</v>
      </c>
      <c r="E17" s="456" t="s">
        <v>805</v>
      </c>
      <c r="F17" s="144">
        <v>42614</v>
      </c>
      <c r="G17" s="416" t="s">
        <v>513</v>
      </c>
      <c r="H17" s="276" t="s">
        <v>514</v>
      </c>
      <c r="I17" s="148" t="s">
        <v>43</v>
      </c>
      <c r="J17" s="260"/>
      <c r="K17" s="416" t="s">
        <v>611</v>
      </c>
      <c r="L17" s="416"/>
      <c r="M17" s="416"/>
      <c r="N17" s="437" t="s">
        <v>42</v>
      </c>
      <c r="O17" s="416"/>
      <c r="P17" s="457" t="s">
        <v>758</v>
      </c>
      <c r="Q17" s="458"/>
      <c r="R17" s="458"/>
      <c r="S17" s="148" t="s">
        <v>42</v>
      </c>
      <c r="T17" s="459"/>
      <c r="U17" s="476" t="s">
        <v>828</v>
      </c>
      <c r="V17" s="476"/>
      <c r="W17" s="446" t="s">
        <v>42</v>
      </c>
      <c r="X17" s="472"/>
      <c r="Y17" s="143" t="s">
        <v>214</v>
      </c>
      <c r="Z17" s="142" t="s">
        <v>106</v>
      </c>
      <c r="AA17" s="181" t="s">
        <v>217</v>
      </c>
      <c r="AB17" s="401" t="s">
        <v>105</v>
      </c>
      <c r="AC17" s="295">
        <v>14</v>
      </c>
    </row>
    <row r="18" spans="1:29" ht="153.75" customHeight="1">
      <c r="A18" s="210" t="s">
        <v>141</v>
      </c>
      <c r="B18" s="208" t="s">
        <v>476</v>
      </c>
      <c r="C18" s="182" t="s">
        <v>296</v>
      </c>
      <c r="D18" s="410" t="s">
        <v>297</v>
      </c>
      <c r="E18" s="456" t="s">
        <v>805</v>
      </c>
      <c r="F18" s="144">
        <v>42614</v>
      </c>
      <c r="G18" s="416" t="s">
        <v>525</v>
      </c>
      <c r="H18" s="276" t="s">
        <v>553</v>
      </c>
      <c r="I18" s="148" t="s">
        <v>43</v>
      </c>
      <c r="J18" s="260"/>
      <c r="K18" s="416" t="s">
        <v>667</v>
      </c>
      <c r="L18" s="416"/>
      <c r="M18" s="416"/>
      <c r="N18" s="437" t="s">
        <v>42</v>
      </c>
      <c r="O18" s="416"/>
      <c r="P18" s="457" t="s">
        <v>758</v>
      </c>
      <c r="Q18" s="458"/>
      <c r="R18" s="458"/>
      <c r="S18" s="148" t="s">
        <v>42</v>
      </c>
      <c r="T18" s="459"/>
      <c r="U18" s="476" t="s">
        <v>828</v>
      </c>
      <c r="V18" s="476"/>
      <c r="W18" s="446" t="s">
        <v>42</v>
      </c>
      <c r="X18" s="472"/>
      <c r="Y18" s="143" t="s">
        <v>214</v>
      </c>
      <c r="Z18" s="142" t="s">
        <v>109</v>
      </c>
      <c r="AA18" s="181" t="s">
        <v>217</v>
      </c>
      <c r="AB18" s="401" t="s">
        <v>361</v>
      </c>
      <c r="AC18" s="295">
        <v>15</v>
      </c>
    </row>
    <row r="19" spans="1:29" ht="153.75" customHeight="1">
      <c r="A19" s="210" t="s">
        <v>142</v>
      </c>
      <c r="B19" s="208" t="s">
        <v>476</v>
      </c>
      <c r="C19" s="182" t="s">
        <v>298</v>
      </c>
      <c r="D19" s="410" t="s">
        <v>299</v>
      </c>
      <c r="E19" s="456" t="s">
        <v>805</v>
      </c>
      <c r="F19" s="144">
        <v>42675</v>
      </c>
      <c r="G19" s="416" t="s">
        <v>526</v>
      </c>
      <c r="H19" s="276" t="s">
        <v>553</v>
      </c>
      <c r="I19" s="148" t="s">
        <v>43</v>
      </c>
      <c r="J19" s="260"/>
      <c r="K19" s="416" t="s">
        <v>626</v>
      </c>
      <c r="L19" s="416"/>
      <c r="M19" s="416"/>
      <c r="N19" s="437" t="s">
        <v>42</v>
      </c>
      <c r="O19" s="416"/>
      <c r="P19" s="457" t="s">
        <v>758</v>
      </c>
      <c r="Q19" s="458"/>
      <c r="R19" s="458"/>
      <c r="S19" s="148" t="s">
        <v>42</v>
      </c>
      <c r="T19" s="459"/>
      <c r="U19" s="476" t="s">
        <v>828</v>
      </c>
      <c r="V19" s="476"/>
      <c r="W19" s="446" t="s">
        <v>42</v>
      </c>
      <c r="X19" s="472"/>
      <c r="Y19" s="143" t="s">
        <v>214</v>
      </c>
      <c r="Z19" s="142" t="s">
        <v>109</v>
      </c>
      <c r="AA19" s="181" t="s">
        <v>217</v>
      </c>
      <c r="AB19" s="401" t="s">
        <v>361</v>
      </c>
      <c r="AC19" s="295">
        <v>16</v>
      </c>
    </row>
    <row r="20" spans="1:29" ht="153.75" customHeight="1">
      <c r="A20" s="210" t="s">
        <v>143</v>
      </c>
      <c r="B20" s="208" t="s">
        <v>476</v>
      </c>
      <c r="C20" s="182" t="s">
        <v>300</v>
      </c>
      <c r="D20" s="410" t="s">
        <v>301</v>
      </c>
      <c r="E20" s="456" t="s">
        <v>805</v>
      </c>
      <c r="F20" s="144">
        <v>42614</v>
      </c>
      <c r="G20" s="416" t="s">
        <v>527</v>
      </c>
      <c r="H20" s="276" t="s">
        <v>553</v>
      </c>
      <c r="I20" s="148" t="s">
        <v>43</v>
      </c>
      <c r="J20" s="260"/>
      <c r="K20" s="416" t="s">
        <v>627</v>
      </c>
      <c r="L20" s="416"/>
      <c r="M20" s="416"/>
      <c r="N20" s="437" t="s">
        <v>42</v>
      </c>
      <c r="O20" s="416"/>
      <c r="P20" s="457" t="s">
        <v>767</v>
      </c>
      <c r="Q20" s="458"/>
      <c r="R20" s="458"/>
      <c r="S20" s="148" t="s">
        <v>42</v>
      </c>
      <c r="T20" s="459" t="s">
        <v>768</v>
      </c>
      <c r="U20" s="476" t="s">
        <v>828</v>
      </c>
      <c r="V20" s="476"/>
      <c r="W20" s="446" t="s">
        <v>42</v>
      </c>
      <c r="X20" s="472"/>
      <c r="Y20" s="143" t="s">
        <v>214</v>
      </c>
      <c r="Z20" s="142" t="s">
        <v>109</v>
      </c>
      <c r="AA20" s="181" t="s">
        <v>217</v>
      </c>
      <c r="AB20" s="401" t="s">
        <v>361</v>
      </c>
      <c r="AC20" s="295">
        <v>17</v>
      </c>
    </row>
    <row r="21" spans="1:29" ht="183.75" customHeight="1">
      <c r="A21" s="210" t="s">
        <v>144</v>
      </c>
      <c r="B21" s="208" t="s">
        <v>117</v>
      </c>
      <c r="C21" s="182" t="s">
        <v>587</v>
      </c>
      <c r="D21" s="410" t="s">
        <v>302</v>
      </c>
      <c r="E21" s="456" t="s">
        <v>805</v>
      </c>
      <c r="F21" s="144">
        <v>42795</v>
      </c>
      <c r="G21" s="422" t="s">
        <v>501</v>
      </c>
      <c r="H21" s="423" t="s">
        <v>302</v>
      </c>
      <c r="I21" s="148" t="s">
        <v>43</v>
      </c>
      <c r="J21" s="260" t="s">
        <v>502</v>
      </c>
      <c r="K21" s="416" t="s">
        <v>633</v>
      </c>
      <c r="L21" s="418" t="s">
        <v>634</v>
      </c>
      <c r="M21" s="418" t="s">
        <v>302</v>
      </c>
      <c r="N21" s="437" t="s">
        <v>43</v>
      </c>
      <c r="O21" s="416" t="s">
        <v>635</v>
      </c>
      <c r="P21" s="457" t="s">
        <v>714</v>
      </c>
      <c r="Q21" s="464" t="s">
        <v>715</v>
      </c>
      <c r="R21" s="460" t="s">
        <v>302</v>
      </c>
      <c r="S21" s="148" t="s">
        <v>43</v>
      </c>
      <c r="T21" s="461" t="s">
        <v>790</v>
      </c>
      <c r="U21" s="482" t="s">
        <v>812</v>
      </c>
      <c r="V21" s="478" t="s">
        <v>813</v>
      </c>
      <c r="W21" s="446" t="s">
        <v>84</v>
      </c>
      <c r="X21" s="473" t="s">
        <v>814</v>
      </c>
      <c r="Y21" s="143" t="s">
        <v>214</v>
      </c>
      <c r="Z21" s="142" t="s">
        <v>352</v>
      </c>
      <c r="AA21" s="181" t="s">
        <v>79</v>
      </c>
      <c r="AB21" s="401" t="s">
        <v>105</v>
      </c>
      <c r="AC21" s="295">
        <v>18</v>
      </c>
    </row>
    <row r="22" spans="1:29" ht="171.75" customHeight="1">
      <c r="A22" s="210" t="s">
        <v>145</v>
      </c>
      <c r="B22" s="208" t="s">
        <v>117</v>
      </c>
      <c r="C22" s="182" t="s">
        <v>303</v>
      </c>
      <c r="D22" s="410" t="s">
        <v>304</v>
      </c>
      <c r="E22" s="456" t="s">
        <v>805</v>
      </c>
      <c r="F22" s="144">
        <v>42795</v>
      </c>
      <c r="G22" s="416" t="s">
        <v>582</v>
      </c>
      <c r="H22" s="276" t="s">
        <v>304</v>
      </c>
      <c r="I22" s="148" t="s">
        <v>43</v>
      </c>
      <c r="J22" s="260" t="s">
        <v>583</v>
      </c>
      <c r="K22" s="416" t="s">
        <v>636</v>
      </c>
      <c r="L22" s="416" t="s">
        <v>637</v>
      </c>
      <c r="M22" s="416" t="s">
        <v>304</v>
      </c>
      <c r="N22" s="437" t="s">
        <v>43</v>
      </c>
      <c r="O22" s="416" t="s">
        <v>638</v>
      </c>
      <c r="P22" s="457" t="s">
        <v>716</v>
      </c>
      <c r="Q22" s="458" t="s">
        <v>717</v>
      </c>
      <c r="R22" s="458" t="s">
        <v>304</v>
      </c>
      <c r="S22" s="148" t="s">
        <v>27</v>
      </c>
      <c r="T22" s="461" t="s">
        <v>791</v>
      </c>
      <c r="U22" s="476" t="s">
        <v>815</v>
      </c>
      <c r="V22" s="476" t="s">
        <v>816</v>
      </c>
      <c r="W22" s="446" t="s">
        <v>28</v>
      </c>
      <c r="X22" s="473" t="s">
        <v>814</v>
      </c>
      <c r="Y22" s="143" t="s">
        <v>214</v>
      </c>
      <c r="Z22" s="142" t="s">
        <v>352</v>
      </c>
      <c r="AA22" s="181" t="s">
        <v>79</v>
      </c>
      <c r="AB22" s="402" t="s">
        <v>105</v>
      </c>
      <c r="AC22" s="295">
        <v>19</v>
      </c>
    </row>
    <row r="23" spans="1:29" ht="153.75" customHeight="1">
      <c r="A23" s="210" t="s">
        <v>146</v>
      </c>
      <c r="B23" s="208" t="s">
        <v>117</v>
      </c>
      <c r="C23" s="182" t="s">
        <v>1</v>
      </c>
      <c r="D23" s="410" t="s">
        <v>89</v>
      </c>
      <c r="E23" s="456" t="s">
        <v>805</v>
      </c>
      <c r="F23" s="144">
        <v>42795</v>
      </c>
      <c r="G23" s="418">
        <v>1</v>
      </c>
      <c r="H23" s="420">
        <v>0.99</v>
      </c>
      <c r="I23" s="148" t="s">
        <v>43</v>
      </c>
      <c r="J23" s="260" t="s">
        <v>503</v>
      </c>
      <c r="K23" s="418">
        <v>1</v>
      </c>
      <c r="L23" s="418">
        <v>1</v>
      </c>
      <c r="M23" s="418">
        <v>0.99</v>
      </c>
      <c r="N23" s="437" t="s">
        <v>43</v>
      </c>
      <c r="O23" s="416"/>
      <c r="P23" s="463">
        <v>1</v>
      </c>
      <c r="Q23" s="460">
        <v>1</v>
      </c>
      <c r="R23" s="460">
        <v>0.99</v>
      </c>
      <c r="S23" s="148" t="s">
        <v>43</v>
      </c>
      <c r="T23" s="459"/>
      <c r="U23" s="479">
        <v>0.99</v>
      </c>
      <c r="V23" s="479">
        <v>0.99</v>
      </c>
      <c r="W23" s="446" t="s">
        <v>42</v>
      </c>
      <c r="X23" s="472"/>
      <c r="Y23" s="143" t="s">
        <v>214</v>
      </c>
      <c r="Z23" s="142" t="s">
        <v>353</v>
      </c>
      <c r="AA23" s="181" t="s">
        <v>79</v>
      </c>
      <c r="AB23" s="402" t="s">
        <v>105</v>
      </c>
      <c r="AC23" s="295">
        <v>20</v>
      </c>
    </row>
    <row r="24" spans="1:29" ht="153.75" customHeight="1">
      <c r="A24" s="210" t="s">
        <v>147</v>
      </c>
      <c r="B24" s="208" t="s">
        <v>117</v>
      </c>
      <c r="C24" s="182" t="s">
        <v>1</v>
      </c>
      <c r="D24" s="410" t="s">
        <v>94</v>
      </c>
      <c r="E24" s="456" t="s">
        <v>805</v>
      </c>
      <c r="F24" s="144">
        <v>42795</v>
      </c>
      <c r="G24" s="418">
        <v>0.69</v>
      </c>
      <c r="H24" s="420">
        <v>0.7</v>
      </c>
      <c r="I24" s="148" t="s">
        <v>43</v>
      </c>
      <c r="J24" s="260" t="s">
        <v>503</v>
      </c>
      <c r="K24" s="418">
        <v>0.73</v>
      </c>
      <c r="L24" s="418">
        <v>0.72</v>
      </c>
      <c r="M24" s="418">
        <v>0.7</v>
      </c>
      <c r="N24" s="437" t="s">
        <v>43</v>
      </c>
      <c r="O24" s="416"/>
      <c r="P24" s="463">
        <v>0.71</v>
      </c>
      <c r="Q24" s="460">
        <v>0.71</v>
      </c>
      <c r="R24" s="460">
        <v>0.7</v>
      </c>
      <c r="S24" s="148" t="s">
        <v>43</v>
      </c>
      <c r="T24" s="459"/>
      <c r="U24" s="479">
        <v>0.69</v>
      </c>
      <c r="V24" s="479">
        <v>0.7</v>
      </c>
      <c r="W24" s="446" t="s">
        <v>42</v>
      </c>
      <c r="X24" s="472"/>
      <c r="Y24" s="143" t="s">
        <v>214</v>
      </c>
      <c r="Z24" s="142" t="s">
        <v>353</v>
      </c>
      <c r="AA24" s="181" t="s">
        <v>79</v>
      </c>
      <c r="AB24" s="401" t="s">
        <v>105</v>
      </c>
      <c r="AC24" s="295">
        <v>21</v>
      </c>
    </row>
    <row r="25" spans="1:29" ht="153.75" customHeight="1">
      <c r="A25" s="210" t="s">
        <v>148</v>
      </c>
      <c r="B25" s="208" t="s">
        <v>117</v>
      </c>
      <c r="C25" s="182" t="s">
        <v>305</v>
      </c>
      <c r="D25" s="410" t="s">
        <v>306</v>
      </c>
      <c r="E25" s="456" t="s">
        <v>805</v>
      </c>
      <c r="F25" s="144">
        <v>42614</v>
      </c>
      <c r="G25" s="416"/>
      <c r="H25" s="276"/>
      <c r="I25" s="148" t="s">
        <v>45</v>
      </c>
      <c r="J25" s="260"/>
      <c r="K25" s="416" t="s">
        <v>639</v>
      </c>
      <c r="L25" s="416" t="s">
        <v>640</v>
      </c>
      <c r="M25" s="416" t="s">
        <v>640</v>
      </c>
      <c r="N25" s="437" t="s">
        <v>42</v>
      </c>
      <c r="O25" s="416" t="s">
        <v>641</v>
      </c>
      <c r="P25" s="457" t="s">
        <v>758</v>
      </c>
      <c r="Q25" s="458"/>
      <c r="R25" s="458"/>
      <c r="S25" s="148" t="s">
        <v>42</v>
      </c>
      <c r="T25" s="458"/>
      <c r="U25" s="476" t="s">
        <v>828</v>
      </c>
      <c r="V25" s="476"/>
      <c r="W25" s="446" t="s">
        <v>42</v>
      </c>
      <c r="X25" s="472"/>
      <c r="Y25" s="143" t="s">
        <v>214</v>
      </c>
      <c r="Z25" s="142" t="s">
        <v>352</v>
      </c>
      <c r="AA25" s="181" t="s">
        <v>79</v>
      </c>
      <c r="AB25" s="401" t="s">
        <v>105</v>
      </c>
      <c r="AC25" s="295">
        <v>22</v>
      </c>
    </row>
    <row r="26" spans="1:29" ht="153.75" customHeight="1">
      <c r="A26" s="210" t="s">
        <v>149</v>
      </c>
      <c r="B26" s="208" t="s">
        <v>117</v>
      </c>
      <c r="C26" s="182" t="s">
        <v>305</v>
      </c>
      <c r="D26" s="410" t="s">
        <v>307</v>
      </c>
      <c r="E26" s="456" t="s">
        <v>805</v>
      </c>
      <c r="F26" s="144">
        <v>42795</v>
      </c>
      <c r="G26" s="418"/>
      <c r="H26" s="420"/>
      <c r="I26" s="148" t="s">
        <v>45</v>
      </c>
      <c r="J26" s="260"/>
      <c r="K26" s="416" t="s">
        <v>45</v>
      </c>
      <c r="L26" s="418" t="s">
        <v>45</v>
      </c>
      <c r="M26" s="418" t="s">
        <v>45</v>
      </c>
      <c r="N26" s="437" t="s">
        <v>45</v>
      </c>
      <c r="O26" s="416" t="s">
        <v>642</v>
      </c>
      <c r="P26" s="457" t="s">
        <v>788</v>
      </c>
      <c r="Q26" s="458" t="s">
        <v>49</v>
      </c>
      <c r="R26" s="458" t="s">
        <v>49</v>
      </c>
      <c r="S26" s="148" t="s">
        <v>45</v>
      </c>
      <c r="T26" s="459"/>
      <c r="U26" s="476" t="s">
        <v>849</v>
      </c>
      <c r="V26" s="479"/>
      <c r="W26" s="446" t="s">
        <v>42</v>
      </c>
      <c r="X26" s="497"/>
      <c r="Y26" s="143" t="s">
        <v>214</v>
      </c>
      <c r="Z26" s="142" t="s">
        <v>352</v>
      </c>
      <c r="AA26" s="181" t="s">
        <v>79</v>
      </c>
      <c r="AB26" s="401" t="s">
        <v>105</v>
      </c>
      <c r="AC26" s="295">
        <v>23</v>
      </c>
    </row>
    <row r="27" spans="1:29" ht="153.75" customHeight="1">
      <c r="A27" s="210" t="s">
        <v>150</v>
      </c>
      <c r="B27" s="208" t="s">
        <v>117</v>
      </c>
      <c r="C27" s="182" t="s">
        <v>308</v>
      </c>
      <c r="D27" s="410" t="s">
        <v>799</v>
      </c>
      <c r="E27" s="456" t="s">
        <v>806</v>
      </c>
      <c r="F27" s="144">
        <v>42795</v>
      </c>
      <c r="G27" s="418" t="s">
        <v>554</v>
      </c>
      <c r="H27" s="420" t="s">
        <v>556</v>
      </c>
      <c r="I27" s="148" t="s">
        <v>43</v>
      </c>
      <c r="J27" s="260" t="s">
        <v>503</v>
      </c>
      <c r="K27" s="416" t="s">
        <v>643</v>
      </c>
      <c r="L27" s="418" t="s">
        <v>644</v>
      </c>
      <c r="M27" s="418" t="s">
        <v>645</v>
      </c>
      <c r="N27" s="437" t="s">
        <v>43</v>
      </c>
      <c r="O27" s="416"/>
      <c r="P27" s="457" t="s">
        <v>730</v>
      </c>
      <c r="Q27" s="460" t="s">
        <v>785</v>
      </c>
      <c r="R27" s="460" t="s">
        <v>786</v>
      </c>
      <c r="S27" s="148" t="s">
        <v>43</v>
      </c>
      <c r="T27" s="461"/>
      <c r="U27" s="479" t="s">
        <v>840</v>
      </c>
      <c r="V27" s="479" t="s">
        <v>841</v>
      </c>
      <c r="W27" s="446" t="s">
        <v>42</v>
      </c>
      <c r="X27" s="472"/>
      <c r="Y27" s="143" t="s">
        <v>214</v>
      </c>
      <c r="Z27" s="142" t="s">
        <v>354</v>
      </c>
      <c r="AA27" s="181" t="s">
        <v>79</v>
      </c>
      <c r="AB27" s="401" t="s">
        <v>105</v>
      </c>
      <c r="AC27" s="295">
        <v>24</v>
      </c>
    </row>
    <row r="28" spans="1:29" ht="153.75" customHeight="1">
      <c r="A28" s="210" t="s">
        <v>151</v>
      </c>
      <c r="B28" s="208" t="s">
        <v>117</v>
      </c>
      <c r="C28" s="182" t="s">
        <v>588</v>
      </c>
      <c r="D28" s="410" t="s">
        <v>800</v>
      </c>
      <c r="E28" s="456" t="s">
        <v>806</v>
      </c>
      <c r="F28" s="144">
        <v>42795</v>
      </c>
      <c r="G28" s="416" t="s">
        <v>555</v>
      </c>
      <c r="H28" s="276" t="s">
        <v>557</v>
      </c>
      <c r="I28" s="148" t="s">
        <v>43</v>
      </c>
      <c r="J28" s="260" t="s">
        <v>503</v>
      </c>
      <c r="K28" s="416" t="s">
        <v>646</v>
      </c>
      <c r="L28" s="416" t="s">
        <v>646</v>
      </c>
      <c r="M28" s="416" t="s">
        <v>647</v>
      </c>
      <c r="N28" s="437" t="s">
        <v>43</v>
      </c>
      <c r="O28" s="416" t="s">
        <v>648</v>
      </c>
      <c r="P28" s="457" t="s">
        <v>718</v>
      </c>
      <c r="Q28" s="458" t="s">
        <v>718</v>
      </c>
      <c r="R28" s="458" t="s">
        <v>647</v>
      </c>
      <c r="S28" s="148" t="s">
        <v>43</v>
      </c>
      <c r="T28" s="461" t="s">
        <v>503</v>
      </c>
      <c r="U28" s="476" t="s">
        <v>842</v>
      </c>
      <c r="V28" s="476" t="s">
        <v>842</v>
      </c>
      <c r="W28" s="446" t="s">
        <v>84</v>
      </c>
      <c r="X28" s="473" t="s">
        <v>817</v>
      </c>
      <c r="Y28" s="143" t="s">
        <v>214</v>
      </c>
      <c r="Z28" s="142" t="s">
        <v>354</v>
      </c>
      <c r="AA28" s="181" t="s">
        <v>79</v>
      </c>
      <c r="AB28" s="401" t="s">
        <v>105</v>
      </c>
      <c r="AC28" s="295">
        <v>25</v>
      </c>
    </row>
    <row r="29" spans="1:29" ht="153.75" customHeight="1">
      <c r="A29" s="210" t="s">
        <v>152</v>
      </c>
      <c r="B29" s="208" t="s">
        <v>117</v>
      </c>
      <c r="C29" s="182" t="s">
        <v>309</v>
      </c>
      <c r="D29" s="410" t="s">
        <v>801</v>
      </c>
      <c r="E29" s="456" t="s">
        <v>806</v>
      </c>
      <c r="F29" s="144">
        <v>42795</v>
      </c>
      <c r="G29" s="416" t="s">
        <v>558</v>
      </c>
      <c r="H29" s="276" t="s">
        <v>461</v>
      </c>
      <c r="I29" s="148" t="s">
        <v>43</v>
      </c>
      <c r="J29" s="260" t="s">
        <v>503</v>
      </c>
      <c r="K29" s="416" t="s">
        <v>650</v>
      </c>
      <c r="L29" s="416" t="s">
        <v>649</v>
      </c>
      <c r="M29" s="416" t="s">
        <v>651</v>
      </c>
      <c r="N29" s="437" t="s">
        <v>43</v>
      </c>
      <c r="O29" s="416"/>
      <c r="P29" s="457" t="s">
        <v>792</v>
      </c>
      <c r="Q29" s="458" t="s">
        <v>792</v>
      </c>
      <c r="R29" s="276" t="s">
        <v>461</v>
      </c>
      <c r="S29" s="148" t="s">
        <v>27</v>
      </c>
      <c r="T29" s="459" t="s">
        <v>793</v>
      </c>
      <c r="U29" s="476" t="s">
        <v>843</v>
      </c>
      <c r="V29" s="476" t="s">
        <v>843</v>
      </c>
      <c r="W29" s="446" t="s">
        <v>86</v>
      </c>
      <c r="X29" s="473" t="s">
        <v>818</v>
      </c>
      <c r="Y29" s="143" t="s">
        <v>214</v>
      </c>
      <c r="Z29" s="142" t="s">
        <v>354</v>
      </c>
      <c r="AA29" s="181" t="s">
        <v>79</v>
      </c>
      <c r="AB29" s="401" t="s">
        <v>105</v>
      </c>
      <c r="AC29" s="295">
        <v>26</v>
      </c>
    </row>
    <row r="30" spans="1:29" ht="153.75" customHeight="1">
      <c r="A30" s="210" t="s">
        <v>153</v>
      </c>
      <c r="B30" s="208" t="s">
        <v>119</v>
      </c>
      <c r="C30" s="182" t="s">
        <v>310</v>
      </c>
      <c r="D30" s="410" t="s">
        <v>802</v>
      </c>
      <c r="E30" s="456" t="s">
        <v>806</v>
      </c>
      <c r="F30" s="293">
        <v>42552</v>
      </c>
      <c r="G30" s="416"/>
      <c r="H30" s="276"/>
      <c r="I30" s="148" t="s">
        <v>43</v>
      </c>
      <c r="J30" s="260"/>
      <c r="K30" s="416" t="s">
        <v>601</v>
      </c>
      <c r="L30" s="416"/>
      <c r="M30" s="416"/>
      <c r="N30" s="437" t="s">
        <v>42</v>
      </c>
      <c r="O30" s="416"/>
      <c r="P30" s="457" t="s">
        <v>758</v>
      </c>
      <c r="Q30" s="458"/>
      <c r="R30" s="458"/>
      <c r="S30" s="148" t="s">
        <v>42</v>
      </c>
      <c r="T30" s="459"/>
      <c r="U30" s="476" t="s">
        <v>828</v>
      </c>
      <c r="V30" s="476"/>
      <c r="W30" s="446" t="s">
        <v>42</v>
      </c>
      <c r="X30" s="472"/>
      <c r="Y30" s="143" t="s">
        <v>214</v>
      </c>
      <c r="Z30" s="142" t="s">
        <v>92</v>
      </c>
      <c r="AA30" s="181" t="s">
        <v>79</v>
      </c>
      <c r="AB30" s="401" t="s">
        <v>105</v>
      </c>
      <c r="AC30" s="295">
        <v>27</v>
      </c>
    </row>
    <row r="31" spans="1:29" ht="153.75" customHeight="1">
      <c r="A31" s="210" t="s">
        <v>154</v>
      </c>
      <c r="B31" s="208" t="s">
        <v>119</v>
      </c>
      <c r="C31" s="182" t="s">
        <v>311</v>
      </c>
      <c r="D31" s="410" t="s">
        <v>312</v>
      </c>
      <c r="E31" s="456" t="s">
        <v>805</v>
      </c>
      <c r="F31" s="144">
        <v>42767</v>
      </c>
      <c r="G31" s="416"/>
      <c r="H31" s="276"/>
      <c r="I31" s="148" t="s">
        <v>45</v>
      </c>
      <c r="J31" s="260"/>
      <c r="K31" s="416"/>
      <c r="L31" s="416"/>
      <c r="M31" s="416"/>
      <c r="N31" s="437" t="s">
        <v>45</v>
      </c>
      <c r="O31" s="416"/>
      <c r="P31" s="457" t="s">
        <v>756</v>
      </c>
      <c r="Q31" s="458"/>
      <c r="R31" s="458"/>
      <c r="S31" s="148" t="s">
        <v>43</v>
      </c>
      <c r="T31" s="459"/>
      <c r="U31" s="473" t="s">
        <v>836</v>
      </c>
      <c r="V31" s="476"/>
      <c r="W31" s="446" t="s">
        <v>42</v>
      </c>
      <c r="X31" s="472"/>
      <c r="Y31" s="143" t="s">
        <v>214</v>
      </c>
      <c r="Z31" s="142" t="s">
        <v>92</v>
      </c>
      <c r="AA31" s="181" t="s">
        <v>79</v>
      </c>
      <c r="AB31" s="401" t="s">
        <v>105</v>
      </c>
      <c r="AC31" s="295">
        <v>28</v>
      </c>
    </row>
    <row r="32" spans="1:29" ht="153.75" customHeight="1">
      <c r="A32" s="210" t="s">
        <v>155</v>
      </c>
      <c r="B32" s="208" t="s">
        <v>119</v>
      </c>
      <c r="C32" s="182" t="s">
        <v>95</v>
      </c>
      <c r="D32" s="410" t="s">
        <v>313</v>
      </c>
      <c r="E32" s="456" t="s">
        <v>805</v>
      </c>
      <c r="F32" s="144">
        <v>42795</v>
      </c>
      <c r="G32" s="416"/>
      <c r="H32" s="276"/>
      <c r="I32" s="148" t="s">
        <v>45</v>
      </c>
      <c r="J32" s="260"/>
      <c r="K32" s="416" t="s">
        <v>677</v>
      </c>
      <c r="L32" s="416"/>
      <c r="M32" s="416"/>
      <c r="N32" s="437" t="s">
        <v>43</v>
      </c>
      <c r="O32" s="416"/>
      <c r="P32" s="457" t="s">
        <v>739</v>
      </c>
      <c r="Q32" s="458">
        <v>1</v>
      </c>
      <c r="R32" s="458">
        <v>2</v>
      </c>
      <c r="S32" s="148" t="s">
        <v>43</v>
      </c>
      <c r="T32" s="459"/>
      <c r="U32" s="473" t="s">
        <v>837</v>
      </c>
      <c r="V32" s="476" t="s">
        <v>850</v>
      </c>
      <c r="W32" s="446" t="s">
        <v>42</v>
      </c>
      <c r="X32" s="473"/>
      <c r="Y32" s="143" t="s">
        <v>214</v>
      </c>
      <c r="Z32" s="142" t="s">
        <v>92</v>
      </c>
      <c r="AA32" s="181" t="s">
        <v>79</v>
      </c>
      <c r="AB32" s="401" t="s">
        <v>105</v>
      </c>
      <c r="AC32" s="295">
        <v>29</v>
      </c>
    </row>
    <row r="33" spans="1:29" ht="153.75" customHeight="1">
      <c r="A33" s="210" t="s">
        <v>156</v>
      </c>
      <c r="B33" s="208" t="s">
        <v>119</v>
      </c>
      <c r="C33" s="182" t="s">
        <v>96</v>
      </c>
      <c r="D33" s="410" t="s">
        <v>314</v>
      </c>
      <c r="E33" s="456" t="s">
        <v>805</v>
      </c>
      <c r="F33" s="144">
        <v>42795</v>
      </c>
      <c r="G33" s="416"/>
      <c r="H33" s="276"/>
      <c r="I33" s="148" t="s">
        <v>45</v>
      </c>
      <c r="J33" s="260"/>
      <c r="K33" s="416" t="s">
        <v>676</v>
      </c>
      <c r="L33" s="416"/>
      <c r="M33" s="418"/>
      <c r="N33" s="437" t="s">
        <v>43</v>
      </c>
      <c r="O33" s="416"/>
      <c r="P33" s="457" t="s">
        <v>711</v>
      </c>
      <c r="Q33" s="458"/>
      <c r="R33" s="458"/>
      <c r="S33" s="148" t="s">
        <v>43</v>
      </c>
      <c r="T33" s="459"/>
      <c r="U33" s="476" t="s">
        <v>868</v>
      </c>
      <c r="V33" s="476"/>
      <c r="W33" s="446" t="s">
        <v>42</v>
      </c>
      <c r="X33" s="475"/>
      <c r="Y33" s="143" t="s">
        <v>214</v>
      </c>
      <c r="Z33" s="142" t="s">
        <v>92</v>
      </c>
      <c r="AA33" s="181" t="s">
        <v>79</v>
      </c>
      <c r="AB33" s="401" t="s">
        <v>105</v>
      </c>
      <c r="AC33" s="295">
        <v>30</v>
      </c>
    </row>
    <row r="34" spans="1:29" ht="153.75" customHeight="1">
      <c r="A34" s="210" t="s">
        <v>157</v>
      </c>
      <c r="B34" s="208" t="s">
        <v>119</v>
      </c>
      <c r="C34" s="182" t="s">
        <v>96</v>
      </c>
      <c r="D34" s="410" t="s">
        <v>315</v>
      </c>
      <c r="E34" s="456" t="s">
        <v>805</v>
      </c>
      <c r="F34" s="144">
        <v>42705</v>
      </c>
      <c r="G34" s="416"/>
      <c r="H34" s="276"/>
      <c r="I34" s="148" t="s">
        <v>45</v>
      </c>
      <c r="J34" s="260"/>
      <c r="K34" s="416" t="s">
        <v>603</v>
      </c>
      <c r="L34" s="416"/>
      <c r="M34" s="416"/>
      <c r="N34" s="437" t="s">
        <v>43</v>
      </c>
      <c r="O34" s="416"/>
      <c r="P34" s="457" t="s">
        <v>757</v>
      </c>
      <c r="Q34" s="458"/>
      <c r="R34" s="458"/>
      <c r="S34" s="148" t="s">
        <v>42</v>
      </c>
      <c r="T34" s="459"/>
      <c r="U34" s="476" t="s">
        <v>827</v>
      </c>
      <c r="V34" s="476"/>
      <c r="W34" s="446" t="s">
        <v>42</v>
      </c>
      <c r="X34" s="472"/>
      <c r="Y34" s="143" t="s">
        <v>214</v>
      </c>
      <c r="Z34" s="142" t="s">
        <v>92</v>
      </c>
      <c r="AA34" s="181" t="s">
        <v>79</v>
      </c>
      <c r="AB34" s="401" t="s">
        <v>105</v>
      </c>
      <c r="AC34" s="295">
        <v>31</v>
      </c>
    </row>
    <row r="35" spans="1:29" ht="153.75" customHeight="1">
      <c r="A35" s="210" t="s">
        <v>158</v>
      </c>
      <c r="B35" s="208" t="s">
        <v>119</v>
      </c>
      <c r="C35" s="182" t="s">
        <v>96</v>
      </c>
      <c r="D35" s="410" t="s">
        <v>576</v>
      </c>
      <c r="E35" s="456" t="s">
        <v>805</v>
      </c>
      <c r="F35" s="292" t="s">
        <v>462</v>
      </c>
      <c r="G35" s="416" t="s">
        <v>577</v>
      </c>
      <c r="H35" s="276"/>
      <c r="I35" s="148" t="s">
        <v>43</v>
      </c>
      <c r="J35" s="260"/>
      <c r="K35" s="416" t="s">
        <v>602</v>
      </c>
      <c r="L35" s="416"/>
      <c r="M35" s="416"/>
      <c r="N35" s="437" t="s">
        <v>42</v>
      </c>
      <c r="O35" s="416"/>
      <c r="P35" s="457" t="s">
        <v>758</v>
      </c>
      <c r="Q35" s="458"/>
      <c r="R35" s="458"/>
      <c r="S35" s="148" t="s">
        <v>42</v>
      </c>
      <c r="T35" s="459"/>
      <c r="U35" s="476" t="s">
        <v>828</v>
      </c>
      <c r="V35" s="476"/>
      <c r="W35" s="446" t="s">
        <v>42</v>
      </c>
      <c r="X35" s="472"/>
      <c r="Y35" s="143" t="s">
        <v>214</v>
      </c>
      <c r="Z35" s="142" t="s">
        <v>92</v>
      </c>
      <c r="AA35" s="181" t="s">
        <v>79</v>
      </c>
      <c r="AB35" s="401" t="s">
        <v>105</v>
      </c>
      <c r="AC35" s="295">
        <v>32</v>
      </c>
    </row>
    <row r="36" spans="1:29" ht="153.75" customHeight="1">
      <c r="A36" s="210" t="s">
        <v>159</v>
      </c>
      <c r="B36" s="208" t="s">
        <v>121</v>
      </c>
      <c r="C36" s="182" t="s">
        <v>316</v>
      </c>
      <c r="D36" s="410" t="s">
        <v>317</v>
      </c>
      <c r="E36" s="456" t="s">
        <v>805</v>
      </c>
      <c r="F36" s="144">
        <v>42705</v>
      </c>
      <c r="G36" s="416"/>
      <c r="H36" s="276"/>
      <c r="I36" s="148" t="s">
        <v>45</v>
      </c>
      <c r="J36" s="260"/>
      <c r="K36" s="416"/>
      <c r="L36" s="416"/>
      <c r="M36" s="416"/>
      <c r="N36" s="437" t="s">
        <v>45</v>
      </c>
      <c r="O36" s="416"/>
      <c r="P36" s="457" t="s">
        <v>796</v>
      </c>
      <c r="Q36" s="458"/>
      <c r="R36" s="458"/>
      <c r="S36" s="148" t="s">
        <v>42</v>
      </c>
      <c r="T36" s="461" t="s">
        <v>833</v>
      </c>
      <c r="U36" s="476" t="s">
        <v>827</v>
      </c>
      <c r="V36" s="476"/>
      <c r="W36" s="446" t="s">
        <v>42</v>
      </c>
      <c r="X36" s="472"/>
      <c r="Y36" s="143" t="s">
        <v>214</v>
      </c>
      <c r="Z36" s="142" t="s">
        <v>111</v>
      </c>
      <c r="AA36" s="181" t="s">
        <v>91</v>
      </c>
      <c r="AB36" s="401" t="s">
        <v>105</v>
      </c>
      <c r="AC36" s="295">
        <v>33</v>
      </c>
    </row>
    <row r="37" spans="1:29" ht="153.75" customHeight="1">
      <c r="A37" s="210" t="s">
        <v>160</v>
      </c>
      <c r="B37" s="208" t="s">
        <v>121</v>
      </c>
      <c r="C37" s="182" t="s">
        <v>318</v>
      </c>
      <c r="D37" s="410" t="s">
        <v>319</v>
      </c>
      <c r="E37" s="456" t="s">
        <v>805</v>
      </c>
      <c r="F37" s="144">
        <v>42522</v>
      </c>
      <c r="G37" s="416" t="s">
        <v>559</v>
      </c>
      <c r="H37" s="276"/>
      <c r="I37" s="148" t="s">
        <v>42</v>
      </c>
      <c r="J37" s="260"/>
      <c r="K37" s="416" t="s">
        <v>632</v>
      </c>
      <c r="L37" s="416"/>
      <c r="M37" s="416"/>
      <c r="N37" s="437" t="s">
        <v>42</v>
      </c>
      <c r="O37" s="416"/>
      <c r="P37" s="457" t="s">
        <v>787</v>
      </c>
      <c r="Q37" s="458"/>
      <c r="R37" s="458"/>
      <c r="S37" s="148" t="s">
        <v>42</v>
      </c>
      <c r="T37" s="459"/>
      <c r="U37" s="476" t="s">
        <v>829</v>
      </c>
      <c r="V37" s="476"/>
      <c r="W37" s="446" t="s">
        <v>42</v>
      </c>
      <c r="X37" s="472"/>
      <c r="Y37" s="143" t="s">
        <v>214</v>
      </c>
      <c r="Z37" s="142" t="s">
        <v>111</v>
      </c>
      <c r="AA37" s="181" t="s">
        <v>91</v>
      </c>
      <c r="AB37" s="401" t="s">
        <v>105</v>
      </c>
      <c r="AC37" s="295">
        <v>34</v>
      </c>
    </row>
    <row r="38" spans="1:29" ht="153.75" customHeight="1">
      <c r="A38" s="210" t="s">
        <v>161</v>
      </c>
      <c r="B38" s="208" t="s">
        <v>121</v>
      </c>
      <c r="C38" s="182" t="s">
        <v>318</v>
      </c>
      <c r="D38" s="410" t="s">
        <v>320</v>
      </c>
      <c r="E38" s="456" t="s">
        <v>805</v>
      </c>
      <c r="F38" s="144">
        <v>42705</v>
      </c>
      <c r="G38" s="416"/>
      <c r="H38" s="276"/>
      <c r="I38" s="148" t="s">
        <v>45</v>
      </c>
      <c r="J38" s="260"/>
      <c r="K38" s="416"/>
      <c r="L38" s="416"/>
      <c r="M38" s="416"/>
      <c r="N38" s="437" t="s">
        <v>45</v>
      </c>
      <c r="O38" s="416"/>
      <c r="P38" s="457" t="s">
        <v>723</v>
      </c>
      <c r="Q38" s="458"/>
      <c r="R38" s="458"/>
      <c r="S38" s="148" t="s">
        <v>42</v>
      </c>
      <c r="T38" s="459"/>
      <c r="U38" s="476" t="s">
        <v>827</v>
      </c>
      <c r="V38" s="476"/>
      <c r="W38" s="446" t="s">
        <v>42</v>
      </c>
      <c r="X38" s="472"/>
      <c r="Y38" s="143" t="s">
        <v>214</v>
      </c>
      <c r="Z38" s="147" t="s">
        <v>111</v>
      </c>
      <c r="AA38" s="181" t="s">
        <v>91</v>
      </c>
      <c r="AB38" s="402" t="s">
        <v>105</v>
      </c>
      <c r="AC38" s="295">
        <v>35</v>
      </c>
    </row>
    <row r="39" spans="1:29" ht="153.75" customHeight="1">
      <c r="A39" s="210" t="s">
        <v>162</v>
      </c>
      <c r="B39" s="208" t="s">
        <v>117</v>
      </c>
      <c r="C39" s="182" t="s">
        <v>318</v>
      </c>
      <c r="D39" s="410" t="s">
        <v>321</v>
      </c>
      <c r="E39" s="456" t="s">
        <v>805</v>
      </c>
      <c r="F39" s="144">
        <v>42522</v>
      </c>
      <c r="G39" s="416" t="s">
        <v>505</v>
      </c>
      <c r="H39" s="276" t="s">
        <v>504</v>
      </c>
      <c r="I39" s="148" t="s">
        <v>42</v>
      </c>
      <c r="J39" s="260"/>
      <c r="K39" s="416"/>
      <c r="L39" s="416"/>
      <c r="M39" s="416"/>
      <c r="N39" s="437" t="s">
        <v>42</v>
      </c>
      <c r="O39" s="416"/>
      <c r="P39" s="457" t="s">
        <v>787</v>
      </c>
      <c r="Q39" s="458"/>
      <c r="R39" s="458"/>
      <c r="S39" s="148" t="s">
        <v>42</v>
      </c>
      <c r="T39" s="459"/>
      <c r="U39" s="476" t="s">
        <v>829</v>
      </c>
      <c r="V39" s="476"/>
      <c r="W39" s="446" t="s">
        <v>42</v>
      </c>
      <c r="X39" s="472"/>
      <c r="Y39" s="143" t="s">
        <v>214</v>
      </c>
      <c r="Z39" s="147" t="s">
        <v>111</v>
      </c>
      <c r="AA39" s="181" t="s">
        <v>91</v>
      </c>
      <c r="AB39" s="401" t="s">
        <v>105</v>
      </c>
      <c r="AC39" s="295">
        <v>36</v>
      </c>
    </row>
    <row r="40" spans="1:29" ht="329.25" customHeight="1">
      <c r="A40" s="210" t="s">
        <v>163</v>
      </c>
      <c r="B40" s="209" t="s">
        <v>117</v>
      </c>
      <c r="C40" s="182" t="s">
        <v>318</v>
      </c>
      <c r="D40" s="410" t="s">
        <v>586</v>
      </c>
      <c r="E40" s="456" t="s">
        <v>806</v>
      </c>
      <c r="F40" s="144">
        <v>42795</v>
      </c>
      <c r="G40" s="416" t="s">
        <v>585</v>
      </c>
      <c r="H40" s="424"/>
      <c r="I40" s="148" t="s">
        <v>45</v>
      </c>
      <c r="J40" s="260" t="s">
        <v>586</v>
      </c>
      <c r="K40" s="416" t="s">
        <v>653</v>
      </c>
      <c r="L40" s="416"/>
      <c r="M40" s="416" t="s">
        <v>654</v>
      </c>
      <c r="N40" s="437" t="s">
        <v>43</v>
      </c>
      <c r="O40" s="416" t="s">
        <v>655</v>
      </c>
      <c r="P40" s="457" t="s">
        <v>766</v>
      </c>
      <c r="Q40" s="458" t="s">
        <v>789</v>
      </c>
      <c r="R40" s="458" t="s">
        <v>795</v>
      </c>
      <c r="S40" s="148" t="s">
        <v>27</v>
      </c>
      <c r="T40" s="459" t="s">
        <v>794</v>
      </c>
      <c r="U40" s="476" t="s">
        <v>859</v>
      </c>
      <c r="V40" s="476" t="s">
        <v>851</v>
      </c>
      <c r="W40" s="446" t="s">
        <v>86</v>
      </c>
      <c r="X40" s="473" t="s">
        <v>860</v>
      </c>
      <c r="Y40" s="143" t="s">
        <v>214</v>
      </c>
      <c r="Z40" s="145" t="s">
        <v>111</v>
      </c>
      <c r="AA40" s="181" t="s">
        <v>91</v>
      </c>
      <c r="AB40" s="401" t="s">
        <v>105</v>
      </c>
      <c r="AC40" s="295">
        <v>37</v>
      </c>
    </row>
    <row r="41" spans="1:29" ht="153.75" customHeight="1">
      <c r="A41" s="210" t="s">
        <v>164</v>
      </c>
      <c r="B41" s="208" t="s">
        <v>117</v>
      </c>
      <c r="C41" s="182" t="s">
        <v>322</v>
      </c>
      <c r="D41" s="410" t="s">
        <v>323</v>
      </c>
      <c r="E41" s="456" t="s">
        <v>805</v>
      </c>
      <c r="F41" s="144">
        <v>42705</v>
      </c>
      <c r="G41" s="416" t="s">
        <v>45</v>
      </c>
      <c r="H41" s="276" t="s">
        <v>45</v>
      </c>
      <c r="I41" s="148" t="s">
        <v>45</v>
      </c>
      <c r="J41" s="260"/>
      <c r="K41" s="416" t="s">
        <v>614</v>
      </c>
      <c r="L41" s="416"/>
      <c r="M41" s="416"/>
      <c r="N41" s="437" t="s">
        <v>43</v>
      </c>
      <c r="O41" s="416" t="s">
        <v>652</v>
      </c>
      <c r="P41" s="457" t="s">
        <v>719</v>
      </c>
      <c r="Q41" s="458" t="s">
        <v>49</v>
      </c>
      <c r="R41" s="458" t="s">
        <v>49</v>
      </c>
      <c r="S41" s="148" t="s">
        <v>42</v>
      </c>
      <c r="T41" s="459"/>
      <c r="U41" s="476" t="s">
        <v>827</v>
      </c>
      <c r="V41" s="476"/>
      <c r="W41" s="446" t="s">
        <v>42</v>
      </c>
      <c r="X41" s="472"/>
      <c r="Y41" s="143" t="s">
        <v>214</v>
      </c>
      <c r="Z41" s="142" t="s">
        <v>353</v>
      </c>
      <c r="AA41" s="181" t="s">
        <v>91</v>
      </c>
      <c r="AB41" s="401" t="s">
        <v>105</v>
      </c>
      <c r="AC41" s="295">
        <v>38</v>
      </c>
    </row>
    <row r="42" spans="1:29" ht="175.5" customHeight="1">
      <c r="A42" s="210" t="s">
        <v>165</v>
      </c>
      <c r="B42" s="208" t="s">
        <v>105</v>
      </c>
      <c r="C42" s="182" t="s">
        <v>96</v>
      </c>
      <c r="D42" s="410" t="s">
        <v>324</v>
      </c>
      <c r="E42" s="456" t="s">
        <v>805</v>
      </c>
      <c r="F42" s="144">
        <v>42795</v>
      </c>
      <c r="G42" s="416"/>
      <c r="H42" s="276"/>
      <c r="I42" s="148" t="s">
        <v>45</v>
      </c>
      <c r="J42" s="260"/>
      <c r="K42" s="416"/>
      <c r="L42" s="416"/>
      <c r="M42" s="416"/>
      <c r="N42" s="437" t="s">
        <v>45</v>
      </c>
      <c r="O42" s="416"/>
      <c r="P42" s="470" t="s">
        <v>765</v>
      </c>
      <c r="Q42" s="458"/>
      <c r="R42" s="458"/>
      <c r="S42" s="148" t="s">
        <v>45</v>
      </c>
      <c r="T42" s="459"/>
      <c r="U42" s="476" t="s">
        <v>866</v>
      </c>
      <c r="V42" s="479">
        <v>1</v>
      </c>
      <c r="W42" s="446" t="s">
        <v>42</v>
      </c>
      <c r="X42" s="476" t="s">
        <v>865</v>
      </c>
      <c r="Y42" s="143" t="s">
        <v>214</v>
      </c>
      <c r="Z42" s="142" t="s">
        <v>92</v>
      </c>
      <c r="AA42" s="181" t="s">
        <v>91</v>
      </c>
      <c r="AB42" s="401" t="s">
        <v>105</v>
      </c>
      <c r="AC42" s="295">
        <v>39</v>
      </c>
    </row>
    <row r="43" spans="1:29" ht="153.75" customHeight="1">
      <c r="A43" s="210" t="s">
        <v>166</v>
      </c>
      <c r="B43" s="208" t="s">
        <v>346</v>
      </c>
      <c r="C43" s="182" t="s">
        <v>96</v>
      </c>
      <c r="D43" s="410" t="s">
        <v>325</v>
      </c>
      <c r="E43" s="456" t="s">
        <v>805</v>
      </c>
      <c r="F43" s="144">
        <v>42461</v>
      </c>
      <c r="G43" s="416" t="s">
        <v>470</v>
      </c>
      <c r="H43" s="276"/>
      <c r="I43" s="148" t="s">
        <v>42</v>
      </c>
      <c r="J43" s="260"/>
      <c r="K43" s="416" t="s">
        <v>470</v>
      </c>
      <c r="L43" s="416"/>
      <c r="M43" s="416"/>
      <c r="N43" s="437" t="s">
        <v>42</v>
      </c>
      <c r="O43" s="416"/>
      <c r="P43" s="457" t="s">
        <v>787</v>
      </c>
      <c r="Q43" s="458"/>
      <c r="R43" s="458"/>
      <c r="S43" s="148" t="s">
        <v>42</v>
      </c>
      <c r="T43" s="461"/>
      <c r="U43" s="476" t="s">
        <v>829</v>
      </c>
      <c r="V43" s="476"/>
      <c r="W43" s="446" t="s">
        <v>42</v>
      </c>
      <c r="X43" s="472"/>
      <c r="Y43" s="143" t="s">
        <v>214</v>
      </c>
      <c r="Z43" s="142" t="s">
        <v>91</v>
      </c>
      <c r="AA43" s="181" t="s">
        <v>91</v>
      </c>
      <c r="AB43" s="401" t="s">
        <v>105</v>
      </c>
      <c r="AC43" s="295">
        <v>40</v>
      </c>
    </row>
    <row r="44" spans="1:29" ht="153.75" customHeight="1">
      <c r="A44" s="210" t="s">
        <v>167</v>
      </c>
      <c r="B44" s="208" t="s">
        <v>124</v>
      </c>
      <c r="C44" s="182" t="s">
        <v>100</v>
      </c>
      <c r="D44" s="410" t="s">
        <v>326</v>
      </c>
      <c r="E44" s="456" t="s">
        <v>805</v>
      </c>
      <c r="F44" s="144">
        <v>42795</v>
      </c>
      <c r="G44" s="419" t="s">
        <v>549</v>
      </c>
      <c r="H44" s="420" t="s">
        <v>550</v>
      </c>
      <c r="I44" s="148" t="s">
        <v>43</v>
      </c>
      <c r="J44" s="260"/>
      <c r="K44" s="416">
        <v>0.5</v>
      </c>
      <c r="L44" s="439">
        <v>1.1599999999999999</v>
      </c>
      <c r="M44" s="439">
        <v>3</v>
      </c>
      <c r="N44" s="437" t="s">
        <v>43</v>
      </c>
      <c r="O44" s="416"/>
      <c r="P44" s="457">
        <v>0.64</v>
      </c>
      <c r="Q44" s="468">
        <v>1.81</v>
      </c>
      <c r="R44" s="468">
        <v>3</v>
      </c>
      <c r="S44" s="148" t="s">
        <v>43</v>
      </c>
      <c r="T44" s="459" t="s">
        <v>745</v>
      </c>
      <c r="U44" s="476">
        <v>0.83</v>
      </c>
      <c r="V44" s="476">
        <v>2.67</v>
      </c>
      <c r="W44" s="446" t="s">
        <v>42</v>
      </c>
      <c r="X44" s="472"/>
      <c r="Y44" s="143" t="s">
        <v>214</v>
      </c>
      <c r="Z44" s="142" t="s">
        <v>355</v>
      </c>
      <c r="AA44" s="181" t="s">
        <v>79</v>
      </c>
      <c r="AB44" s="401" t="s">
        <v>361</v>
      </c>
      <c r="AC44" s="295">
        <v>41</v>
      </c>
    </row>
    <row r="45" spans="1:29" ht="153.75" customHeight="1">
      <c r="A45" s="210" t="s">
        <v>168</v>
      </c>
      <c r="B45" s="208" t="s">
        <v>476</v>
      </c>
      <c r="C45" s="182" t="s">
        <v>327</v>
      </c>
      <c r="D45" s="410" t="s">
        <v>328</v>
      </c>
      <c r="E45" s="456" t="s">
        <v>805</v>
      </c>
      <c r="F45" s="144">
        <v>42491</v>
      </c>
      <c r="G45" s="416" t="s">
        <v>477</v>
      </c>
      <c r="H45" s="420">
        <v>0.99</v>
      </c>
      <c r="I45" s="148" t="s">
        <v>42</v>
      </c>
      <c r="J45" s="260"/>
      <c r="K45" s="416" t="s">
        <v>632</v>
      </c>
      <c r="L45" s="416"/>
      <c r="M45" s="416"/>
      <c r="N45" s="437" t="s">
        <v>42</v>
      </c>
      <c r="O45" s="416"/>
      <c r="P45" s="457" t="s">
        <v>787</v>
      </c>
      <c r="Q45" s="458"/>
      <c r="R45" s="458"/>
      <c r="S45" s="148" t="s">
        <v>42</v>
      </c>
      <c r="T45" s="459"/>
      <c r="U45" s="476" t="s">
        <v>829</v>
      </c>
      <c r="V45" s="476"/>
      <c r="W45" s="446" t="s">
        <v>42</v>
      </c>
      <c r="X45" s="472"/>
      <c r="Y45" s="143" t="s">
        <v>214</v>
      </c>
      <c r="Z45" s="142" t="s">
        <v>356</v>
      </c>
      <c r="AA45" s="181" t="s">
        <v>79</v>
      </c>
      <c r="AB45" s="402" t="s">
        <v>361</v>
      </c>
      <c r="AC45" s="295">
        <v>42</v>
      </c>
    </row>
    <row r="46" spans="1:29" ht="153.75" customHeight="1">
      <c r="A46" s="210" t="s">
        <v>169</v>
      </c>
      <c r="B46" s="208" t="s">
        <v>124</v>
      </c>
      <c r="C46" s="182" t="s">
        <v>329</v>
      </c>
      <c r="D46" s="410" t="s">
        <v>271</v>
      </c>
      <c r="E46" s="456" t="s">
        <v>805</v>
      </c>
      <c r="F46" s="144">
        <v>42795</v>
      </c>
      <c r="G46" s="418" t="s">
        <v>528</v>
      </c>
      <c r="H46" s="276" t="s">
        <v>271</v>
      </c>
      <c r="I46" s="148" t="s">
        <v>43</v>
      </c>
      <c r="J46" s="260"/>
      <c r="K46" s="416">
        <v>12</v>
      </c>
      <c r="L46" s="416">
        <v>13</v>
      </c>
      <c r="M46" s="416">
        <v>13</v>
      </c>
      <c r="N46" s="437" t="s">
        <v>43</v>
      </c>
      <c r="O46" s="416"/>
      <c r="P46" s="457">
        <v>12</v>
      </c>
      <c r="Q46" s="458">
        <v>13</v>
      </c>
      <c r="R46" s="458">
        <v>13</v>
      </c>
      <c r="S46" s="148" t="s">
        <v>43</v>
      </c>
      <c r="T46" s="459"/>
      <c r="U46" s="476" t="s">
        <v>845</v>
      </c>
      <c r="V46" s="476" t="s">
        <v>271</v>
      </c>
      <c r="W46" s="446" t="s">
        <v>42</v>
      </c>
      <c r="X46" s="472"/>
      <c r="Y46" s="143" t="s">
        <v>214</v>
      </c>
      <c r="Z46" s="142" t="s">
        <v>357</v>
      </c>
      <c r="AA46" s="181" t="s">
        <v>79</v>
      </c>
      <c r="AB46" s="402" t="s">
        <v>361</v>
      </c>
      <c r="AC46" s="295">
        <v>43</v>
      </c>
    </row>
    <row r="47" spans="1:29" ht="153.75" customHeight="1">
      <c r="A47" s="210" t="s">
        <v>170</v>
      </c>
      <c r="B47" s="208" t="s">
        <v>124</v>
      </c>
      <c r="C47" s="182" t="s">
        <v>330</v>
      </c>
      <c r="D47" s="410" t="s">
        <v>331</v>
      </c>
      <c r="E47" s="456" t="s">
        <v>805</v>
      </c>
      <c r="F47" s="144">
        <v>42795</v>
      </c>
      <c r="G47" s="418">
        <v>1</v>
      </c>
      <c r="H47" s="420">
        <v>0.95</v>
      </c>
      <c r="I47" s="148" t="s">
        <v>43</v>
      </c>
      <c r="J47" s="260"/>
      <c r="K47" s="418">
        <v>1</v>
      </c>
      <c r="L47" s="418">
        <v>1</v>
      </c>
      <c r="M47" s="418">
        <v>1</v>
      </c>
      <c r="N47" s="437" t="s">
        <v>43</v>
      </c>
      <c r="O47" s="416"/>
      <c r="P47" s="463">
        <v>1</v>
      </c>
      <c r="Q47" s="460">
        <v>1</v>
      </c>
      <c r="R47" s="458"/>
      <c r="S47" s="148" t="s">
        <v>43</v>
      </c>
      <c r="T47" s="459"/>
      <c r="U47" s="479">
        <v>1</v>
      </c>
      <c r="V47" s="479">
        <v>1</v>
      </c>
      <c r="W47" s="446" t="s">
        <v>42</v>
      </c>
      <c r="X47" s="472"/>
      <c r="Y47" s="143" t="s">
        <v>214</v>
      </c>
      <c r="Z47" s="142" t="s">
        <v>358</v>
      </c>
      <c r="AA47" s="181" t="s">
        <v>79</v>
      </c>
      <c r="AB47" s="403" t="s">
        <v>361</v>
      </c>
      <c r="AC47" s="295">
        <v>44</v>
      </c>
    </row>
    <row r="48" spans="1:29" ht="153.75" customHeight="1">
      <c r="A48" s="210" t="s">
        <v>171</v>
      </c>
      <c r="B48" s="208" t="s">
        <v>118</v>
      </c>
      <c r="C48" s="182" t="s">
        <v>332</v>
      </c>
      <c r="D48" s="410" t="s">
        <v>333</v>
      </c>
      <c r="E48" s="456" t="s">
        <v>805</v>
      </c>
      <c r="F48" s="144">
        <v>42736</v>
      </c>
      <c r="G48" s="416"/>
      <c r="H48" s="276"/>
      <c r="I48" s="148" t="s">
        <v>45</v>
      </c>
      <c r="J48" s="260"/>
      <c r="K48" s="416"/>
      <c r="L48" s="416"/>
      <c r="M48" s="416"/>
      <c r="N48" s="437" t="s">
        <v>45</v>
      </c>
      <c r="O48" s="416"/>
      <c r="P48" s="457" t="s">
        <v>724</v>
      </c>
      <c r="Q48" s="458"/>
      <c r="R48" s="458"/>
      <c r="S48" s="148" t="s">
        <v>43</v>
      </c>
      <c r="T48" s="459"/>
      <c r="U48" s="476" t="s">
        <v>834</v>
      </c>
      <c r="V48" s="476"/>
      <c r="W48" s="446" t="s">
        <v>42</v>
      </c>
      <c r="X48" s="472"/>
      <c r="Y48" s="143" t="s">
        <v>214</v>
      </c>
      <c r="Z48" s="142" t="s">
        <v>359</v>
      </c>
      <c r="AA48" s="181" t="s">
        <v>79</v>
      </c>
      <c r="AB48" s="401" t="s">
        <v>361</v>
      </c>
      <c r="AC48" s="295">
        <v>45</v>
      </c>
    </row>
    <row r="49" spans="1:29" ht="153.75" customHeight="1">
      <c r="A49" s="210" t="s">
        <v>172</v>
      </c>
      <c r="B49" s="208" t="s">
        <v>809</v>
      </c>
      <c r="C49" s="182" t="s">
        <v>334</v>
      </c>
      <c r="D49" s="410" t="s">
        <v>335</v>
      </c>
      <c r="E49" s="456" t="s">
        <v>805</v>
      </c>
      <c r="F49" s="144">
        <v>42614</v>
      </c>
      <c r="G49" s="416" t="s">
        <v>560</v>
      </c>
      <c r="H49" s="276"/>
      <c r="I49" s="148" t="s">
        <v>43</v>
      </c>
      <c r="J49" s="260"/>
      <c r="K49" s="416" t="s">
        <v>662</v>
      </c>
      <c r="L49" s="416"/>
      <c r="M49" s="416"/>
      <c r="N49" s="437" t="s">
        <v>42</v>
      </c>
      <c r="O49" s="416"/>
      <c r="P49" s="457" t="s">
        <v>758</v>
      </c>
      <c r="Q49" s="458"/>
      <c r="R49" s="458"/>
      <c r="S49" s="148" t="s">
        <v>42</v>
      </c>
      <c r="T49" s="458"/>
      <c r="U49" s="476" t="s">
        <v>828</v>
      </c>
      <c r="V49" s="476"/>
      <c r="W49" s="446" t="s">
        <v>42</v>
      </c>
      <c r="X49" s="472"/>
      <c r="Y49" s="143" t="s">
        <v>214</v>
      </c>
      <c r="Z49" s="142" t="s">
        <v>110</v>
      </c>
      <c r="AA49" s="181" t="s">
        <v>218</v>
      </c>
      <c r="AB49" s="401" t="s">
        <v>105</v>
      </c>
      <c r="AC49" s="295">
        <v>46</v>
      </c>
    </row>
    <row r="50" spans="1:29" ht="153.75" customHeight="1">
      <c r="A50" s="210" t="s">
        <v>173</v>
      </c>
      <c r="B50" s="208" t="s">
        <v>809</v>
      </c>
      <c r="C50" s="182" t="s">
        <v>334</v>
      </c>
      <c r="D50" s="410" t="s">
        <v>336</v>
      </c>
      <c r="E50" s="456" t="s">
        <v>805</v>
      </c>
      <c r="F50" s="144">
        <v>42705</v>
      </c>
      <c r="G50" s="416" t="s">
        <v>537</v>
      </c>
      <c r="H50" s="276"/>
      <c r="I50" s="148" t="s">
        <v>43</v>
      </c>
      <c r="J50" s="260"/>
      <c r="K50" s="416" t="s">
        <v>663</v>
      </c>
      <c r="L50" s="416"/>
      <c r="M50" s="416"/>
      <c r="N50" s="437" t="s">
        <v>42</v>
      </c>
      <c r="O50" s="416" t="s">
        <v>675</v>
      </c>
      <c r="P50" s="457" t="s">
        <v>758</v>
      </c>
      <c r="Q50" s="458"/>
      <c r="R50" s="458"/>
      <c r="S50" s="148" t="s">
        <v>42</v>
      </c>
      <c r="T50" s="458"/>
      <c r="U50" s="476" t="s">
        <v>828</v>
      </c>
      <c r="V50" s="476"/>
      <c r="W50" s="446" t="s">
        <v>42</v>
      </c>
      <c r="X50" s="472"/>
      <c r="Y50" s="143" t="s">
        <v>214</v>
      </c>
      <c r="Z50" s="142" t="s">
        <v>110</v>
      </c>
      <c r="AA50" s="181" t="s">
        <v>218</v>
      </c>
      <c r="AB50" s="401" t="s">
        <v>105</v>
      </c>
      <c r="AC50" s="295">
        <v>47</v>
      </c>
    </row>
    <row r="51" spans="1:29" ht="153.75" customHeight="1">
      <c r="A51" s="210" t="s">
        <v>174</v>
      </c>
      <c r="B51" s="208" t="s">
        <v>809</v>
      </c>
      <c r="C51" s="182" t="s">
        <v>334</v>
      </c>
      <c r="D51" s="410" t="s">
        <v>337</v>
      </c>
      <c r="E51" s="456" t="s">
        <v>805</v>
      </c>
      <c r="F51" s="144">
        <v>42795</v>
      </c>
      <c r="G51" s="416" t="s">
        <v>542</v>
      </c>
      <c r="H51" s="417"/>
      <c r="I51" s="148" t="s">
        <v>43</v>
      </c>
      <c r="J51" s="260"/>
      <c r="K51" s="416" t="s">
        <v>664</v>
      </c>
      <c r="L51" s="438"/>
      <c r="M51" s="438"/>
      <c r="N51" s="437" t="s">
        <v>42</v>
      </c>
      <c r="O51" s="416"/>
      <c r="P51" s="457" t="s">
        <v>758</v>
      </c>
      <c r="Q51" s="458"/>
      <c r="R51" s="458"/>
      <c r="S51" s="148" t="s">
        <v>42</v>
      </c>
      <c r="T51" s="458"/>
      <c r="U51" s="476" t="s">
        <v>828</v>
      </c>
      <c r="V51" s="477"/>
      <c r="W51" s="446" t="s">
        <v>42</v>
      </c>
      <c r="X51" s="472"/>
      <c r="Y51" s="143" t="s">
        <v>214</v>
      </c>
      <c r="Z51" s="142" t="s">
        <v>110</v>
      </c>
      <c r="AA51" s="181" t="s">
        <v>218</v>
      </c>
      <c r="AB51" s="401" t="s">
        <v>105</v>
      </c>
      <c r="AC51" s="295">
        <v>48</v>
      </c>
    </row>
    <row r="52" spans="1:29" ht="153.75" customHeight="1">
      <c r="A52" s="210" t="s">
        <v>175</v>
      </c>
      <c r="B52" s="208" t="s">
        <v>809</v>
      </c>
      <c r="C52" s="182" t="s">
        <v>338</v>
      </c>
      <c r="D52" s="410" t="s">
        <v>339</v>
      </c>
      <c r="E52" s="456" t="s">
        <v>805</v>
      </c>
      <c r="F52" s="144">
        <v>42795</v>
      </c>
      <c r="G52" s="416" t="s">
        <v>538</v>
      </c>
      <c r="H52" s="417"/>
      <c r="I52" s="148" t="s">
        <v>43</v>
      </c>
      <c r="J52" s="260"/>
      <c r="K52" s="416" t="s">
        <v>538</v>
      </c>
      <c r="L52" s="438"/>
      <c r="M52" s="438"/>
      <c r="N52" s="437" t="s">
        <v>43</v>
      </c>
      <c r="O52" s="416"/>
      <c r="P52" s="457" t="s">
        <v>751</v>
      </c>
      <c r="Q52" s="467">
        <v>3</v>
      </c>
      <c r="R52" s="467">
        <v>4</v>
      </c>
      <c r="S52" s="148" t="s">
        <v>43</v>
      </c>
      <c r="T52" s="458" t="s">
        <v>750</v>
      </c>
      <c r="U52" s="477" t="s">
        <v>820</v>
      </c>
      <c r="V52" s="488">
        <v>4</v>
      </c>
      <c r="W52" s="446" t="s">
        <v>42</v>
      </c>
      <c r="X52" s="472"/>
      <c r="Y52" s="143" t="s">
        <v>214</v>
      </c>
      <c r="Z52" s="142" t="s">
        <v>110</v>
      </c>
      <c r="AA52" s="181" t="s">
        <v>218</v>
      </c>
      <c r="AB52" s="401" t="s">
        <v>105</v>
      </c>
      <c r="AC52" s="295">
        <v>49</v>
      </c>
    </row>
    <row r="53" spans="1:29" ht="153.75" customHeight="1">
      <c r="A53" s="210" t="s">
        <v>176</v>
      </c>
      <c r="B53" s="208" t="s">
        <v>125</v>
      </c>
      <c r="C53" s="182" t="s">
        <v>340</v>
      </c>
      <c r="D53" s="410" t="s">
        <v>341</v>
      </c>
      <c r="E53" s="456" t="s">
        <v>805</v>
      </c>
      <c r="F53" s="144">
        <v>42614</v>
      </c>
      <c r="G53" s="416" t="s">
        <v>481</v>
      </c>
      <c r="H53" s="417" t="s">
        <v>553</v>
      </c>
      <c r="I53" s="148" t="s">
        <v>43</v>
      </c>
      <c r="J53" s="260"/>
      <c r="K53" s="416" t="s">
        <v>698</v>
      </c>
      <c r="L53" s="438"/>
      <c r="M53" s="438"/>
      <c r="N53" s="437" t="s">
        <v>42</v>
      </c>
      <c r="O53" s="416" t="s">
        <v>659</v>
      </c>
      <c r="P53" s="457" t="s">
        <v>758</v>
      </c>
      <c r="Q53" s="465"/>
      <c r="R53" s="466"/>
      <c r="S53" s="148" t="s">
        <v>42</v>
      </c>
      <c r="T53" s="458" t="s">
        <v>737</v>
      </c>
      <c r="U53" s="477" t="s">
        <v>828</v>
      </c>
      <c r="V53" s="477"/>
      <c r="W53" s="446" t="s">
        <v>42</v>
      </c>
      <c r="X53" s="472"/>
      <c r="Y53" s="143" t="s">
        <v>214</v>
      </c>
      <c r="Z53" s="142" t="s">
        <v>108</v>
      </c>
      <c r="AA53" s="181" t="s">
        <v>6</v>
      </c>
      <c r="AB53" s="403" t="s">
        <v>103</v>
      </c>
      <c r="AC53" s="295">
        <v>50</v>
      </c>
    </row>
    <row r="54" spans="1:29" ht="153.75" customHeight="1">
      <c r="A54" s="210" t="s">
        <v>177</v>
      </c>
      <c r="B54" s="208" t="s">
        <v>125</v>
      </c>
      <c r="C54" s="182" t="s">
        <v>342</v>
      </c>
      <c r="D54" s="410" t="s">
        <v>343</v>
      </c>
      <c r="E54" s="456" t="s">
        <v>805</v>
      </c>
      <c r="F54" s="144">
        <v>42675</v>
      </c>
      <c r="G54" s="416" t="s">
        <v>561</v>
      </c>
      <c r="H54" s="276" t="s">
        <v>579</v>
      </c>
      <c r="I54" s="148" t="s">
        <v>43</v>
      </c>
      <c r="J54" s="260"/>
      <c r="K54" s="416" t="s">
        <v>697</v>
      </c>
      <c r="L54" s="416"/>
      <c r="M54" s="416"/>
      <c r="N54" s="437" t="s">
        <v>43</v>
      </c>
      <c r="O54" s="416"/>
      <c r="P54" s="457" t="s">
        <v>760</v>
      </c>
      <c r="Q54" s="458"/>
      <c r="R54" s="458"/>
      <c r="S54" s="148" t="s">
        <v>42</v>
      </c>
      <c r="T54" s="459" t="s">
        <v>759</v>
      </c>
      <c r="U54" s="476" t="s">
        <v>827</v>
      </c>
      <c r="V54" s="476"/>
      <c r="W54" s="446" t="s">
        <v>42</v>
      </c>
      <c r="X54" s="472"/>
      <c r="Y54" s="143" t="s">
        <v>214</v>
      </c>
      <c r="Z54" s="142" t="s">
        <v>360</v>
      </c>
      <c r="AA54" s="181" t="s">
        <v>6</v>
      </c>
      <c r="AB54" s="403" t="s">
        <v>103</v>
      </c>
      <c r="AC54" s="295">
        <v>51</v>
      </c>
    </row>
    <row r="55" spans="1:29" ht="153.75" customHeight="1">
      <c r="A55" s="210" t="s">
        <v>213</v>
      </c>
      <c r="B55" s="208" t="s">
        <v>122</v>
      </c>
      <c r="C55" s="182" t="s">
        <v>344</v>
      </c>
      <c r="D55" s="410" t="s">
        <v>345</v>
      </c>
      <c r="E55" s="456" t="s">
        <v>805</v>
      </c>
      <c r="F55" s="144">
        <v>42795</v>
      </c>
      <c r="G55" s="416" t="s">
        <v>562</v>
      </c>
      <c r="H55" s="276" t="s">
        <v>500</v>
      </c>
      <c r="I55" s="148" t="s">
        <v>43</v>
      </c>
      <c r="J55" s="260"/>
      <c r="K55" s="416" t="s">
        <v>699</v>
      </c>
      <c r="L55" s="416"/>
      <c r="M55" s="416"/>
      <c r="N55" s="437" t="s">
        <v>43</v>
      </c>
      <c r="O55" s="416"/>
      <c r="P55" s="457" t="s">
        <v>761</v>
      </c>
      <c r="Q55" s="458"/>
      <c r="R55" s="458"/>
      <c r="S55" s="148" t="s">
        <v>42</v>
      </c>
      <c r="T55" s="461"/>
      <c r="U55" s="476" t="s">
        <v>827</v>
      </c>
      <c r="V55" s="476"/>
      <c r="W55" s="446" t="s">
        <v>42</v>
      </c>
      <c r="X55" s="474"/>
      <c r="Y55" s="431" t="s">
        <v>214</v>
      </c>
      <c r="Z55" s="495" t="s">
        <v>108</v>
      </c>
      <c r="AA55" s="432" t="s">
        <v>6</v>
      </c>
      <c r="AB55" s="401" t="s">
        <v>361</v>
      </c>
      <c r="AC55" s="295">
        <v>52</v>
      </c>
    </row>
    <row r="56" spans="1:29" s="297" customFormat="1" ht="21" hidden="1">
      <c r="A56" s="396" t="s">
        <v>243</v>
      </c>
      <c r="B56" s="404"/>
      <c r="C56" s="405"/>
      <c r="D56" s="406"/>
      <c r="E56" s="406"/>
      <c r="F56" s="406"/>
      <c r="G56" s="406"/>
      <c r="H56" s="406"/>
      <c r="I56" s="406"/>
      <c r="J56" s="406"/>
      <c r="K56" s="406"/>
      <c r="L56" s="406"/>
      <c r="M56" s="435"/>
      <c r="N56" s="435"/>
      <c r="O56" s="435"/>
      <c r="P56" s="436"/>
      <c r="Q56" s="436"/>
      <c r="R56" s="436"/>
      <c r="S56" s="435"/>
      <c r="T56" s="436"/>
      <c r="U56" s="486"/>
      <c r="V56" s="486"/>
      <c r="W56" s="435"/>
      <c r="X56" s="491"/>
      <c r="Y56" s="493"/>
      <c r="Z56" s="493"/>
      <c r="AA56" s="496"/>
      <c r="AB56" s="496"/>
      <c r="AC56" s="406">
        <v>53</v>
      </c>
    </row>
    <row r="57" spans="1:29" ht="201" hidden="1" customHeight="1">
      <c r="A57" s="210" t="s">
        <v>219</v>
      </c>
      <c r="B57" s="208" t="s">
        <v>600</v>
      </c>
      <c r="C57" s="183" t="s">
        <v>362</v>
      </c>
      <c r="D57" s="410" t="s">
        <v>363</v>
      </c>
      <c r="E57" s="456" t="s">
        <v>805</v>
      </c>
      <c r="F57" s="144">
        <v>42795</v>
      </c>
      <c r="G57" s="416">
        <v>3</v>
      </c>
      <c r="H57" s="260">
        <v>5</v>
      </c>
      <c r="I57" s="148" t="s">
        <v>43</v>
      </c>
      <c r="J57" s="260"/>
      <c r="K57" s="416">
        <v>4</v>
      </c>
      <c r="L57" s="416">
        <v>7</v>
      </c>
      <c r="M57" s="416"/>
      <c r="N57" s="437" t="s">
        <v>42</v>
      </c>
      <c r="O57" s="416"/>
      <c r="P57" s="457">
        <v>9</v>
      </c>
      <c r="Q57" s="458">
        <v>16</v>
      </c>
      <c r="R57" s="458"/>
      <c r="S57" s="148" t="s">
        <v>42</v>
      </c>
      <c r="T57" s="459" t="s">
        <v>778</v>
      </c>
      <c r="U57" s="476" t="s">
        <v>858</v>
      </c>
      <c r="V57" s="476">
        <v>20</v>
      </c>
      <c r="W57" s="446" t="s">
        <v>42</v>
      </c>
      <c r="X57" s="492"/>
      <c r="Y57" s="433" t="s">
        <v>215</v>
      </c>
      <c r="Z57" s="494" t="s">
        <v>104</v>
      </c>
      <c r="AA57" s="434" t="s">
        <v>93</v>
      </c>
      <c r="AB57" s="401" t="s">
        <v>103</v>
      </c>
      <c r="AC57" s="295">
        <v>54</v>
      </c>
    </row>
    <row r="58" spans="1:29" ht="153.75" hidden="1" customHeight="1">
      <c r="A58" s="210" t="s">
        <v>220</v>
      </c>
      <c r="B58" s="208" t="s">
        <v>600</v>
      </c>
      <c r="C58" s="183" t="s">
        <v>362</v>
      </c>
      <c r="D58" s="410" t="s">
        <v>364</v>
      </c>
      <c r="E58" s="456" t="s">
        <v>805</v>
      </c>
      <c r="F58" s="144">
        <v>42795</v>
      </c>
      <c r="G58" s="416">
        <v>10</v>
      </c>
      <c r="H58" s="260">
        <v>15</v>
      </c>
      <c r="I58" s="148" t="s">
        <v>43</v>
      </c>
      <c r="J58" s="260"/>
      <c r="K58" s="416">
        <v>5</v>
      </c>
      <c r="L58" s="416">
        <v>15</v>
      </c>
      <c r="M58" s="416"/>
      <c r="N58" s="437" t="s">
        <v>42</v>
      </c>
      <c r="O58" s="416"/>
      <c r="P58" s="457">
        <v>5</v>
      </c>
      <c r="Q58" s="458">
        <v>20</v>
      </c>
      <c r="R58" s="458"/>
      <c r="S58" s="148" t="s">
        <v>42</v>
      </c>
      <c r="T58" s="459" t="s">
        <v>779</v>
      </c>
      <c r="U58" s="476" t="s">
        <v>857</v>
      </c>
      <c r="V58" s="476">
        <v>22</v>
      </c>
      <c r="W58" s="446" t="s">
        <v>42</v>
      </c>
      <c r="X58" s="459"/>
      <c r="Y58" s="143" t="s">
        <v>215</v>
      </c>
      <c r="Z58" s="145" t="s">
        <v>104</v>
      </c>
      <c r="AA58" s="181" t="s">
        <v>93</v>
      </c>
      <c r="AB58" s="403" t="s">
        <v>103</v>
      </c>
      <c r="AC58" s="295">
        <v>55</v>
      </c>
    </row>
    <row r="59" spans="1:29" ht="159" hidden="1" customHeight="1">
      <c r="A59" s="210" t="s">
        <v>221</v>
      </c>
      <c r="B59" s="208" t="s">
        <v>600</v>
      </c>
      <c r="C59" s="182" t="s">
        <v>362</v>
      </c>
      <c r="D59" s="410" t="s">
        <v>365</v>
      </c>
      <c r="E59" s="456" t="s">
        <v>805</v>
      </c>
      <c r="F59" s="144">
        <v>42795</v>
      </c>
      <c r="G59" s="418">
        <v>0.77</v>
      </c>
      <c r="H59" s="259">
        <v>0.8</v>
      </c>
      <c r="I59" s="148" t="s">
        <v>43</v>
      </c>
      <c r="J59" s="260"/>
      <c r="K59" s="418">
        <v>0.82</v>
      </c>
      <c r="L59" s="418"/>
      <c r="M59" s="418"/>
      <c r="N59" s="437" t="s">
        <v>43</v>
      </c>
      <c r="O59" s="416"/>
      <c r="P59" s="463" t="s">
        <v>782</v>
      </c>
      <c r="Q59" s="464"/>
      <c r="R59" s="460">
        <v>0.8</v>
      </c>
      <c r="S59" s="148" t="s">
        <v>43</v>
      </c>
      <c r="T59" s="459"/>
      <c r="U59" s="478">
        <v>0.80459999999999998</v>
      </c>
      <c r="V59" s="479">
        <v>0.8</v>
      </c>
      <c r="W59" s="446" t="s">
        <v>42</v>
      </c>
      <c r="X59" s="489"/>
      <c r="Y59" s="143" t="s">
        <v>215</v>
      </c>
      <c r="Z59" s="142" t="s">
        <v>104</v>
      </c>
      <c r="AA59" s="181" t="s">
        <v>93</v>
      </c>
      <c r="AB59" s="403" t="s">
        <v>103</v>
      </c>
      <c r="AC59" s="295">
        <v>56</v>
      </c>
    </row>
    <row r="60" spans="1:29" ht="183" hidden="1" customHeight="1">
      <c r="A60" s="210" t="s">
        <v>222</v>
      </c>
      <c r="B60" s="208" t="s">
        <v>476</v>
      </c>
      <c r="C60" s="182" t="s">
        <v>366</v>
      </c>
      <c r="D60" s="410" t="s">
        <v>367</v>
      </c>
      <c r="E60" s="456" t="s">
        <v>805</v>
      </c>
      <c r="F60" s="144">
        <v>42767</v>
      </c>
      <c r="G60" s="416" t="s">
        <v>563</v>
      </c>
      <c r="H60" s="260" t="s">
        <v>492</v>
      </c>
      <c r="I60" s="148" t="s">
        <v>43</v>
      </c>
      <c r="J60" s="260"/>
      <c r="K60" s="416" t="s">
        <v>700</v>
      </c>
      <c r="L60" s="416"/>
      <c r="M60" s="416"/>
      <c r="N60" s="437" t="s">
        <v>43</v>
      </c>
      <c r="O60" s="416" t="s">
        <v>668</v>
      </c>
      <c r="P60" s="457" t="s">
        <v>743</v>
      </c>
      <c r="Q60" s="458"/>
      <c r="R60" s="458"/>
      <c r="S60" s="148" t="s">
        <v>43</v>
      </c>
      <c r="T60" s="459"/>
      <c r="U60" s="476" t="s">
        <v>852</v>
      </c>
      <c r="V60" s="483"/>
      <c r="W60" s="446" t="s">
        <v>42</v>
      </c>
      <c r="X60" s="472"/>
      <c r="Y60" s="143" t="s">
        <v>215</v>
      </c>
      <c r="Z60" s="142" t="s">
        <v>109</v>
      </c>
      <c r="AA60" s="181" t="s">
        <v>217</v>
      </c>
      <c r="AB60" s="403" t="s">
        <v>361</v>
      </c>
      <c r="AC60" s="295">
        <v>57</v>
      </c>
    </row>
    <row r="61" spans="1:29" ht="153.75" hidden="1" customHeight="1">
      <c r="A61" s="210" t="s">
        <v>223</v>
      </c>
      <c r="B61" s="208" t="s">
        <v>476</v>
      </c>
      <c r="C61" s="182" t="s">
        <v>368</v>
      </c>
      <c r="D61" s="410" t="s">
        <v>369</v>
      </c>
      <c r="E61" s="456" t="s">
        <v>805</v>
      </c>
      <c r="F61" s="144">
        <v>42767</v>
      </c>
      <c r="G61" s="416" t="s">
        <v>563</v>
      </c>
      <c r="H61" s="260" t="s">
        <v>492</v>
      </c>
      <c r="I61" s="148" t="s">
        <v>43</v>
      </c>
      <c r="J61" s="260"/>
      <c r="K61" s="416" t="s">
        <v>700</v>
      </c>
      <c r="L61" s="416"/>
      <c r="M61" s="416"/>
      <c r="N61" s="437" t="s">
        <v>43</v>
      </c>
      <c r="O61" s="416" t="s">
        <v>668</v>
      </c>
      <c r="P61" s="457" t="s">
        <v>743</v>
      </c>
      <c r="Q61" s="458"/>
      <c r="R61" s="458"/>
      <c r="S61" s="148" t="s">
        <v>43</v>
      </c>
      <c r="T61" s="459"/>
      <c r="U61" s="476" t="s">
        <v>852</v>
      </c>
      <c r="V61" s="476"/>
      <c r="W61" s="446" t="s">
        <v>42</v>
      </c>
      <c r="X61" s="472"/>
      <c r="Y61" s="143" t="s">
        <v>215</v>
      </c>
      <c r="Z61" s="142" t="s">
        <v>109</v>
      </c>
      <c r="AA61" s="181" t="s">
        <v>217</v>
      </c>
      <c r="AB61" s="403" t="s">
        <v>361</v>
      </c>
      <c r="AC61" s="295">
        <v>58</v>
      </c>
    </row>
    <row r="62" spans="1:29" ht="153.75" hidden="1" customHeight="1">
      <c r="A62" s="210" t="s">
        <v>224</v>
      </c>
      <c r="B62" s="208" t="s">
        <v>476</v>
      </c>
      <c r="C62" s="182" t="s">
        <v>370</v>
      </c>
      <c r="D62" s="410" t="s">
        <v>371</v>
      </c>
      <c r="E62" s="456" t="s">
        <v>805</v>
      </c>
      <c r="F62" s="144">
        <v>42522</v>
      </c>
      <c r="G62" s="416" t="s">
        <v>487</v>
      </c>
      <c r="H62" s="260" t="s">
        <v>493</v>
      </c>
      <c r="I62" s="148" t="s">
        <v>42</v>
      </c>
      <c r="J62" s="260" t="s">
        <v>494</v>
      </c>
      <c r="K62" s="416" t="s">
        <v>701</v>
      </c>
      <c r="L62" s="416"/>
      <c r="M62" s="416"/>
      <c r="N62" s="437" t="s">
        <v>42</v>
      </c>
      <c r="O62" s="416"/>
      <c r="P62" s="457" t="s">
        <v>787</v>
      </c>
      <c r="Q62" s="458"/>
      <c r="R62" s="458"/>
      <c r="S62" s="148" t="s">
        <v>42</v>
      </c>
      <c r="T62" s="459"/>
      <c r="U62" s="476" t="s">
        <v>829</v>
      </c>
      <c r="V62" s="476"/>
      <c r="W62" s="446" t="s">
        <v>42</v>
      </c>
      <c r="X62" s="472"/>
      <c r="Y62" s="143" t="s">
        <v>215</v>
      </c>
      <c r="Z62" s="142" t="s">
        <v>109</v>
      </c>
      <c r="AA62" s="181" t="s">
        <v>217</v>
      </c>
      <c r="AB62" s="401" t="s">
        <v>361</v>
      </c>
      <c r="AC62" s="295">
        <v>59</v>
      </c>
    </row>
    <row r="63" spans="1:29" ht="153.75" hidden="1" customHeight="1">
      <c r="A63" s="210" t="s">
        <v>225</v>
      </c>
      <c r="B63" s="208" t="s">
        <v>476</v>
      </c>
      <c r="C63" s="182" t="s">
        <v>463</v>
      </c>
      <c r="D63" s="410" t="s">
        <v>398</v>
      </c>
      <c r="E63" s="456" t="s">
        <v>805</v>
      </c>
      <c r="F63" s="144">
        <v>42795</v>
      </c>
      <c r="G63" s="416" t="s">
        <v>488</v>
      </c>
      <c r="H63" s="260" t="s">
        <v>495</v>
      </c>
      <c r="I63" s="148" t="s">
        <v>43</v>
      </c>
      <c r="J63" s="260"/>
      <c r="K63" s="416" t="s">
        <v>669</v>
      </c>
      <c r="L63" s="416"/>
      <c r="M63" s="416"/>
      <c r="N63" s="437" t="s">
        <v>43</v>
      </c>
      <c r="O63" s="416"/>
      <c r="P63" s="457" t="s">
        <v>720</v>
      </c>
      <c r="Q63" s="458"/>
      <c r="R63" s="458"/>
      <c r="S63" s="148" t="s">
        <v>42</v>
      </c>
      <c r="T63" s="459"/>
      <c r="U63" s="476" t="s">
        <v>853</v>
      </c>
      <c r="V63" s="476">
        <v>26</v>
      </c>
      <c r="W63" s="446" t="s">
        <v>42</v>
      </c>
      <c r="X63" s="473" t="s">
        <v>854</v>
      </c>
      <c r="Y63" s="143" t="s">
        <v>215</v>
      </c>
      <c r="Z63" s="142" t="s">
        <v>109</v>
      </c>
      <c r="AA63" s="181" t="s">
        <v>217</v>
      </c>
      <c r="AB63" s="401" t="s">
        <v>361</v>
      </c>
      <c r="AC63" s="295">
        <v>60</v>
      </c>
    </row>
    <row r="64" spans="1:29" ht="153.75" hidden="1" customHeight="1">
      <c r="A64" s="210" t="s">
        <v>226</v>
      </c>
      <c r="B64" s="208" t="s">
        <v>476</v>
      </c>
      <c r="C64" s="182" t="s">
        <v>372</v>
      </c>
      <c r="D64" s="410" t="s">
        <v>373</v>
      </c>
      <c r="E64" s="456" t="s">
        <v>805</v>
      </c>
      <c r="F64" s="144">
        <v>42644</v>
      </c>
      <c r="G64" s="416" t="s">
        <v>489</v>
      </c>
      <c r="H64" s="260" t="s">
        <v>496</v>
      </c>
      <c r="I64" s="148" t="s">
        <v>43</v>
      </c>
      <c r="J64" s="260"/>
      <c r="K64" s="416" t="s">
        <v>670</v>
      </c>
      <c r="L64" s="416"/>
      <c r="M64" s="416"/>
      <c r="N64" s="437" t="s">
        <v>42</v>
      </c>
      <c r="O64" s="416" t="s">
        <v>671</v>
      </c>
      <c r="P64" s="457" t="s">
        <v>758</v>
      </c>
      <c r="Q64" s="458"/>
      <c r="R64" s="458"/>
      <c r="S64" s="148" t="s">
        <v>42</v>
      </c>
      <c r="T64" s="459"/>
      <c r="U64" s="476" t="s">
        <v>828</v>
      </c>
      <c r="V64" s="476"/>
      <c r="W64" s="446" t="s">
        <v>42</v>
      </c>
      <c r="X64" s="472"/>
      <c r="Y64" s="143" t="s">
        <v>215</v>
      </c>
      <c r="Z64" s="142" t="s">
        <v>109</v>
      </c>
      <c r="AA64" s="181" t="s">
        <v>217</v>
      </c>
      <c r="AB64" s="401" t="s">
        <v>361</v>
      </c>
      <c r="AC64" s="295">
        <v>61</v>
      </c>
    </row>
    <row r="65" spans="1:29" ht="153.75" hidden="1" customHeight="1">
      <c r="A65" s="210" t="s">
        <v>227</v>
      </c>
      <c r="B65" s="208" t="s">
        <v>476</v>
      </c>
      <c r="C65" s="182" t="s">
        <v>372</v>
      </c>
      <c r="D65" s="410" t="s">
        <v>374</v>
      </c>
      <c r="E65" s="456" t="s">
        <v>805</v>
      </c>
      <c r="F65" s="144">
        <v>42736</v>
      </c>
      <c r="G65" s="416" t="s">
        <v>490</v>
      </c>
      <c r="H65" s="260" t="s">
        <v>497</v>
      </c>
      <c r="I65" s="148" t="s">
        <v>43</v>
      </c>
      <c r="J65" s="260"/>
      <c r="K65" s="416" t="s">
        <v>490</v>
      </c>
      <c r="L65" s="416"/>
      <c r="M65" s="416"/>
      <c r="N65" s="437" t="s">
        <v>43</v>
      </c>
      <c r="O65" s="416"/>
      <c r="P65" s="457" t="s">
        <v>708</v>
      </c>
      <c r="Q65" s="458"/>
      <c r="R65" s="458"/>
      <c r="S65" s="148" t="s">
        <v>43</v>
      </c>
      <c r="T65" s="459"/>
      <c r="U65" s="476" t="s">
        <v>855</v>
      </c>
      <c r="V65" s="476"/>
      <c r="W65" s="446" t="s">
        <v>42</v>
      </c>
      <c r="X65" s="471"/>
      <c r="Y65" s="143" t="s">
        <v>215</v>
      </c>
      <c r="Z65" s="142" t="s">
        <v>109</v>
      </c>
      <c r="AA65" s="181" t="s">
        <v>217</v>
      </c>
      <c r="AB65" s="401" t="s">
        <v>361</v>
      </c>
      <c r="AC65" s="295">
        <v>62</v>
      </c>
    </row>
    <row r="66" spans="1:29" ht="153.75" hidden="1" customHeight="1">
      <c r="A66" s="210" t="s">
        <v>228</v>
      </c>
      <c r="B66" s="208" t="s">
        <v>476</v>
      </c>
      <c r="C66" s="182" t="s">
        <v>702</v>
      </c>
      <c r="D66" s="410" t="s">
        <v>703</v>
      </c>
      <c r="E66" s="456" t="s">
        <v>805</v>
      </c>
      <c r="F66" s="144">
        <v>42767</v>
      </c>
      <c r="G66" s="416" t="s">
        <v>491</v>
      </c>
      <c r="H66" s="260"/>
      <c r="I66" s="148" t="s">
        <v>45</v>
      </c>
      <c r="J66" s="260"/>
      <c r="K66" s="416"/>
      <c r="L66" s="416"/>
      <c r="M66" s="416"/>
      <c r="N66" s="437" t="s">
        <v>45</v>
      </c>
      <c r="O66" s="416"/>
      <c r="P66" s="457" t="s">
        <v>744</v>
      </c>
      <c r="Q66" s="458"/>
      <c r="R66" s="458"/>
      <c r="S66" s="148" t="s">
        <v>43</v>
      </c>
      <c r="T66" s="459"/>
      <c r="U66" s="484" t="s">
        <v>888</v>
      </c>
      <c r="V66" s="476"/>
      <c r="W66" s="446" t="s">
        <v>86</v>
      </c>
      <c r="X66" s="473" t="s">
        <v>889</v>
      </c>
      <c r="Y66" s="143" t="s">
        <v>215</v>
      </c>
      <c r="Z66" s="142" t="s">
        <v>109</v>
      </c>
      <c r="AA66" s="181" t="s">
        <v>217</v>
      </c>
      <c r="AB66" s="401" t="s">
        <v>361</v>
      </c>
      <c r="AC66" s="295">
        <v>63</v>
      </c>
    </row>
    <row r="67" spans="1:29" ht="153.75" hidden="1" customHeight="1">
      <c r="A67" s="210" t="s">
        <v>244</v>
      </c>
      <c r="B67" s="208" t="s">
        <v>122</v>
      </c>
      <c r="C67" s="182" t="s">
        <v>376</v>
      </c>
      <c r="D67" s="411">
        <v>0.99</v>
      </c>
      <c r="E67" s="456" t="s">
        <v>805</v>
      </c>
      <c r="F67" s="144">
        <v>42795</v>
      </c>
      <c r="G67" s="416" t="s">
        <v>564</v>
      </c>
      <c r="H67" s="260"/>
      <c r="I67" s="148" t="s">
        <v>43</v>
      </c>
      <c r="J67" s="260"/>
      <c r="K67" s="490" t="s">
        <v>564</v>
      </c>
      <c r="L67" s="416"/>
      <c r="M67" s="416"/>
      <c r="N67" s="437" t="s">
        <v>43</v>
      </c>
      <c r="O67" s="416"/>
      <c r="P67" s="457" t="s">
        <v>564</v>
      </c>
      <c r="Q67" s="460">
        <v>1</v>
      </c>
      <c r="R67" s="460">
        <v>1</v>
      </c>
      <c r="S67" s="148" t="s">
        <v>43</v>
      </c>
      <c r="T67" s="459"/>
      <c r="U67" s="476" t="s">
        <v>564</v>
      </c>
      <c r="V67" s="479">
        <v>1</v>
      </c>
      <c r="W67" s="446" t="s">
        <v>42</v>
      </c>
      <c r="X67" s="472"/>
      <c r="Y67" s="143" t="s">
        <v>215</v>
      </c>
      <c r="Z67" s="142" t="s">
        <v>375</v>
      </c>
      <c r="AA67" s="181" t="s">
        <v>79</v>
      </c>
      <c r="AB67" s="401" t="s">
        <v>361</v>
      </c>
      <c r="AC67" s="295">
        <v>64</v>
      </c>
    </row>
    <row r="68" spans="1:29" ht="236.25" hidden="1" customHeight="1">
      <c r="A68" s="210" t="s">
        <v>245</v>
      </c>
      <c r="B68" s="208" t="s">
        <v>476</v>
      </c>
      <c r="C68" s="182" t="s">
        <v>377</v>
      </c>
      <c r="D68" s="410" t="s">
        <v>378</v>
      </c>
      <c r="E68" s="456" t="s">
        <v>805</v>
      </c>
      <c r="F68" s="144">
        <v>42736</v>
      </c>
      <c r="G68" s="416" t="s">
        <v>508</v>
      </c>
      <c r="H68" s="260"/>
      <c r="I68" s="148" t="s">
        <v>45</v>
      </c>
      <c r="J68" s="260"/>
      <c r="K68" s="416" t="s">
        <v>610</v>
      </c>
      <c r="L68" s="416"/>
      <c r="M68" s="416"/>
      <c r="N68" s="437" t="s">
        <v>43</v>
      </c>
      <c r="O68" s="416"/>
      <c r="P68" s="457" t="s">
        <v>721</v>
      </c>
      <c r="Q68" s="458"/>
      <c r="R68" s="458"/>
      <c r="S68" s="148" t="s">
        <v>42</v>
      </c>
      <c r="T68" s="459"/>
      <c r="U68" s="476" t="s">
        <v>827</v>
      </c>
      <c r="V68" s="476"/>
      <c r="W68" s="446" t="s">
        <v>42</v>
      </c>
      <c r="X68" s="472"/>
      <c r="Y68" s="143" t="s">
        <v>215</v>
      </c>
      <c r="Z68" s="142" t="s">
        <v>104</v>
      </c>
      <c r="AA68" s="181" t="s">
        <v>218</v>
      </c>
      <c r="AB68" s="401" t="s">
        <v>103</v>
      </c>
      <c r="AC68" s="295">
        <v>65</v>
      </c>
    </row>
    <row r="69" spans="1:29" ht="153.75" hidden="1" customHeight="1">
      <c r="A69" s="210" t="s">
        <v>229</v>
      </c>
      <c r="B69" s="208" t="s">
        <v>476</v>
      </c>
      <c r="C69" s="182" t="s">
        <v>377</v>
      </c>
      <c r="D69" s="410" t="s">
        <v>379</v>
      </c>
      <c r="E69" s="456" t="s">
        <v>805</v>
      </c>
      <c r="F69" s="144">
        <v>42705</v>
      </c>
      <c r="G69" s="416" t="s">
        <v>508</v>
      </c>
      <c r="H69" s="260"/>
      <c r="I69" s="148" t="s">
        <v>45</v>
      </c>
      <c r="J69" s="260"/>
      <c r="K69" s="416" t="s">
        <v>610</v>
      </c>
      <c r="L69" s="416"/>
      <c r="M69" s="444"/>
      <c r="N69" s="437" t="s">
        <v>43</v>
      </c>
      <c r="O69" s="416"/>
      <c r="P69" s="457" t="s">
        <v>722</v>
      </c>
      <c r="Q69" s="458"/>
      <c r="R69" s="458"/>
      <c r="S69" s="148" t="s">
        <v>42</v>
      </c>
      <c r="T69" s="459"/>
      <c r="U69" s="476" t="s">
        <v>827</v>
      </c>
      <c r="V69" s="476"/>
      <c r="W69" s="446" t="s">
        <v>42</v>
      </c>
      <c r="X69" s="472"/>
      <c r="Y69" s="143" t="s">
        <v>215</v>
      </c>
      <c r="Z69" s="142" t="s">
        <v>104</v>
      </c>
      <c r="AA69" s="181" t="s">
        <v>218</v>
      </c>
      <c r="AB69" s="401" t="s">
        <v>103</v>
      </c>
      <c r="AC69" s="295">
        <v>66</v>
      </c>
    </row>
    <row r="70" spans="1:29" ht="153.75" hidden="1" customHeight="1">
      <c r="A70" s="210" t="s">
        <v>230</v>
      </c>
      <c r="B70" s="208" t="s">
        <v>103</v>
      </c>
      <c r="C70" s="182" t="s">
        <v>380</v>
      </c>
      <c r="D70" s="410" t="s">
        <v>381</v>
      </c>
      <c r="E70" s="456" t="s">
        <v>805</v>
      </c>
      <c r="F70" s="144">
        <v>42795</v>
      </c>
      <c r="G70" s="416" t="s">
        <v>565</v>
      </c>
      <c r="H70" s="260"/>
      <c r="I70" s="148" t="s">
        <v>42</v>
      </c>
      <c r="J70" s="260"/>
      <c r="K70" s="416" t="s">
        <v>632</v>
      </c>
      <c r="L70" s="416"/>
      <c r="M70" s="441"/>
      <c r="N70" s="437" t="s">
        <v>42</v>
      </c>
      <c r="O70" s="416"/>
      <c r="P70" s="457" t="s">
        <v>787</v>
      </c>
      <c r="Q70" s="458"/>
      <c r="R70" s="458"/>
      <c r="S70" s="148" t="s">
        <v>42</v>
      </c>
      <c r="T70" s="459"/>
      <c r="U70" s="476" t="s">
        <v>829</v>
      </c>
      <c r="V70" s="476"/>
      <c r="W70" s="446" t="s">
        <v>42</v>
      </c>
      <c r="X70" s="472"/>
      <c r="Y70" s="143" t="s">
        <v>215</v>
      </c>
      <c r="Z70" s="142" t="s">
        <v>360</v>
      </c>
      <c r="AA70" s="181" t="s">
        <v>79</v>
      </c>
      <c r="AB70" s="401" t="s">
        <v>103</v>
      </c>
      <c r="AC70" s="295">
        <v>67</v>
      </c>
    </row>
    <row r="71" spans="1:29" ht="166.5" hidden="1" customHeight="1">
      <c r="A71" s="210" t="s">
        <v>231</v>
      </c>
      <c r="B71" s="208" t="s">
        <v>118</v>
      </c>
      <c r="C71" s="182" t="s">
        <v>383</v>
      </c>
      <c r="D71" s="410" t="s">
        <v>384</v>
      </c>
      <c r="E71" s="456" t="s">
        <v>805</v>
      </c>
      <c r="F71" s="144">
        <v>42795</v>
      </c>
      <c r="G71" s="416" t="s">
        <v>482</v>
      </c>
      <c r="H71" s="260" t="s">
        <v>483</v>
      </c>
      <c r="I71" s="148" t="s">
        <v>43</v>
      </c>
      <c r="J71" s="260"/>
      <c r="K71" s="416" t="s">
        <v>624</v>
      </c>
      <c r="L71" s="416"/>
      <c r="M71" s="416"/>
      <c r="N71" s="437" t="s">
        <v>43</v>
      </c>
      <c r="O71" s="416"/>
      <c r="P71" s="457" t="s">
        <v>624</v>
      </c>
      <c r="Q71" s="458"/>
      <c r="R71" s="458"/>
      <c r="S71" s="148" t="s">
        <v>43</v>
      </c>
      <c r="T71" s="461" t="s">
        <v>754</v>
      </c>
      <c r="U71" s="476" t="s">
        <v>869</v>
      </c>
      <c r="V71" s="476"/>
      <c r="W71" s="446" t="s">
        <v>42</v>
      </c>
      <c r="X71" s="472"/>
      <c r="Y71" s="143" t="s">
        <v>215</v>
      </c>
      <c r="Z71" s="142" t="s">
        <v>382</v>
      </c>
      <c r="AA71" s="181" t="s">
        <v>79</v>
      </c>
      <c r="AB71" s="401" t="s">
        <v>105</v>
      </c>
      <c r="AC71" s="295">
        <v>68</v>
      </c>
    </row>
    <row r="72" spans="1:29" ht="153.75" hidden="1" customHeight="1">
      <c r="A72" s="210" t="s">
        <v>232</v>
      </c>
      <c r="B72" s="208" t="s">
        <v>809</v>
      </c>
      <c r="C72" s="182" t="s">
        <v>589</v>
      </c>
      <c r="D72" s="410" t="s">
        <v>385</v>
      </c>
      <c r="E72" s="456" t="s">
        <v>805</v>
      </c>
      <c r="F72" s="144">
        <v>42795</v>
      </c>
      <c r="G72" s="416" t="s">
        <v>573</v>
      </c>
      <c r="H72" s="260"/>
      <c r="I72" s="148" t="s">
        <v>43</v>
      </c>
      <c r="J72" s="260"/>
      <c r="K72" s="416" t="s">
        <v>628</v>
      </c>
      <c r="L72" s="419" t="s">
        <v>689</v>
      </c>
      <c r="M72" s="418">
        <v>0.96</v>
      </c>
      <c r="N72" s="437" t="s">
        <v>43</v>
      </c>
      <c r="O72" s="416"/>
      <c r="P72" s="457" t="s">
        <v>746</v>
      </c>
      <c r="Q72" s="460" t="s">
        <v>769</v>
      </c>
      <c r="R72" s="460"/>
      <c r="S72" s="148" t="s">
        <v>43</v>
      </c>
      <c r="T72" s="459"/>
      <c r="U72" s="458" t="s">
        <v>821</v>
      </c>
      <c r="V72" s="458" t="s">
        <v>847</v>
      </c>
      <c r="W72" s="446" t="s">
        <v>42</v>
      </c>
      <c r="X72" s="472"/>
      <c r="Y72" s="143" t="s">
        <v>215</v>
      </c>
      <c r="Z72" s="145" t="s">
        <v>110</v>
      </c>
      <c r="AA72" s="181" t="s">
        <v>218</v>
      </c>
      <c r="AB72" s="401" t="s">
        <v>105</v>
      </c>
      <c r="AC72" s="295">
        <v>69</v>
      </c>
    </row>
    <row r="73" spans="1:29" ht="153.75" hidden="1" customHeight="1">
      <c r="A73" s="210" t="s">
        <v>233</v>
      </c>
      <c r="B73" s="208" t="s">
        <v>809</v>
      </c>
      <c r="C73" s="182" t="s">
        <v>590</v>
      </c>
      <c r="D73" s="410" t="s">
        <v>385</v>
      </c>
      <c r="E73" s="456" t="s">
        <v>805</v>
      </c>
      <c r="F73" s="144">
        <v>42795</v>
      </c>
      <c r="G73" s="416" t="s">
        <v>574</v>
      </c>
      <c r="H73" s="260"/>
      <c r="I73" s="148" t="s">
        <v>43</v>
      </c>
      <c r="J73" s="260"/>
      <c r="K73" s="416" t="s">
        <v>629</v>
      </c>
      <c r="L73" s="419" t="s">
        <v>690</v>
      </c>
      <c r="M73" s="418">
        <v>0.92</v>
      </c>
      <c r="N73" s="437" t="s">
        <v>43</v>
      </c>
      <c r="O73" s="416"/>
      <c r="P73" s="457" t="s">
        <v>747</v>
      </c>
      <c r="Q73" s="460" t="s">
        <v>770</v>
      </c>
      <c r="R73" s="458"/>
      <c r="S73" s="148" t="s">
        <v>43</v>
      </c>
      <c r="T73" s="459"/>
      <c r="U73" s="458" t="s">
        <v>822</v>
      </c>
      <c r="V73" s="458" t="s">
        <v>846</v>
      </c>
      <c r="W73" s="446" t="s">
        <v>42</v>
      </c>
      <c r="X73" s="472"/>
      <c r="Y73" s="143" t="s">
        <v>215</v>
      </c>
      <c r="Z73" s="145" t="s">
        <v>110</v>
      </c>
      <c r="AA73" s="181" t="s">
        <v>218</v>
      </c>
      <c r="AB73" s="401" t="s">
        <v>105</v>
      </c>
      <c r="AC73" s="295">
        <v>70</v>
      </c>
    </row>
    <row r="74" spans="1:29" ht="153.75" hidden="1" customHeight="1">
      <c r="A74" s="210" t="s">
        <v>234</v>
      </c>
      <c r="B74" s="208" t="s">
        <v>809</v>
      </c>
      <c r="C74" s="182" t="s">
        <v>591</v>
      </c>
      <c r="D74" s="410" t="s">
        <v>385</v>
      </c>
      <c r="E74" s="456" t="s">
        <v>805</v>
      </c>
      <c r="F74" s="144">
        <v>42795</v>
      </c>
      <c r="G74" s="416" t="s">
        <v>575</v>
      </c>
      <c r="H74" s="260"/>
      <c r="I74" s="148" t="s">
        <v>43</v>
      </c>
      <c r="J74" s="260"/>
      <c r="K74" s="416" t="s">
        <v>630</v>
      </c>
      <c r="L74" s="419" t="s">
        <v>691</v>
      </c>
      <c r="M74" s="418">
        <v>0.98</v>
      </c>
      <c r="N74" s="437" t="s">
        <v>43</v>
      </c>
      <c r="O74" s="416"/>
      <c r="P74" s="457" t="s">
        <v>748</v>
      </c>
      <c r="Q74" s="460" t="s">
        <v>771</v>
      </c>
      <c r="R74" s="458"/>
      <c r="S74" s="148" t="s">
        <v>43</v>
      </c>
      <c r="T74" s="459"/>
      <c r="U74" s="458" t="s">
        <v>823</v>
      </c>
      <c r="V74" s="458" t="s">
        <v>848</v>
      </c>
      <c r="W74" s="446" t="s">
        <v>42</v>
      </c>
      <c r="X74" s="472"/>
      <c r="Y74" s="143" t="s">
        <v>215</v>
      </c>
      <c r="Z74" s="145" t="s">
        <v>110</v>
      </c>
      <c r="AA74" s="181" t="s">
        <v>218</v>
      </c>
      <c r="AB74" s="403" t="s">
        <v>105</v>
      </c>
      <c r="AC74" s="295">
        <v>71</v>
      </c>
    </row>
    <row r="75" spans="1:29" ht="153.75" hidden="1" customHeight="1">
      <c r="A75" s="210" t="s">
        <v>235</v>
      </c>
      <c r="B75" s="208" t="s">
        <v>809</v>
      </c>
      <c r="C75" s="182" t="s">
        <v>386</v>
      </c>
      <c r="D75" s="410" t="s">
        <v>387</v>
      </c>
      <c r="E75" s="456" t="s">
        <v>805</v>
      </c>
      <c r="F75" s="144">
        <v>42614</v>
      </c>
      <c r="G75" s="416" t="s">
        <v>543</v>
      </c>
      <c r="H75" s="260"/>
      <c r="I75" s="148" t="s">
        <v>43</v>
      </c>
      <c r="J75" s="260"/>
      <c r="K75" s="416" t="s">
        <v>694</v>
      </c>
      <c r="L75" s="416"/>
      <c r="M75" s="416"/>
      <c r="N75" s="437" t="s">
        <v>42</v>
      </c>
      <c r="O75" s="416"/>
      <c r="P75" s="457" t="s">
        <v>758</v>
      </c>
      <c r="Q75" s="458"/>
      <c r="R75" s="458"/>
      <c r="S75" s="458" t="s">
        <v>42</v>
      </c>
      <c r="T75" s="458"/>
      <c r="U75" s="458" t="s">
        <v>828</v>
      </c>
      <c r="V75" s="476"/>
      <c r="W75" s="446" t="s">
        <v>42</v>
      </c>
      <c r="X75" s="472"/>
      <c r="Y75" s="143" t="s">
        <v>215</v>
      </c>
      <c r="Z75" s="145" t="s">
        <v>110</v>
      </c>
      <c r="AA75" s="181" t="s">
        <v>218</v>
      </c>
      <c r="AB75" s="403" t="s">
        <v>105</v>
      </c>
      <c r="AC75" s="295">
        <v>72</v>
      </c>
    </row>
    <row r="76" spans="1:29" ht="153.75" hidden="1" customHeight="1">
      <c r="A76" s="210" t="s">
        <v>236</v>
      </c>
      <c r="B76" s="208" t="s">
        <v>809</v>
      </c>
      <c r="C76" s="182" t="s">
        <v>388</v>
      </c>
      <c r="D76" s="410" t="s">
        <v>389</v>
      </c>
      <c r="E76" s="456" t="s">
        <v>805</v>
      </c>
      <c r="F76" s="144">
        <v>42614</v>
      </c>
      <c r="G76" s="416" t="s">
        <v>598</v>
      </c>
      <c r="H76" s="260"/>
      <c r="I76" s="148" t="s">
        <v>42</v>
      </c>
      <c r="J76" s="260"/>
      <c r="K76" s="416" t="s">
        <v>632</v>
      </c>
      <c r="L76" s="416"/>
      <c r="M76" s="416"/>
      <c r="N76" s="437" t="s">
        <v>42</v>
      </c>
      <c r="O76" s="416"/>
      <c r="P76" s="457" t="s">
        <v>787</v>
      </c>
      <c r="Q76" s="458"/>
      <c r="R76" s="458"/>
      <c r="S76" s="458" t="s">
        <v>42</v>
      </c>
      <c r="T76" s="458"/>
      <c r="U76" s="458" t="s">
        <v>829</v>
      </c>
      <c r="V76" s="476"/>
      <c r="W76" s="446" t="s">
        <v>42</v>
      </c>
      <c r="X76" s="472"/>
      <c r="Y76" s="143" t="s">
        <v>215</v>
      </c>
      <c r="Z76" s="145" t="s">
        <v>110</v>
      </c>
      <c r="AA76" s="181" t="s">
        <v>218</v>
      </c>
      <c r="AB76" s="403" t="s">
        <v>105</v>
      </c>
      <c r="AC76" s="295">
        <v>73</v>
      </c>
    </row>
    <row r="77" spans="1:29" ht="153.75" hidden="1" customHeight="1">
      <c r="A77" s="210" t="s">
        <v>237</v>
      </c>
      <c r="B77" s="208" t="s">
        <v>809</v>
      </c>
      <c r="C77" s="182" t="s">
        <v>101</v>
      </c>
      <c r="D77" s="410" t="s">
        <v>390</v>
      </c>
      <c r="E77" s="456" t="s">
        <v>805</v>
      </c>
      <c r="F77" s="144">
        <v>42795</v>
      </c>
      <c r="G77" s="416" t="s">
        <v>482</v>
      </c>
      <c r="H77" s="260"/>
      <c r="I77" s="148" t="s">
        <v>43</v>
      </c>
      <c r="J77" s="260"/>
      <c r="K77" s="416" t="s">
        <v>695</v>
      </c>
      <c r="L77" s="416"/>
      <c r="M77" s="416"/>
      <c r="N77" s="437" t="s">
        <v>43</v>
      </c>
      <c r="O77" s="416"/>
      <c r="P77" s="500" t="s">
        <v>772</v>
      </c>
      <c r="Q77" s="484">
        <v>6</v>
      </c>
      <c r="R77" s="484">
        <v>6</v>
      </c>
      <c r="S77" s="458" t="s">
        <v>43</v>
      </c>
      <c r="T77" s="458"/>
      <c r="U77" s="458" t="s">
        <v>870</v>
      </c>
      <c r="V77" s="476" t="s">
        <v>835</v>
      </c>
      <c r="W77" s="446" t="s">
        <v>42</v>
      </c>
      <c r="X77" s="472"/>
      <c r="Y77" s="143" t="s">
        <v>215</v>
      </c>
      <c r="Z77" s="145" t="s">
        <v>110</v>
      </c>
      <c r="AA77" s="181" t="s">
        <v>218</v>
      </c>
      <c r="AB77" s="403" t="s">
        <v>105</v>
      </c>
      <c r="AC77" s="295">
        <v>74</v>
      </c>
    </row>
    <row r="78" spans="1:29" ht="153.75" hidden="1" customHeight="1">
      <c r="A78" s="210" t="s">
        <v>238</v>
      </c>
      <c r="B78" s="208" t="s">
        <v>809</v>
      </c>
      <c r="C78" s="182" t="s">
        <v>391</v>
      </c>
      <c r="D78" s="410" t="s">
        <v>392</v>
      </c>
      <c r="E78" s="456" t="s">
        <v>805</v>
      </c>
      <c r="F78" s="144">
        <v>42461</v>
      </c>
      <c r="G78" s="416" t="s">
        <v>539</v>
      </c>
      <c r="H78" s="260"/>
      <c r="I78" s="148" t="s">
        <v>42</v>
      </c>
      <c r="J78" s="260"/>
      <c r="K78" s="416" t="s">
        <v>632</v>
      </c>
      <c r="L78" s="416"/>
      <c r="M78" s="416"/>
      <c r="N78" s="437" t="s">
        <v>42</v>
      </c>
      <c r="O78" s="416"/>
      <c r="P78" s="457" t="s">
        <v>787</v>
      </c>
      <c r="Q78" s="458"/>
      <c r="R78" s="458"/>
      <c r="S78" s="458" t="s">
        <v>42</v>
      </c>
      <c r="T78" s="458"/>
      <c r="U78" s="458" t="s">
        <v>829</v>
      </c>
      <c r="V78" s="476"/>
      <c r="W78" s="446" t="s">
        <v>42</v>
      </c>
      <c r="X78" s="472"/>
      <c r="Y78" s="143" t="s">
        <v>215</v>
      </c>
      <c r="Z78" s="145" t="s">
        <v>110</v>
      </c>
      <c r="AA78" s="181" t="s">
        <v>218</v>
      </c>
      <c r="AB78" s="403" t="s">
        <v>105</v>
      </c>
      <c r="AC78" s="295">
        <v>75</v>
      </c>
    </row>
    <row r="79" spans="1:29" ht="153.75" hidden="1" customHeight="1">
      <c r="A79" s="210" t="s">
        <v>239</v>
      </c>
      <c r="B79" s="208" t="s">
        <v>809</v>
      </c>
      <c r="C79" s="182" t="s">
        <v>393</v>
      </c>
      <c r="D79" s="410" t="s">
        <v>394</v>
      </c>
      <c r="E79" s="456" t="s">
        <v>805</v>
      </c>
      <c r="F79" s="144">
        <v>42522</v>
      </c>
      <c r="G79" s="416" t="s">
        <v>540</v>
      </c>
      <c r="H79" s="260"/>
      <c r="I79" s="148" t="s">
        <v>42</v>
      </c>
      <c r="J79" s="260"/>
      <c r="K79" s="416" t="s">
        <v>632</v>
      </c>
      <c r="L79" s="418"/>
      <c r="M79" s="416"/>
      <c r="N79" s="437" t="s">
        <v>42</v>
      </c>
      <c r="O79" s="416"/>
      <c r="P79" s="457" t="s">
        <v>787</v>
      </c>
      <c r="Q79" s="458"/>
      <c r="R79" s="458"/>
      <c r="S79" s="458" t="s">
        <v>42</v>
      </c>
      <c r="T79" s="458"/>
      <c r="U79" s="458" t="s">
        <v>829</v>
      </c>
      <c r="V79" s="480"/>
      <c r="W79" s="446" t="s">
        <v>42</v>
      </c>
      <c r="X79" s="471"/>
      <c r="Y79" s="143" t="s">
        <v>215</v>
      </c>
      <c r="Z79" s="145" t="s">
        <v>110</v>
      </c>
      <c r="AA79" s="181" t="s">
        <v>218</v>
      </c>
      <c r="AB79" s="403" t="s">
        <v>105</v>
      </c>
      <c r="AC79" s="295">
        <v>76</v>
      </c>
    </row>
    <row r="80" spans="1:29" ht="153.75" hidden="1" customHeight="1">
      <c r="A80" s="210" t="s">
        <v>240</v>
      </c>
      <c r="B80" s="208" t="s">
        <v>395</v>
      </c>
      <c r="C80" s="182" t="s">
        <v>396</v>
      </c>
      <c r="D80" s="410" t="s">
        <v>397</v>
      </c>
      <c r="E80" s="456" t="s">
        <v>805</v>
      </c>
      <c r="F80" s="144">
        <v>42795</v>
      </c>
      <c r="G80" s="416" t="s">
        <v>578</v>
      </c>
      <c r="H80" s="260"/>
      <c r="I80" s="148" t="s">
        <v>43</v>
      </c>
      <c r="J80" s="260"/>
      <c r="K80" s="416" t="s">
        <v>613</v>
      </c>
      <c r="L80" s="418"/>
      <c r="M80" s="416"/>
      <c r="N80" s="437" t="s">
        <v>43</v>
      </c>
      <c r="O80" s="416"/>
      <c r="P80" s="457" t="s">
        <v>753</v>
      </c>
      <c r="Q80" s="462"/>
      <c r="R80" s="458"/>
      <c r="S80" s="148" t="s">
        <v>43</v>
      </c>
      <c r="T80" s="459"/>
      <c r="U80" s="476" t="s">
        <v>867</v>
      </c>
      <c r="V80" s="480"/>
      <c r="W80" s="446" t="s">
        <v>42</v>
      </c>
      <c r="X80" s="471"/>
      <c r="Y80" s="143" t="s">
        <v>215</v>
      </c>
      <c r="Z80" s="145" t="s">
        <v>399</v>
      </c>
      <c r="AA80" s="181" t="s">
        <v>218</v>
      </c>
      <c r="AB80" s="403" t="s">
        <v>105</v>
      </c>
      <c r="AC80" s="295">
        <v>77</v>
      </c>
    </row>
    <row r="81" spans="1:29" s="297" customFormat="1" ht="21" hidden="1">
      <c r="A81" s="396" t="s">
        <v>242</v>
      </c>
      <c r="B81" s="404"/>
      <c r="C81" s="407"/>
      <c r="D81" s="408"/>
      <c r="E81" s="408"/>
      <c r="F81" s="408"/>
      <c r="G81" s="408"/>
      <c r="H81" s="408"/>
      <c r="I81" s="408"/>
      <c r="J81" s="408"/>
      <c r="K81" s="406"/>
      <c r="L81" s="406"/>
      <c r="M81" s="406"/>
      <c r="N81" s="406"/>
      <c r="O81" s="406"/>
      <c r="P81" s="409"/>
      <c r="Q81" s="409"/>
      <c r="R81" s="409"/>
      <c r="S81" s="406"/>
      <c r="T81" s="409"/>
      <c r="U81" s="486"/>
      <c r="V81" s="486"/>
      <c r="W81" s="406"/>
      <c r="X81" s="405"/>
      <c r="Y81" s="406"/>
      <c r="Z81" s="406"/>
      <c r="AA81" s="406"/>
      <c r="AB81" s="406"/>
      <c r="AC81" s="406">
        <v>78</v>
      </c>
    </row>
    <row r="82" spans="1:29" ht="153.75" hidden="1" customHeight="1">
      <c r="A82" s="210" t="s">
        <v>178</v>
      </c>
      <c r="B82" s="208" t="s">
        <v>125</v>
      </c>
      <c r="C82" s="182" t="s">
        <v>402</v>
      </c>
      <c r="D82" s="410" t="s">
        <v>403</v>
      </c>
      <c r="E82" s="456" t="s">
        <v>805</v>
      </c>
      <c r="F82" s="144">
        <v>42552</v>
      </c>
      <c r="G82" s="416" t="s">
        <v>544</v>
      </c>
      <c r="H82" s="260"/>
      <c r="I82" s="148" t="s">
        <v>42</v>
      </c>
      <c r="J82" s="260"/>
      <c r="K82" s="416" t="s">
        <v>632</v>
      </c>
      <c r="L82" s="416"/>
      <c r="M82" s="416"/>
      <c r="N82" s="437" t="s">
        <v>42</v>
      </c>
      <c r="O82" s="416"/>
      <c r="P82" s="457" t="s">
        <v>787</v>
      </c>
      <c r="Q82" s="458"/>
      <c r="R82" s="458"/>
      <c r="S82" s="148" t="s">
        <v>42</v>
      </c>
      <c r="T82" s="459"/>
      <c r="U82" s="476" t="s">
        <v>829</v>
      </c>
      <c r="V82" s="476"/>
      <c r="W82" s="446" t="s">
        <v>42</v>
      </c>
      <c r="X82" s="472"/>
      <c r="Y82" s="143" t="s">
        <v>216</v>
      </c>
      <c r="Z82" s="142" t="s">
        <v>444</v>
      </c>
      <c r="AA82" s="181" t="s">
        <v>93</v>
      </c>
      <c r="AB82" s="401" t="s">
        <v>103</v>
      </c>
      <c r="AC82" s="295">
        <v>79</v>
      </c>
    </row>
    <row r="83" spans="1:29" ht="153.75" hidden="1" customHeight="1">
      <c r="A83" s="210" t="s">
        <v>179</v>
      </c>
      <c r="B83" s="208" t="s">
        <v>125</v>
      </c>
      <c r="C83" s="182" t="s">
        <v>402</v>
      </c>
      <c r="D83" s="410" t="s">
        <v>404</v>
      </c>
      <c r="E83" s="456" t="s">
        <v>805</v>
      </c>
      <c r="F83" s="144">
        <v>42644</v>
      </c>
      <c r="G83" s="416" t="s">
        <v>545</v>
      </c>
      <c r="H83" s="260"/>
      <c r="I83" s="148" t="s">
        <v>45</v>
      </c>
      <c r="J83" s="260"/>
      <c r="K83" s="416" t="s">
        <v>685</v>
      </c>
      <c r="L83" s="416"/>
      <c r="M83" s="416"/>
      <c r="N83" s="437" t="s">
        <v>42</v>
      </c>
      <c r="O83" s="416"/>
      <c r="P83" s="457" t="s">
        <v>758</v>
      </c>
      <c r="Q83" s="458"/>
      <c r="R83" s="458"/>
      <c r="S83" s="148" t="s">
        <v>42</v>
      </c>
      <c r="T83" s="459"/>
      <c r="U83" s="476" t="s">
        <v>828</v>
      </c>
      <c r="V83" s="476"/>
      <c r="W83" s="446" t="s">
        <v>42</v>
      </c>
      <c r="X83" s="472"/>
      <c r="Y83" s="143" t="s">
        <v>216</v>
      </c>
      <c r="Z83" s="142" t="s">
        <v>444</v>
      </c>
      <c r="AA83" s="181" t="s">
        <v>93</v>
      </c>
      <c r="AB83" s="401" t="s">
        <v>103</v>
      </c>
      <c r="AC83" s="295">
        <v>80</v>
      </c>
    </row>
    <row r="84" spans="1:29" ht="153.75" hidden="1" customHeight="1">
      <c r="A84" s="210" t="s">
        <v>180</v>
      </c>
      <c r="B84" s="208" t="s">
        <v>125</v>
      </c>
      <c r="C84" s="182" t="s">
        <v>402</v>
      </c>
      <c r="D84" s="410" t="s">
        <v>405</v>
      </c>
      <c r="E84" s="456" t="s">
        <v>805</v>
      </c>
      <c r="F84" s="144">
        <v>42795</v>
      </c>
      <c r="G84" s="416"/>
      <c r="H84" s="260"/>
      <c r="I84" s="148" t="s">
        <v>45</v>
      </c>
      <c r="J84" s="260"/>
      <c r="K84" s="416" t="s">
        <v>680</v>
      </c>
      <c r="L84" s="416"/>
      <c r="M84" s="416"/>
      <c r="N84" s="437" t="s">
        <v>45</v>
      </c>
      <c r="O84" s="416"/>
      <c r="P84" s="457" t="s">
        <v>797</v>
      </c>
      <c r="Q84" s="458"/>
      <c r="R84" s="458"/>
      <c r="S84" s="148" t="s">
        <v>29</v>
      </c>
      <c r="T84" s="458"/>
      <c r="U84" s="476"/>
      <c r="V84" s="476"/>
      <c r="W84" s="446" t="s">
        <v>29</v>
      </c>
      <c r="X84" s="472"/>
      <c r="Y84" s="143" t="s">
        <v>216</v>
      </c>
      <c r="Z84" s="142" t="s">
        <v>444</v>
      </c>
      <c r="AA84" s="181" t="s">
        <v>93</v>
      </c>
      <c r="AB84" s="401" t="s">
        <v>103</v>
      </c>
      <c r="AC84" s="295">
        <v>81</v>
      </c>
    </row>
    <row r="85" spans="1:29" ht="153.75" hidden="1" customHeight="1">
      <c r="A85" s="210" t="s">
        <v>181</v>
      </c>
      <c r="B85" s="208" t="s">
        <v>112</v>
      </c>
      <c r="C85" s="182" t="s">
        <v>406</v>
      </c>
      <c r="D85" s="410" t="s">
        <v>407</v>
      </c>
      <c r="E85" s="456" t="s">
        <v>805</v>
      </c>
      <c r="F85" s="144">
        <v>42795</v>
      </c>
      <c r="G85" s="416" t="s">
        <v>524</v>
      </c>
      <c r="H85" s="260"/>
      <c r="I85" s="148" t="s">
        <v>43</v>
      </c>
      <c r="J85" s="260"/>
      <c r="K85" s="442" t="s">
        <v>686</v>
      </c>
      <c r="L85" s="416"/>
      <c r="M85" s="416"/>
      <c r="N85" s="437" t="s">
        <v>43</v>
      </c>
      <c r="O85" s="416"/>
      <c r="P85" s="457" t="s">
        <v>783</v>
      </c>
      <c r="Q85" s="458"/>
      <c r="R85" s="458"/>
      <c r="S85" s="148" t="s">
        <v>43</v>
      </c>
      <c r="T85" s="459"/>
      <c r="U85" s="476" t="s">
        <v>861</v>
      </c>
      <c r="V85" s="476"/>
      <c r="W85" s="446" t="s">
        <v>42</v>
      </c>
      <c r="X85" s="472"/>
      <c r="Y85" s="143" t="s">
        <v>216</v>
      </c>
      <c r="Z85" s="142" t="s">
        <v>445</v>
      </c>
      <c r="AA85" s="181" t="s">
        <v>93</v>
      </c>
      <c r="AB85" s="401" t="s">
        <v>103</v>
      </c>
      <c r="AC85" s="295">
        <v>82</v>
      </c>
    </row>
    <row r="86" spans="1:29" ht="153.75" hidden="1" customHeight="1">
      <c r="A86" s="210" t="s">
        <v>182</v>
      </c>
      <c r="B86" s="208" t="s">
        <v>112</v>
      </c>
      <c r="C86" s="182" t="s">
        <v>406</v>
      </c>
      <c r="D86" s="410" t="s">
        <v>408</v>
      </c>
      <c r="E86" s="456" t="s">
        <v>805</v>
      </c>
      <c r="F86" s="144">
        <v>42795</v>
      </c>
      <c r="G86" s="416" t="s">
        <v>523</v>
      </c>
      <c r="H86" s="260"/>
      <c r="I86" s="148" t="s">
        <v>43</v>
      </c>
      <c r="J86" s="260"/>
      <c r="K86" s="443" t="s">
        <v>631</v>
      </c>
      <c r="L86" s="416"/>
      <c r="M86" s="416"/>
      <c r="N86" s="437" t="s">
        <v>43</v>
      </c>
      <c r="O86" s="416"/>
      <c r="P86" s="457" t="s">
        <v>740</v>
      </c>
      <c r="Q86" s="458"/>
      <c r="R86" s="458"/>
      <c r="S86" s="148" t="s">
        <v>43</v>
      </c>
      <c r="T86" s="459"/>
      <c r="U86" s="476" t="s">
        <v>863</v>
      </c>
      <c r="V86" s="476"/>
      <c r="W86" s="446" t="s">
        <v>42</v>
      </c>
      <c r="X86" s="473" t="s">
        <v>862</v>
      </c>
      <c r="Y86" s="143" t="s">
        <v>216</v>
      </c>
      <c r="Z86" s="142" t="s">
        <v>445</v>
      </c>
      <c r="AA86" s="181" t="s">
        <v>93</v>
      </c>
      <c r="AB86" s="401" t="s">
        <v>103</v>
      </c>
      <c r="AC86" s="295">
        <v>83</v>
      </c>
    </row>
    <row r="87" spans="1:29" ht="249" hidden="1" customHeight="1">
      <c r="A87" s="210" t="s">
        <v>183</v>
      </c>
      <c r="B87" s="208" t="s">
        <v>113</v>
      </c>
      <c r="C87" s="182" t="s">
        <v>409</v>
      </c>
      <c r="D87" s="410" t="s">
        <v>803</v>
      </c>
      <c r="E87" s="456" t="s">
        <v>806</v>
      </c>
      <c r="F87" s="144">
        <v>42795</v>
      </c>
      <c r="G87" s="416" t="s">
        <v>776</v>
      </c>
      <c r="H87" s="260"/>
      <c r="I87" s="148" t="s">
        <v>45</v>
      </c>
      <c r="J87" s="260"/>
      <c r="K87" s="416" t="s">
        <v>775</v>
      </c>
      <c r="L87" s="416"/>
      <c r="M87" s="416"/>
      <c r="N87" s="437" t="s">
        <v>43</v>
      </c>
      <c r="O87" s="416"/>
      <c r="P87" s="457" t="s">
        <v>774</v>
      </c>
      <c r="Q87" s="458">
        <v>3</v>
      </c>
      <c r="R87" s="458">
        <v>4</v>
      </c>
      <c r="S87" s="148" t="s">
        <v>43</v>
      </c>
      <c r="T87" s="459" t="s">
        <v>777</v>
      </c>
      <c r="U87" s="476" t="s">
        <v>819</v>
      </c>
      <c r="V87" s="476" t="s">
        <v>880</v>
      </c>
      <c r="W87" s="446" t="s">
        <v>42</v>
      </c>
      <c r="X87" s="472"/>
      <c r="Y87" s="143" t="s">
        <v>216</v>
      </c>
      <c r="Z87" s="142" t="s">
        <v>446</v>
      </c>
      <c r="AA87" s="181" t="s">
        <v>93</v>
      </c>
      <c r="AB87" s="401" t="s">
        <v>103</v>
      </c>
      <c r="AC87" s="295">
        <v>84</v>
      </c>
    </row>
    <row r="88" spans="1:29" ht="153.75" hidden="1" customHeight="1">
      <c r="A88" s="210" t="s">
        <v>184</v>
      </c>
      <c r="B88" s="208" t="s">
        <v>112</v>
      </c>
      <c r="C88" s="182" t="s">
        <v>410</v>
      </c>
      <c r="D88" s="410" t="s">
        <v>443</v>
      </c>
      <c r="E88" s="456" t="s">
        <v>805</v>
      </c>
      <c r="F88" s="144">
        <v>42795</v>
      </c>
      <c r="G88" s="416" t="s">
        <v>522</v>
      </c>
      <c r="H88" s="498"/>
      <c r="I88" s="499" t="s">
        <v>43</v>
      </c>
      <c r="J88" s="498"/>
      <c r="K88" s="416" t="s">
        <v>605</v>
      </c>
      <c r="L88" s="416"/>
      <c r="M88" s="416"/>
      <c r="N88" s="416" t="s">
        <v>43</v>
      </c>
      <c r="O88" s="416"/>
      <c r="P88" s="416" t="s">
        <v>881</v>
      </c>
      <c r="Q88" s="458">
        <v>30</v>
      </c>
      <c r="R88" s="458"/>
      <c r="S88" s="499" t="s">
        <v>43</v>
      </c>
      <c r="T88" s="461"/>
      <c r="U88" s="476" t="s">
        <v>882</v>
      </c>
      <c r="V88" s="476">
        <v>30</v>
      </c>
      <c r="W88" s="446" t="s">
        <v>42</v>
      </c>
      <c r="X88" s="472"/>
      <c r="Y88" s="143" t="s">
        <v>216</v>
      </c>
      <c r="Z88" s="142" t="s">
        <v>445</v>
      </c>
      <c r="AA88" s="181" t="s">
        <v>93</v>
      </c>
      <c r="AB88" s="401" t="s">
        <v>103</v>
      </c>
      <c r="AC88" s="295">
        <v>85</v>
      </c>
    </row>
    <row r="89" spans="1:29" ht="240" hidden="1" customHeight="1">
      <c r="A89" s="210" t="s">
        <v>185</v>
      </c>
      <c r="B89" s="208" t="s">
        <v>112</v>
      </c>
      <c r="C89" s="182" t="s">
        <v>410</v>
      </c>
      <c r="D89" s="410" t="s">
        <v>838</v>
      </c>
      <c r="E89" s="456" t="s">
        <v>806</v>
      </c>
      <c r="F89" s="144">
        <v>42795</v>
      </c>
      <c r="G89" s="416" t="s">
        <v>521</v>
      </c>
      <c r="H89" s="260"/>
      <c r="I89" s="148" t="s">
        <v>43</v>
      </c>
      <c r="J89" s="260"/>
      <c r="K89" s="416" t="s">
        <v>604</v>
      </c>
      <c r="L89" s="416"/>
      <c r="M89" s="416"/>
      <c r="N89" s="437" t="s">
        <v>43</v>
      </c>
      <c r="O89" s="416"/>
      <c r="P89" s="457" t="s">
        <v>729</v>
      </c>
      <c r="Q89" s="458"/>
      <c r="R89" s="458"/>
      <c r="S89" s="148" t="s">
        <v>43</v>
      </c>
      <c r="T89" s="459"/>
      <c r="U89" s="476" t="s">
        <v>884</v>
      </c>
      <c r="V89" s="476" t="s">
        <v>885</v>
      </c>
      <c r="W89" s="501" t="s">
        <v>42</v>
      </c>
      <c r="X89" s="473"/>
      <c r="Y89" s="143" t="s">
        <v>216</v>
      </c>
      <c r="Z89" s="142" t="s">
        <v>445</v>
      </c>
      <c r="AA89" s="181" t="s">
        <v>93</v>
      </c>
      <c r="AB89" s="401" t="s">
        <v>103</v>
      </c>
      <c r="AC89" s="295">
        <v>86</v>
      </c>
    </row>
    <row r="90" spans="1:29" ht="153.75" hidden="1" customHeight="1">
      <c r="A90" s="210" t="s">
        <v>186</v>
      </c>
      <c r="B90" s="208" t="s">
        <v>125</v>
      </c>
      <c r="C90" s="182" t="s">
        <v>411</v>
      </c>
      <c r="D90" s="410" t="s">
        <v>807</v>
      </c>
      <c r="E90" s="456" t="s">
        <v>806</v>
      </c>
      <c r="F90" s="144">
        <v>42614</v>
      </c>
      <c r="G90" s="416" t="s">
        <v>546</v>
      </c>
      <c r="H90" s="260"/>
      <c r="I90" s="148" t="s">
        <v>45</v>
      </c>
      <c r="J90" s="260"/>
      <c r="K90" s="416" t="s">
        <v>687</v>
      </c>
      <c r="L90" s="416"/>
      <c r="M90" s="416"/>
      <c r="N90" s="437" t="s">
        <v>42</v>
      </c>
      <c r="O90" s="416"/>
      <c r="P90" s="457" t="s">
        <v>758</v>
      </c>
      <c r="Q90" s="458"/>
      <c r="R90" s="458"/>
      <c r="S90" s="148" t="s">
        <v>42</v>
      </c>
      <c r="T90" s="459"/>
      <c r="U90" s="476" t="s">
        <v>828</v>
      </c>
      <c r="V90" s="476"/>
      <c r="W90" s="446" t="s">
        <v>42</v>
      </c>
      <c r="X90" s="472"/>
      <c r="Y90" s="143" t="s">
        <v>216</v>
      </c>
      <c r="Z90" s="142" t="s">
        <v>444</v>
      </c>
      <c r="AA90" s="181" t="s">
        <v>93</v>
      </c>
      <c r="AB90" s="401" t="s">
        <v>103</v>
      </c>
      <c r="AC90" s="295">
        <v>87</v>
      </c>
    </row>
    <row r="91" spans="1:29" ht="244.5" hidden="1" customHeight="1">
      <c r="A91" s="210" t="s">
        <v>187</v>
      </c>
      <c r="B91" s="208" t="s">
        <v>125</v>
      </c>
      <c r="C91" s="182" t="s">
        <v>411</v>
      </c>
      <c r="D91" s="410" t="s">
        <v>864</v>
      </c>
      <c r="E91" s="456" t="s">
        <v>806</v>
      </c>
      <c r="F91" s="144">
        <v>42705</v>
      </c>
      <c r="G91" s="416" t="s">
        <v>546</v>
      </c>
      <c r="H91" s="260"/>
      <c r="I91" s="148" t="s">
        <v>45</v>
      </c>
      <c r="J91" s="260"/>
      <c r="K91" s="416" t="s">
        <v>680</v>
      </c>
      <c r="L91" s="416"/>
      <c r="M91" s="416"/>
      <c r="N91" s="437" t="s">
        <v>45</v>
      </c>
      <c r="O91" s="416"/>
      <c r="P91" s="470" t="s">
        <v>798</v>
      </c>
      <c r="Q91" s="458"/>
      <c r="R91" s="458"/>
      <c r="S91" s="148" t="s">
        <v>27</v>
      </c>
      <c r="T91" s="461"/>
      <c r="U91" s="476" t="s">
        <v>883</v>
      </c>
      <c r="V91" s="476" t="s">
        <v>876</v>
      </c>
      <c r="W91" s="446" t="s">
        <v>86</v>
      </c>
      <c r="X91" s="476" t="s">
        <v>877</v>
      </c>
      <c r="Y91" s="143" t="s">
        <v>216</v>
      </c>
      <c r="Z91" s="142" t="s">
        <v>444</v>
      </c>
      <c r="AA91" s="181" t="s">
        <v>93</v>
      </c>
      <c r="AB91" s="401" t="s">
        <v>103</v>
      </c>
      <c r="AC91" s="295">
        <v>88</v>
      </c>
    </row>
    <row r="92" spans="1:29" ht="177" hidden="1" customHeight="1">
      <c r="A92" s="210" t="s">
        <v>188</v>
      </c>
      <c r="B92" s="208" t="s">
        <v>125</v>
      </c>
      <c r="C92" s="182" t="s">
        <v>411</v>
      </c>
      <c r="D92" s="410" t="s">
        <v>412</v>
      </c>
      <c r="E92" s="456" t="s">
        <v>805</v>
      </c>
      <c r="F92" s="144">
        <v>42705</v>
      </c>
      <c r="G92" s="416" t="s">
        <v>566</v>
      </c>
      <c r="H92" s="260"/>
      <c r="I92" s="148" t="s">
        <v>45</v>
      </c>
      <c r="J92" s="260"/>
      <c r="K92" s="416" t="s">
        <v>680</v>
      </c>
      <c r="L92" s="416"/>
      <c r="M92" s="416"/>
      <c r="N92" s="437" t="s">
        <v>45</v>
      </c>
      <c r="O92" s="416"/>
      <c r="P92" s="457" t="s">
        <v>784</v>
      </c>
      <c r="Q92" s="458"/>
      <c r="R92" s="458"/>
      <c r="S92" s="148" t="s">
        <v>42</v>
      </c>
      <c r="T92" s="459" t="s">
        <v>742</v>
      </c>
      <c r="U92" s="476" t="s">
        <v>827</v>
      </c>
      <c r="V92" s="476"/>
      <c r="W92" s="446" t="s">
        <v>42</v>
      </c>
      <c r="X92" s="472"/>
      <c r="Y92" s="143" t="s">
        <v>216</v>
      </c>
      <c r="Z92" s="142" t="s">
        <v>444</v>
      </c>
      <c r="AA92" s="181" t="s">
        <v>93</v>
      </c>
      <c r="AB92" s="401" t="s">
        <v>103</v>
      </c>
      <c r="AC92" s="295">
        <v>89</v>
      </c>
    </row>
    <row r="93" spans="1:29" ht="153.75" hidden="1" customHeight="1">
      <c r="A93" s="210" t="s">
        <v>189</v>
      </c>
      <c r="B93" s="208" t="s">
        <v>476</v>
      </c>
      <c r="C93" s="182" t="s">
        <v>413</v>
      </c>
      <c r="D93" s="410" t="s">
        <v>414</v>
      </c>
      <c r="E93" s="456" t="s">
        <v>805</v>
      </c>
      <c r="F93" s="144">
        <v>42644</v>
      </c>
      <c r="G93" s="416" t="s">
        <v>704</v>
      </c>
      <c r="H93" s="260" t="s">
        <v>498</v>
      </c>
      <c r="I93" s="148" t="s">
        <v>43</v>
      </c>
      <c r="J93" s="260"/>
      <c r="K93" s="416" t="s">
        <v>705</v>
      </c>
      <c r="L93" s="416"/>
      <c r="M93" s="416"/>
      <c r="N93" s="437" t="s">
        <v>42</v>
      </c>
      <c r="O93" s="416" t="s">
        <v>672</v>
      </c>
      <c r="P93" s="457" t="s">
        <v>758</v>
      </c>
      <c r="Q93" s="458"/>
      <c r="R93" s="458"/>
      <c r="S93" s="148" t="s">
        <v>42</v>
      </c>
      <c r="T93" s="459"/>
      <c r="U93" s="476" t="s">
        <v>828</v>
      </c>
      <c r="V93" s="476"/>
      <c r="W93" s="446" t="s">
        <v>42</v>
      </c>
      <c r="X93" s="472"/>
      <c r="Y93" s="143" t="s">
        <v>216</v>
      </c>
      <c r="Z93" s="142" t="s">
        <v>109</v>
      </c>
      <c r="AA93" s="181" t="s">
        <v>218</v>
      </c>
      <c r="AB93" s="401" t="s">
        <v>361</v>
      </c>
      <c r="AC93" s="295">
        <v>90</v>
      </c>
    </row>
    <row r="94" spans="1:29" ht="183.75" hidden="1" customHeight="1">
      <c r="A94" s="210" t="s">
        <v>190</v>
      </c>
      <c r="B94" s="208" t="s">
        <v>116</v>
      </c>
      <c r="C94" s="182" t="s">
        <v>415</v>
      </c>
      <c r="D94" s="410" t="s">
        <v>808</v>
      </c>
      <c r="E94" s="456" t="s">
        <v>806</v>
      </c>
      <c r="F94" s="144">
        <v>42795</v>
      </c>
      <c r="G94" s="416" t="s">
        <v>515</v>
      </c>
      <c r="H94" s="260" t="s">
        <v>516</v>
      </c>
      <c r="I94" s="148" t="s">
        <v>43</v>
      </c>
      <c r="J94" s="260"/>
      <c r="K94" s="416" t="s">
        <v>612</v>
      </c>
      <c r="L94" s="416"/>
      <c r="M94" s="416"/>
      <c r="N94" s="437" t="s">
        <v>43</v>
      </c>
      <c r="O94" s="416"/>
      <c r="P94" s="457" t="s">
        <v>726</v>
      </c>
      <c r="Q94" s="458"/>
      <c r="R94" s="458"/>
      <c r="S94" s="148" t="s">
        <v>42</v>
      </c>
      <c r="T94" s="459"/>
      <c r="U94" s="476" t="s">
        <v>827</v>
      </c>
      <c r="V94" s="476"/>
      <c r="W94" s="446" t="s">
        <v>42</v>
      </c>
      <c r="X94" s="472"/>
      <c r="Y94" s="143" t="s">
        <v>216</v>
      </c>
      <c r="Z94" s="142" t="s">
        <v>106</v>
      </c>
      <c r="AA94" s="181" t="s">
        <v>217</v>
      </c>
      <c r="AB94" s="403" t="s">
        <v>105</v>
      </c>
      <c r="AC94" s="295">
        <v>91</v>
      </c>
    </row>
    <row r="95" spans="1:29" ht="153.75" hidden="1" customHeight="1">
      <c r="A95" s="210" t="s">
        <v>191</v>
      </c>
      <c r="B95" s="208" t="s">
        <v>400</v>
      </c>
      <c r="C95" s="182" t="s">
        <v>416</v>
      </c>
      <c r="D95" s="410" t="s">
        <v>417</v>
      </c>
      <c r="E95" s="456" t="s">
        <v>805</v>
      </c>
      <c r="F95" s="144">
        <v>42552</v>
      </c>
      <c r="G95" s="416" t="s">
        <v>519</v>
      </c>
      <c r="H95" s="260" t="s">
        <v>520</v>
      </c>
      <c r="I95" s="148" t="s">
        <v>43</v>
      </c>
      <c r="J95" s="260"/>
      <c r="K95" s="416" t="s">
        <v>678</v>
      </c>
      <c r="L95" s="416"/>
      <c r="M95" s="416"/>
      <c r="N95" s="437" t="s">
        <v>42</v>
      </c>
      <c r="O95" s="416" t="s">
        <v>679</v>
      </c>
      <c r="P95" s="457" t="s">
        <v>758</v>
      </c>
      <c r="Q95" s="458"/>
      <c r="R95" s="458"/>
      <c r="S95" s="148" t="s">
        <v>42</v>
      </c>
      <c r="T95" s="459"/>
      <c r="U95" s="476" t="s">
        <v>828</v>
      </c>
      <c r="V95" s="476"/>
      <c r="W95" s="446" t="s">
        <v>42</v>
      </c>
      <c r="X95" s="472"/>
      <c r="Y95" s="143" t="s">
        <v>216</v>
      </c>
      <c r="Z95" s="142" t="s">
        <v>447</v>
      </c>
      <c r="AA95" s="181" t="s">
        <v>217</v>
      </c>
      <c r="AB95" s="403" t="s">
        <v>105</v>
      </c>
      <c r="AC95" s="295">
        <v>92</v>
      </c>
    </row>
    <row r="96" spans="1:29" ht="192" hidden="1" customHeight="1">
      <c r="A96" s="210" t="s">
        <v>192</v>
      </c>
      <c r="B96" s="208" t="s">
        <v>116</v>
      </c>
      <c r="C96" s="182" t="s">
        <v>592</v>
      </c>
      <c r="D96" s="410" t="s">
        <v>460</v>
      </c>
      <c r="E96" s="456" t="s">
        <v>805</v>
      </c>
      <c r="F96" s="144">
        <v>42795</v>
      </c>
      <c r="G96" s="416" t="s">
        <v>509</v>
      </c>
      <c r="H96" s="260" t="s">
        <v>517</v>
      </c>
      <c r="I96" s="148" t="s">
        <v>43</v>
      </c>
      <c r="J96" s="260"/>
      <c r="K96" s="416" t="s">
        <v>616</v>
      </c>
      <c r="L96" s="416" t="s">
        <v>617</v>
      </c>
      <c r="M96" s="416"/>
      <c r="N96" s="437" t="s">
        <v>43</v>
      </c>
      <c r="O96" s="416" t="s">
        <v>619</v>
      </c>
      <c r="P96" s="457" t="s">
        <v>732</v>
      </c>
      <c r="Q96" s="458" t="s">
        <v>735</v>
      </c>
      <c r="R96" s="458" t="s">
        <v>733</v>
      </c>
      <c r="S96" s="148" t="s">
        <v>43</v>
      </c>
      <c r="T96" s="459"/>
      <c r="U96" s="476" t="s">
        <v>874</v>
      </c>
      <c r="V96" s="476" t="s">
        <v>871</v>
      </c>
      <c r="W96" s="446" t="s">
        <v>84</v>
      </c>
      <c r="X96" s="472"/>
      <c r="Y96" s="143" t="s">
        <v>216</v>
      </c>
      <c r="Z96" s="142" t="s">
        <v>106</v>
      </c>
      <c r="AA96" s="181" t="s">
        <v>217</v>
      </c>
      <c r="AB96" s="401" t="s">
        <v>105</v>
      </c>
      <c r="AC96" s="295">
        <v>93</v>
      </c>
    </row>
    <row r="97" spans="1:29" ht="153.75" hidden="1" customHeight="1">
      <c r="A97" s="210" t="s">
        <v>193</v>
      </c>
      <c r="B97" s="208" t="s">
        <v>116</v>
      </c>
      <c r="C97" s="182" t="s">
        <v>593</v>
      </c>
      <c r="D97" s="411">
        <v>0.52</v>
      </c>
      <c r="E97" s="456" t="s">
        <v>805</v>
      </c>
      <c r="F97" s="144">
        <v>42795</v>
      </c>
      <c r="G97" s="416" t="s">
        <v>510</v>
      </c>
      <c r="H97" s="260" t="s">
        <v>518</v>
      </c>
      <c r="I97" s="148" t="s">
        <v>43</v>
      </c>
      <c r="J97" s="260"/>
      <c r="K97" s="416" t="s">
        <v>615</v>
      </c>
      <c r="L97" s="416" t="s">
        <v>618</v>
      </c>
      <c r="M97" s="416"/>
      <c r="N97" s="437" t="s">
        <v>43</v>
      </c>
      <c r="O97" s="416" t="s">
        <v>620</v>
      </c>
      <c r="P97" s="457" t="s">
        <v>731</v>
      </c>
      <c r="Q97" s="458" t="s">
        <v>736</v>
      </c>
      <c r="R97" s="458" t="s">
        <v>734</v>
      </c>
      <c r="S97" s="148" t="s">
        <v>43</v>
      </c>
      <c r="T97" s="459"/>
      <c r="U97" s="476" t="s">
        <v>873</v>
      </c>
      <c r="V97" s="476" t="s">
        <v>872</v>
      </c>
      <c r="W97" s="446" t="s">
        <v>84</v>
      </c>
      <c r="X97" s="472"/>
      <c r="Y97" s="143" t="s">
        <v>216</v>
      </c>
      <c r="Z97" s="142" t="s">
        <v>106</v>
      </c>
      <c r="AA97" s="181" t="s">
        <v>217</v>
      </c>
      <c r="AB97" s="401" t="s">
        <v>105</v>
      </c>
      <c r="AC97" s="295">
        <v>94</v>
      </c>
    </row>
    <row r="98" spans="1:29" ht="233.25" hidden="1" customHeight="1">
      <c r="A98" s="210" t="s">
        <v>194</v>
      </c>
      <c r="B98" s="208" t="s">
        <v>116</v>
      </c>
      <c r="C98" s="182" t="s">
        <v>594</v>
      </c>
      <c r="D98" s="411">
        <v>0</v>
      </c>
      <c r="E98" s="456" t="s">
        <v>805</v>
      </c>
      <c r="F98" s="144">
        <v>42795</v>
      </c>
      <c r="G98" s="416" t="s">
        <v>475</v>
      </c>
      <c r="H98" s="260"/>
      <c r="I98" s="148" t="s">
        <v>45</v>
      </c>
      <c r="J98" s="260"/>
      <c r="K98" s="416" t="s">
        <v>608</v>
      </c>
      <c r="L98" s="416"/>
      <c r="M98" s="416"/>
      <c r="N98" s="437" t="s">
        <v>43</v>
      </c>
      <c r="O98" s="416"/>
      <c r="P98" s="463">
        <v>0</v>
      </c>
      <c r="Q98" s="458" t="s">
        <v>763</v>
      </c>
      <c r="R98" s="458"/>
      <c r="S98" s="148" t="s">
        <v>43</v>
      </c>
      <c r="T98" s="459"/>
      <c r="U98" s="479">
        <v>0</v>
      </c>
      <c r="V98" s="476"/>
      <c r="W98" s="446" t="s">
        <v>42</v>
      </c>
      <c r="X98" s="472"/>
      <c r="Y98" s="143" t="s">
        <v>216</v>
      </c>
      <c r="Z98" s="142" t="s">
        <v>106</v>
      </c>
      <c r="AA98" s="181" t="s">
        <v>217</v>
      </c>
      <c r="AB98" s="401" t="s">
        <v>105</v>
      </c>
      <c r="AC98" s="295">
        <v>95</v>
      </c>
    </row>
    <row r="99" spans="1:29" ht="153.75" hidden="1" customHeight="1">
      <c r="A99" s="210" t="s">
        <v>195</v>
      </c>
      <c r="B99" s="208" t="s">
        <v>116</v>
      </c>
      <c r="C99" s="182" t="s">
        <v>597</v>
      </c>
      <c r="D99" s="411">
        <v>0.01</v>
      </c>
      <c r="E99" s="456" t="s">
        <v>805</v>
      </c>
      <c r="F99" s="144">
        <v>42795</v>
      </c>
      <c r="G99" s="416" t="s">
        <v>475</v>
      </c>
      <c r="H99" s="260"/>
      <c r="I99" s="148" t="s">
        <v>45</v>
      </c>
      <c r="J99" s="260"/>
      <c r="K99" s="416" t="s">
        <v>609</v>
      </c>
      <c r="L99" s="416"/>
      <c r="M99" s="416"/>
      <c r="N99" s="437" t="s">
        <v>43</v>
      </c>
      <c r="O99" s="416"/>
      <c r="P99" s="463">
        <v>0</v>
      </c>
      <c r="Q99" s="458" t="s">
        <v>763</v>
      </c>
      <c r="R99" s="458"/>
      <c r="S99" s="148" t="s">
        <v>43</v>
      </c>
      <c r="T99" s="459"/>
      <c r="U99" s="479">
        <v>0</v>
      </c>
      <c r="V99" s="476"/>
      <c r="W99" s="446" t="s">
        <v>42</v>
      </c>
      <c r="X99" s="472"/>
      <c r="Y99" s="143" t="s">
        <v>216</v>
      </c>
      <c r="Z99" s="142" t="s">
        <v>106</v>
      </c>
      <c r="AA99" s="181" t="s">
        <v>217</v>
      </c>
      <c r="AB99" s="401" t="s">
        <v>105</v>
      </c>
      <c r="AC99" s="295">
        <v>96</v>
      </c>
    </row>
    <row r="100" spans="1:29" ht="153.75" hidden="1" customHeight="1">
      <c r="A100" s="210" t="s">
        <v>196</v>
      </c>
      <c r="B100" s="208" t="s">
        <v>116</v>
      </c>
      <c r="C100" s="182" t="s">
        <v>596</v>
      </c>
      <c r="D100" s="411">
        <v>0</v>
      </c>
      <c r="E100" s="456" t="s">
        <v>805</v>
      </c>
      <c r="F100" s="144">
        <v>42795</v>
      </c>
      <c r="G100" s="416" t="s">
        <v>475</v>
      </c>
      <c r="H100" s="260"/>
      <c r="I100" s="148" t="s">
        <v>45</v>
      </c>
      <c r="J100" s="260"/>
      <c r="K100" s="416" t="s">
        <v>608</v>
      </c>
      <c r="L100" s="416"/>
      <c r="M100" s="416"/>
      <c r="N100" s="437" t="s">
        <v>43</v>
      </c>
      <c r="O100" s="416"/>
      <c r="P100" s="463">
        <v>0</v>
      </c>
      <c r="Q100" s="458" t="s">
        <v>763</v>
      </c>
      <c r="R100" s="458"/>
      <c r="S100" s="148" t="s">
        <v>43</v>
      </c>
      <c r="T100" s="459"/>
      <c r="U100" s="479">
        <v>0</v>
      </c>
      <c r="V100" s="476"/>
      <c r="W100" s="446" t="s">
        <v>42</v>
      </c>
      <c r="X100" s="472"/>
      <c r="Y100" s="143" t="s">
        <v>216</v>
      </c>
      <c r="Z100" s="142" t="s">
        <v>106</v>
      </c>
      <c r="AA100" s="181" t="s">
        <v>217</v>
      </c>
      <c r="AB100" s="401" t="s">
        <v>105</v>
      </c>
      <c r="AC100" s="295">
        <v>97</v>
      </c>
    </row>
    <row r="101" spans="1:29" ht="153.75" hidden="1" customHeight="1">
      <c r="A101" s="210" t="s">
        <v>197</v>
      </c>
      <c r="B101" s="208" t="s">
        <v>116</v>
      </c>
      <c r="C101" s="182" t="s">
        <v>595</v>
      </c>
      <c r="D101" s="411">
        <v>0</v>
      </c>
      <c r="E101" s="456" t="s">
        <v>805</v>
      </c>
      <c r="F101" s="144">
        <v>42795</v>
      </c>
      <c r="G101" s="416" t="s">
        <v>475</v>
      </c>
      <c r="H101" s="260"/>
      <c r="I101" s="148" t="s">
        <v>45</v>
      </c>
      <c r="J101" s="260"/>
      <c r="K101" s="416" t="s">
        <v>608</v>
      </c>
      <c r="L101" s="416"/>
      <c r="M101" s="416"/>
      <c r="N101" s="437" t="s">
        <v>43</v>
      </c>
      <c r="O101" s="416"/>
      <c r="P101" s="463">
        <v>0</v>
      </c>
      <c r="Q101" s="458" t="s">
        <v>763</v>
      </c>
      <c r="R101" s="458"/>
      <c r="S101" s="148" t="s">
        <v>43</v>
      </c>
      <c r="T101" s="459"/>
      <c r="U101" s="479">
        <v>0</v>
      </c>
      <c r="V101" s="476"/>
      <c r="W101" s="446" t="s">
        <v>42</v>
      </c>
      <c r="X101" s="472"/>
      <c r="Y101" s="143" t="s">
        <v>216</v>
      </c>
      <c r="Z101" s="142" t="s">
        <v>106</v>
      </c>
      <c r="AA101" s="181" t="s">
        <v>217</v>
      </c>
      <c r="AB101" s="401" t="s">
        <v>105</v>
      </c>
      <c r="AC101" s="295">
        <v>98</v>
      </c>
    </row>
    <row r="102" spans="1:29" ht="153.75" hidden="1" customHeight="1">
      <c r="A102" s="210" t="s">
        <v>198</v>
      </c>
      <c r="B102" s="208" t="s">
        <v>116</v>
      </c>
      <c r="C102" s="182" t="s">
        <v>418</v>
      </c>
      <c r="D102" s="410" t="s">
        <v>419</v>
      </c>
      <c r="E102" s="456" t="s">
        <v>805</v>
      </c>
      <c r="F102" s="144">
        <v>42795</v>
      </c>
      <c r="G102" s="416" t="s">
        <v>811</v>
      </c>
      <c r="H102" s="260"/>
      <c r="I102" s="148" t="s">
        <v>27</v>
      </c>
      <c r="J102" s="260" t="s">
        <v>584</v>
      </c>
      <c r="K102" s="416" t="s">
        <v>693</v>
      </c>
      <c r="L102" s="418" t="s">
        <v>692</v>
      </c>
      <c r="M102" s="418"/>
      <c r="N102" s="437" t="s">
        <v>27</v>
      </c>
      <c r="O102" s="416"/>
      <c r="P102" s="457" t="s">
        <v>727</v>
      </c>
      <c r="Q102" s="460" t="s">
        <v>728</v>
      </c>
      <c r="R102" s="460"/>
      <c r="S102" s="148" t="s">
        <v>27</v>
      </c>
      <c r="T102" s="459"/>
      <c r="U102" s="476" t="s">
        <v>810</v>
      </c>
      <c r="V102" s="479" t="s">
        <v>839</v>
      </c>
      <c r="W102" s="446" t="s">
        <v>42</v>
      </c>
      <c r="X102" s="472"/>
      <c r="Y102" s="143" t="s">
        <v>216</v>
      </c>
      <c r="Z102" s="142" t="s">
        <v>106</v>
      </c>
      <c r="AA102" s="181" t="s">
        <v>217</v>
      </c>
      <c r="AB102" s="401" t="s">
        <v>105</v>
      </c>
      <c r="AC102" s="295">
        <v>99</v>
      </c>
    </row>
    <row r="103" spans="1:29" ht="153.75" hidden="1" customHeight="1">
      <c r="A103" s="210" t="s">
        <v>199</v>
      </c>
      <c r="B103" s="208" t="s">
        <v>118</v>
      </c>
      <c r="C103" s="182" t="s">
        <v>420</v>
      </c>
      <c r="D103" s="410" t="s">
        <v>384</v>
      </c>
      <c r="E103" s="456" t="s">
        <v>805</v>
      </c>
      <c r="F103" s="293">
        <v>42491</v>
      </c>
      <c r="G103" s="416" t="s">
        <v>484</v>
      </c>
      <c r="H103" s="260"/>
      <c r="I103" s="148" t="s">
        <v>42</v>
      </c>
      <c r="J103" s="260"/>
      <c r="K103" s="416" t="s">
        <v>632</v>
      </c>
      <c r="L103" s="416"/>
      <c r="M103" s="416"/>
      <c r="N103" s="437" t="s">
        <v>42</v>
      </c>
      <c r="O103" s="416"/>
      <c r="P103" s="457" t="s">
        <v>787</v>
      </c>
      <c r="Q103" s="458"/>
      <c r="R103" s="458"/>
      <c r="S103" s="148" t="s">
        <v>42</v>
      </c>
      <c r="T103" s="459"/>
      <c r="U103" s="476" t="s">
        <v>829</v>
      </c>
      <c r="V103" s="476"/>
      <c r="W103" s="446" t="s">
        <v>42</v>
      </c>
      <c r="X103" s="472"/>
      <c r="Y103" s="143" t="s">
        <v>216</v>
      </c>
      <c r="Z103" s="142" t="s">
        <v>382</v>
      </c>
      <c r="AA103" s="181" t="s">
        <v>79</v>
      </c>
      <c r="AB103" s="401" t="s">
        <v>361</v>
      </c>
      <c r="AC103" s="295">
        <v>100</v>
      </c>
    </row>
    <row r="104" spans="1:29" ht="153.75" hidden="1" customHeight="1">
      <c r="A104" s="210" t="s">
        <v>200</v>
      </c>
      <c r="B104" s="208" t="s">
        <v>118</v>
      </c>
      <c r="C104" s="182" t="s">
        <v>421</v>
      </c>
      <c r="D104" s="410" t="s">
        <v>422</v>
      </c>
      <c r="E104" s="456" t="s">
        <v>805</v>
      </c>
      <c r="F104" s="144">
        <v>42522</v>
      </c>
      <c r="G104" s="416" t="s">
        <v>485</v>
      </c>
      <c r="H104" s="260"/>
      <c r="I104" s="148" t="s">
        <v>42</v>
      </c>
      <c r="J104" s="260"/>
      <c r="K104" s="416" t="s">
        <v>632</v>
      </c>
      <c r="L104" s="416"/>
      <c r="M104" s="416"/>
      <c r="N104" s="437" t="s">
        <v>42</v>
      </c>
      <c r="O104" s="416"/>
      <c r="P104" s="457" t="s">
        <v>787</v>
      </c>
      <c r="Q104" s="458"/>
      <c r="R104" s="458"/>
      <c r="S104" s="148" t="s">
        <v>42</v>
      </c>
      <c r="T104" s="459"/>
      <c r="U104" s="476" t="s">
        <v>829</v>
      </c>
      <c r="V104" s="476"/>
      <c r="W104" s="446" t="s">
        <v>42</v>
      </c>
      <c r="X104" s="472"/>
      <c r="Y104" s="143" t="s">
        <v>216</v>
      </c>
      <c r="Z104" s="142" t="s">
        <v>382</v>
      </c>
      <c r="AA104" s="181" t="s">
        <v>79</v>
      </c>
      <c r="AB104" s="401" t="s">
        <v>361</v>
      </c>
      <c r="AC104" s="295">
        <v>101</v>
      </c>
    </row>
    <row r="105" spans="1:29" ht="153.75" hidden="1" customHeight="1">
      <c r="A105" s="210" t="s">
        <v>201</v>
      </c>
      <c r="B105" s="208" t="s">
        <v>118</v>
      </c>
      <c r="C105" s="182" t="s">
        <v>423</v>
      </c>
      <c r="D105" s="410" t="s">
        <v>424</v>
      </c>
      <c r="E105" s="456" t="s">
        <v>805</v>
      </c>
      <c r="F105" s="144">
        <v>42705</v>
      </c>
      <c r="G105" s="416"/>
      <c r="H105" s="260"/>
      <c r="I105" s="148" t="s">
        <v>45</v>
      </c>
      <c r="J105" s="260"/>
      <c r="K105" s="416" t="s">
        <v>625</v>
      </c>
      <c r="L105" s="416"/>
      <c r="M105" s="416"/>
      <c r="N105" s="437" t="s">
        <v>43</v>
      </c>
      <c r="O105" s="416"/>
      <c r="P105" s="457" t="s">
        <v>755</v>
      </c>
      <c r="Q105" s="458"/>
      <c r="R105" s="458"/>
      <c r="S105" s="148" t="s">
        <v>42</v>
      </c>
      <c r="T105" s="459"/>
      <c r="U105" s="476" t="s">
        <v>827</v>
      </c>
      <c r="V105" s="476"/>
      <c r="W105" s="446" t="s">
        <v>42</v>
      </c>
      <c r="X105" s="472"/>
      <c r="Y105" s="143" t="s">
        <v>216</v>
      </c>
      <c r="Z105" s="142" t="s">
        <v>382</v>
      </c>
      <c r="AA105" s="181" t="s">
        <v>79</v>
      </c>
      <c r="AB105" s="401" t="s">
        <v>361</v>
      </c>
      <c r="AC105" s="295">
        <v>102</v>
      </c>
    </row>
    <row r="106" spans="1:29" ht="153.75" hidden="1" customHeight="1">
      <c r="A106" s="210" t="s">
        <v>202</v>
      </c>
      <c r="B106" s="208" t="s">
        <v>118</v>
      </c>
      <c r="C106" s="182" t="s">
        <v>425</v>
      </c>
      <c r="D106" s="410" t="s">
        <v>426</v>
      </c>
      <c r="E106" s="456" t="s">
        <v>805</v>
      </c>
      <c r="F106" s="144">
        <v>42522</v>
      </c>
      <c r="G106" s="416" t="s">
        <v>486</v>
      </c>
      <c r="H106" s="260"/>
      <c r="I106" s="148" t="s">
        <v>42</v>
      </c>
      <c r="J106" s="260"/>
      <c r="K106" s="416" t="s">
        <v>632</v>
      </c>
      <c r="L106" s="416"/>
      <c r="M106" s="416"/>
      <c r="N106" s="437" t="s">
        <v>42</v>
      </c>
      <c r="O106" s="416"/>
      <c r="P106" s="457" t="s">
        <v>787</v>
      </c>
      <c r="Q106" s="458"/>
      <c r="R106" s="458"/>
      <c r="S106" s="148" t="s">
        <v>42</v>
      </c>
      <c r="T106" s="459"/>
      <c r="U106" s="476" t="s">
        <v>829</v>
      </c>
      <c r="V106" s="476"/>
      <c r="W106" s="446" t="s">
        <v>42</v>
      </c>
      <c r="X106" s="472"/>
      <c r="Y106" s="143" t="s">
        <v>216</v>
      </c>
      <c r="Z106" s="142" t="s">
        <v>448</v>
      </c>
      <c r="AA106" s="181" t="s">
        <v>79</v>
      </c>
      <c r="AB106" s="401" t="s">
        <v>105</v>
      </c>
      <c r="AC106" s="295">
        <v>103</v>
      </c>
    </row>
    <row r="107" spans="1:29" ht="153.75" hidden="1" customHeight="1">
      <c r="A107" s="210" t="s">
        <v>203</v>
      </c>
      <c r="B107" s="208" t="s">
        <v>118</v>
      </c>
      <c r="C107" s="182" t="s">
        <v>427</v>
      </c>
      <c r="D107" s="410" t="s">
        <v>428</v>
      </c>
      <c r="E107" s="456" t="s">
        <v>805</v>
      </c>
      <c r="F107" s="144">
        <v>42522</v>
      </c>
      <c r="G107" s="416" t="s">
        <v>567</v>
      </c>
      <c r="H107" s="260"/>
      <c r="I107" s="148" t="s">
        <v>42</v>
      </c>
      <c r="J107" s="260"/>
      <c r="K107" s="416" t="s">
        <v>632</v>
      </c>
      <c r="L107" s="416"/>
      <c r="M107" s="416"/>
      <c r="N107" s="437" t="s">
        <v>42</v>
      </c>
      <c r="O107" s="416"/>
      <c r="P107" s="457" t="s">
        <v>787</v>
      </c>
      <c r="Q107" s="458"/>
      <c r="R107" s="458"/>
      <c r="S107" s="148" t="s">
        <v>42</v>
      </c>
      <c r="T107" s="459"/>
      <c r="U107" s="476" t="s">
        <v>829</v>
      </c>
      <c r="V107" s="476"/>
      <c r="W107" s="446" t="s">
        <v>42</v>
      </c>
      <c r="X107" s="472"/>
      <c r="Y107" s="143" t="s">
        <v>216</v>
      </c>
      <c r="Z107" s="142" t="s">
        <v>448</v>
      </c>
      <c r="AA107" s="181" t="s">
        <v>79</v>
      </c>
      <c r="AB107" s="401" t="s">
        <v>105</v>
      </c>
      <c r="AC107" s="295">
        <v>104</v>
      </c>
    </row>
    <row r="108" spans="1:29" ht="153.75" hidden="1" customHeight="1">
      <c r="A108" s="210" t="s">
        <v>204</v>
      </c>
      <c r="B108" s="208" t="s">
        <v>809</v>
      </c>
      <c r="C108" s="182" t="s">
        <v>429</v>
      </c>
      <c r="D108" s="410" t="s">
        <v>430</v>
      </c>
      <c r="E108" s="456" t="s">
        <v>805</v>
      </c>
      <c r="F108" s="144">
        <v>42795</v>
      </c>
      <c r="G108" s="416" t="s">
        <v>568</v>
      </c>
      <c r="H108" s="260"/>
      <c r="I108" s="148" t="s">
        <v>43</v>
      </c>
      <c r="J108" s="260"/>
      <c r="K108" s="416" t="s">
        <v>607</v>
      </c>
      <c r="L108" s="416"/>
      <c r="M108" s="416"/>
      <c r="N108" s="437" t="s">
        <v>43</v>
      </c>
      <c r="O108" s="416"/>
      <c r="P108" s="457" t="s">
        <v>738</v>
      </c>
      <c r="Q108" s="458"/>
      <c r="R108" s="458"/>
      <c r="S108" s="148" t="s">
        <v>43</v>
      </c>
      <c r="T108" s="459"/>
      <c r="U108" s="476" t="s">
        <v>887</v>
      </c>
      <c r="V108" s="476"/>
      <c r="W108" s="446" t="s">
        <v>42</v>
      </c>
      <c r="X108" s="476" t="s">
        <v>886</v>
      </c>
      <c r="Y108" s="143" t="s">
        <v>216</v>
      </c>
      <c r="Z108" s="142" t="s">
        <v>110</v>
      </c>
      <c r="AA108" s="181" t="s">
        <v>218</v>
      </c>
      <c r="AB108" s="401" t="s">
        <v>105</v>
      </c>
      <c r="AC108" s="295">
        <v>105</v>
      </c>
    </row>
    <row r="109" spans="1:29" ht="153.75" hidden="1" customHeight="1">
      <c r="A109" s="210" t="s">
        <v>205</v>
      </c>
      <c r="B109" s="208" t="s">
        <v>809</v>
      </c>
      <c r="C109" s="182" t="s">
        <v>431</v>
      </c>
      <c r="D109" s="410" t="s">
        <v>432</v>
      </c>
      <c r="E109" s="456" t="s">
        <v>805</v>
      </c>
      <c r="F109" s="144">
        <v>42795</v>
      </c>
      <c r="G109" s="416" t="s">
        <v>541</v>
      </c>
      <c r="H109" s="260"/>
      <c r="I109" s="148" t="s">
        <v>43</v>
      </c>
      <c r="J109" s="260"/>
      <c r="K109" s="416" t="s">
        <v>606</v>
      </c>
      <c r="L109" s="416"/>
      <c r="M109" s="418"/>
      <c r="N109" s="437" t="s">
        <v>42</v>
      </c>
      <c r="O109" s="416"/>
      <c r="P109" s="457" t="s">
        <v>758</v>
      </c>
      <c r="Q109" s="458"/>
      <c r="R109" s="458"/>
      <c r="S109" s="458" t="s">
        <v>42</v>
      </c>
      <c r="T109" s="458"/>
      <c r="U109" s="458" t="s">
        <v>828</v>
      </c>
      <c r="V109" s="476"/>
      <c r="W109" s="446" t="s">
        <v>42</v>
      </c>
      <c r="X109" s="472"/>
      <c r="Y109" s="143" t="s">
        <v>216</v>
      </c>
      <c r="Z109" s="142" t="s">
        <v>110</v>
      </c>
      <c r="AA109" s="181" t="s">
        <v>218</v>
      </c>
      <c r="AB109" s="401" t="s">
        <v>105</v>
      </c>
      <c r="AC109" s="295">
        <v>106</v>
      </c>
    </row>
    <row r="110" spans="1:29" ht="153.75" hidden="1" customHeight="1">
      <c r="A110" s="210" t="s">
        <v>206</v>
      </c>
      <c r="B110" s="208" t="s">
        <v>114</v>
      </c>
      <c r="C110" s="182" t="s">
        <v>107</v>
      </c>
      <c r="D110" s="410" t="s">
        <v>433</v>
      </c>
      <c r="E110" s="456" t="s">
        <v>805</v>
      </c>
      <c r="F110" s="144">
        <v>42795</v>
      </c>
      <c r="G110" s="416" t="s">
        <v>569</v>
      </c>
      <c r="H110" s="259">
        <v>0.85</v>
      </c>
      <c r="I110" s="148" t="s">
        <v>45</v>
      </c>
      <c r="J110" s="260" t="s">
        <v>529</v>
      </c>
      <c r="K110" s="416" t="s">
        <v>709</v>
      </c>
      <c r="L110" s="416" t="s">
        <v>622</v>
      </c>
      <c r="M110" s="418">
        <v>0.85</v>
      </c>
      <c r="N110" s="437" t="s">
        <v>43</v>
      </c>
      <c r="O110" s="416" t="s">
        <v>661</v>
      </c>
      <c r="P110" s="457" t="s">
        <v>749</v>
      </c>
      <c r="Q110" s="458" t="s">
        <v>752</v>
      </c>
      <c r="R110" s="458" t="s">
        <v>710</v>
      </c>
      <c r="S110" s="148" t="s">
        <v>43</v>
      </c>
      <c r="T110" s="459"/>
      <c r="U110" s="476" t="s">
        <v>824</v>
      </c>
      <c r="V110" s="476" t="s">
        <v>825</v>
      </c>
      <c r="W110" s="446" t="s">
        <v>42</v>
      </c>
      <c r="X110" s="473" t="s">
        <v>826</v>
      </c>
      <c r="Y110" s="143" t="s">
        <v>216</v>
      </c>
      <c r="Z110" s="142" t="s">
        <v>107</v>
      </c>
      <c r="AA110" s="181" t="s">
        <v>218</v>
      </c>
      <c r="AB110" s="401" t="s">
        <v>103</v>
      </c>
      <c r="AC110" s="295">
        <v>107</v>
      </c>
    </row>
    <row r="111" spans="1:29" ht="153.75" hidden="1" customHeight="1">
      <c r="A111" s="210" t="s">
        <v>207</v>
      </c>
      <c r="B111" s="208" t="s">
        <v>125</v>
      </c>
      <c r="C111" s="182" t="s">
        <v>107</v>
      </c>
      <c r="D111" s="410" t="s">
        <v>434</v>
      </c>
      <c r="E111" s="456" t="s">
        <v>805</v>
      </c>
      <c r="F111" s="144">
        <v>42675</v>
      </c>
      <c r="G111" s="416" t="s">
        <v>548</v>
      </c>
      <c r="H111" s="260"/>
      <c r="I111" s="148" t="s">
        <v>43</v>
      </c>
      <c r="J111" s="260"/>
      <c r="K111" s="416" t="s">
        <v>688</v>
      </c>
      <c r="L111" s="416"/>
      <c r="M111" s="416"/>
      <c r="N111" s="437" t="s">
        <v>42</v>
      </c>
      <c r="O111" s="416"/>
      <c r="P111" s="457" t="s">
        <v>758</v>
      </c>
      <c r="Q111" s="458"/>
      <c r="R111" s="458"/>
      <c r="S111" s="148" t="s">
        <v>42</v>
      </c>
      <c r="T111" s="459"/>
      <c r="U111" s="481" t="s">
        <v>828</v>
      </c>
      <c r="V111" s="479"/>
      <c r="W111" s="446" t="s">
        <v>42</v>
      </c>
      <c r="X111" s="472"/>
      <c r="Y111" s="143" t="s">
        <v>216</v>
      </c>
      <c r="Z111" s="142" t="s">
        <v>107</v>
      </c>
      <c r="AA111" s="181" t="s">
        <v>218</v>
      </c>
      <c r="AB111" s="401" t="s">
        <v>103</v>
      </c>
      <c r="AC111" s="295">
        <v>108</v>
      </c>
    </row>
    <row r="112" spans="1:29" ht="153.75" hidden="1" customHeight="1">
      <c r="A112" s="210" t="s">
        <v>208</v>
      </c>
      <c r="B112" s="208" t="s">
        <v>401</v>
      </c>
      <c r="C112" s="182" t="s">
        <v>435</v>
      </c>
      <c r="D112" s="410" t="s">
        <v>436</v>
      </c>
      <c r="E112" s="456" t="s">
        <v>805</v>
      </c>
      <c r="F112" s="144">
        <v>42583</v>
      </c>
      <c r="G112" s="416" t="s">
        <v>471</v>
      </c>
      <c r="H112" s="260" t="s">
        <v>472</v>
      </c>
      <c r="I112" s="148" t="s">
        <v>43</v>
      </c>
      <c r="J112" s="260"/>
      <c r="K112" s="416" t="s">
        <v>656</v>
      </c>
      <c r="L112" s="416"/>
      <c r="M112" s="416"/>
      <c r="N112" s="437" t="s">
        <v>42</v>
      </c>
      <c r="O112" s="416"/>
      <c r="P112" s="457" t="s">
        <v>758</v>
      </c>
      <c r="Q112" s="458"/>
      <c r="R112" s="458"/>
      <c r="S112" s="148" t="s">
        <v>42</v>
      </c>
      <c r="T112" s="458" t="s">
        <v>725</v>
      </c>
      <c r="U112" s="481" t="s">
        <v>828</v>
      </c>
      <c r="V112" s="479"/>
      <c r="W112" s="446" t="s">
        <v>42</v>
      </c>
      <c r="X112" s="472"/>
      <c r="Y112" s="143" t="s">
        <v>216</v>
      </c>
      <c r="Z112" s="142" t="s">
        <v>449</v>
      </c>
      <c r="AA112" s="181" t="s">
        <v>6</v>
      </c>
      <c r="AB112" s="401" t="s">
        <v>103</v>
      </c>
      <c r="AC112" s="295">
        <v>109</v>
      </c>
    </row>
    <row r="113" spans="1:29" ht="156" hidden="1" customHeight="1">
      <c r="A113" s="210" t="s">
        <v>209</v>
      </c>
      <c r="B113" s="208" t="s">
        <v>401</v>
      </c>
      <c r="C113" s="182" t="s">
        <v>435</v>
      </c>
      <c r="D113" s="410" t="s">
        <v>437</v>
      </c>
      <c r="E113" s="456" t="s">
        <v>805</v>
      </c>
      <c r="F113" s="144">
        <v>42644</v>
      </c>
      <c r="G113" s="416" t="s">
        <v>473</v>
      </c>
      <c r="H113" s="260" t="s">
        <v>474</v>
      </c>
      <c r="I113" s="148" t="s">
        <v>43</v>
      </c>
      <c r="J113" s="260"/>
      <c r="K113" s="416" t="s">
        <v>657</v>
      </c>
      <c r="L113" s="416"/>
      <c r="M113" s="416"/>
      <c r="N113" s="437" t="s">
        <v>42</v>
      </c>
      <c r="O113" s="416" t="s">
        <v>658</v>
      </c>
      <c r="P113" s="457" t="s">
        <v>758</v>
      </c>
      <c r="Q113" s="458"/>
      <c r="R113" s="458"/>
      <c r="S113" s="148" t="s">
        <v>42</v>
      </c>
      <c r="T113" s="458" t="s">
        <v>764</v>
      </c>
      <c r="U113" s="481" t="s">
        <v>828</v>
      </c>
      <c r="V113" s="479"/>
      <c r="W113" s="446" t="s">
        <v>42</v>
      </c>
      <c r="X113" s="472"/>
      <c r="Y113" s="143" t="s">
        <v>216</v>
      </c>
      <c r="Z113" s="142" t="s">
        <v>449</v>
      </c>
      <c r="AA113" s="181" t="s">
        <v>6</v>
      </c>
      <c r="AB113" s="401" t="s">
        <v>103</v>
      </c>
      <c r="AC113" s="295">
        <v>110</v>
      </c>
    </row>
    <row r="114" spans="1:29" ht="156" hidden="1" customHeight="1">
      <c r="A114" s="210" t="s">
        <v>210</v>
      </c>
      <c r="B114" s="208" t="s">
        <v>125</v>
      </c>
      <c r="C114" s="182" t="s">
        <v>438</v>
      </c>
      <c r="D114" s="410" t="s">
        <v>439</v>
      </c>
      <c r="E114" s="456" t="s">
        <v>805</v>
      </c>
      <c r="F114" s="144">
        <v>42795</v>
      </c>
      <c r="G114" s="416" t="s">
        <v>480</v>
      </c>
      <c r="H114" s="260" t="s">
        <v>580</v>
      </c>
      <c r="I114" s="148" t="s">
        <v>42</v>
      </c>
      <c r="J114" s="260"/>
      <c r="K114" s="416" t="s">
        <v>632</v>
      </c>
      <c r="L114" s="416"/>
      <c r="M114" s="416"/>
      <c r="N114" s="437" t="s">
        <v>42</v>
      </c>
      <c r="O114" s="416" t="s">
        <v>660</v>
      </c>
      <c r="P114" s="457" t="s">
        <v>787</v>
      </c>
      <c r="Q114" s="458"/>
      <c r="R114" s="458"/>
      <c r="S114" s="148" t="s">
        <v>42</v>
      </c>
      <c r="T114" s="459"/>
      <c r="U114" s="481" t="s">
        <v>829</v>
      </c>
      <c r="V114" s="479"/>
      <c r="W114" s="446" t="s">
        <v>42</v>
      </c>
      <c r="X114" s="472"/>
      <c r="Y114" s="143" t="s">
        <v>216</v>
      </c>
      <c r="Z114" s="142" t="s">
        <v>108</v>
      </c>
      <c r="AA114" s="181" t="s">
        <v>6</v>
      </c>
      <c r="AB114" s="401" t="s">
        <v>103</v>
      </c>
      <c r="AC114" s="295">
        <v>111</v>
      </c>
    </row>
    <row r="115" spans="1:29" ht="156" hidden="1" customHeight="1">
      <c r="A115" s="210" t="s">
        <v>211</v>
      </c>
      <c r="B115" s="208" t="s">
        <v>125</v>
      </c>
      <c r="C115" s="180" t="s">
        <v>438</v>
      </c>
      <c r="D115" s="410" t="s">
        <v>440</v>
      </c>
      <c r="E115" s="456" t="s">
        <v>805</v>
      </c>
      <c r="F115" s="144">
        <v>42491</v>
      </c>
      <c r="G115" s="416" t="s">
        <v>478</v>
      </c>
      <c r="H115" s="260" t="s">
        <v>479</v>
      </c>
      <c r="I115" s="148" t="s">
        <v>42</v>
      </c>
      <c r="J115" s="260"/>
      <c r="K115" s="416" t="s">
        <v>632</v>
      </c>
      <c r="L115" s="416"/>
      <c r="M115" s="440"/>
      <c r="N115" s="437" t="s">
        <v>42</v>
      </c>
      <c r="O115" s="440" t="s">
        <v>660</v>
      </c>
      <c r="P115" s="457" t="s">
        <v>787</v>
      </c>
      <c r="Q115" s="276"/>
      <c r="R115" s="276"/>
      <c r="S115" s="148" t="s">
        <v>42</v>
      </c>
      <c r="T115" s="469"/>
      <c r="U115" s="481" t="s">
        <v>829</v>
      </c>
      <c r="V115" s="481"/>
      <c r="W115" s="446" t="s">
        <v>42</v>
      </c>
      <c r="X115" s="472"/>
      <c r="Y115" s="143" t="s">
        <v>216</v>
      </c>
      <c r="Z115" s="142" t="s">
        <v>108</v>
      </c>
      <c r="AA115" s="181" t="s">
        <v>6</v>
      </c>
      <c r="AB115" s="401" t="s">
        <v>103</v>
      </c>
      <c r="AC115" s="295">
        <v>112</v>
      </c>
    </row>
    <row r="116" spans="1:29" ht="156" hidden="1" customHeight="1">
      <c r="A116" s="210" t="s">
        <v>212</v>
      </c>
      <c r="B116" s="208" t="s">
        <v>476</v>
      </c>
      <c r="C116" s="183" t="s">
        <v>441</v>
      </c>
      <c r="D116" s="410" t="s">
        <v>442</v>
      </c>
      <c r="E116" s="456" t="s">
        <v>805</v>
      </c>
      <c r="F116" s="144">
        <v>42795</v>
      </c>
      <c r="G116" s="416" t="s">
        <v>706</v>
      </c>
      <c r="H116" s="260" t="s">
        <v>499</v>
      </c>
      <c r="I116" s="148" t="s">
        <v>43</v>
      </c>
      <c r="J116" s="260"/>
      <c r="K116" s="416" t="s">
        <v>707</v>
      </c>
      <c r="L116" s="440"/>
      <c r="M116" s="440"/>
      <c r="N116" s="437" t="s">
        <v>43</v>
      </c>
      <c r="O116" s="440"/>
      <c r="P116" s="457" t="s">
        <v>762</v>
      </c>
      <c r="Q116" s="276"/>
      <c r="R116" s="276"/>
      <c r="S116" s="148" t="s">
        <v>43</v>
      </c>
      <c r="T116" s="469"/>
      <c r="U116" s="476" t="s">
        <v>856</v>
      </c>
      <c r="V116" s="476"/>
      <c r="W116" s="446" t="s">
        <v>42</v>
      </c>
      <c r="X116" s="472"/>
      <c r="Y116" s="143" t="s">
        <v>216</v>
      </c>
      <c r="Z116" s="142" t="s">
        <v>109</v>
      </c>
      <c r="AA116" s="181" t="s">
        <v>6</v>
      </c>
      <c r="AB116" s="403" t="s">
        <v>361</v>
      </c>
      <c r="AC116" s="295">
        <v>113</v>
      </c>
    </row>
    <row r="117" spans="1:29" s="454" customFormat="1" ht="16.5" hidden="1" thickBot="1">
      <c r="A117" s="448"/>
      <c r="B117" s="146"/>
      <c r="C117" s="184"/>
      <c r="D117" s="449"/>
      <c r="E117" s="449"/>
      <c r="F117" s="44"/>
      <c r="G117" s="450"/>
      <c r="H117" s="140"/>
      <c r="I117" s="425"/>
      <c r="J117" s="140"/>
      <c r="K117" s="451"/>
      <c r="L117" s="46"/>
      <c r="M117" s="46"/>
      <c r="N117" s="139"/>
      <c r="O117" s="46"/>
      <c r="P117" s="452"/>
      <c r="Q117" s="452"/>
      <c r="R117" s="452"/>
      <c r="S117" s="451"/>
      <c r="T117" s="453"/>
      <c r="U117" s="274"/>
      <c r="V117" s="274"/>
      <c r="W117" s="139"/>
      <c r="X117" s="286"/>
      <c r="Y117" s="141"/>
      <c r="Z117" s="141"/>
      <c r="AB117" s="449"/>
      <c r="AC117" s="294"/>
    </row>
    <row r="118" spans="1:29" hidden="1">
      <c r="A118" s="151"/>
      <c r="B118" s="146"/>
      <c r="C118" s="185"/>
    </row>
    <row r="119" spans="1:29" hidden="1">
      <c r="A119" s="151"/>
      <c r="B119" s="146"/>
      <c r="C119" s="185"/>
    </row>
    <row r="120" spans="1:29" hidden="1">
      <c r="A120" s="152"/>
      <c r="B120" s="146"/>
    </row>
    <row r="121" spans="1:29" hidden="1">
      <c r="A121" s="152"/>
      <c r="B121" s="146"/>
    </row>
    <row r="122" spans="1:29" hidden="1">
      <c r="A122" s="152"/>
      <c r="B122" s="146"/>
    </row>
    <row r="123" spans="1:29" hidden="1">
      <c r="A123" s="152"/>
      <c r="B123" s="146"/>
    </row>
    <row r="124" spans="1:29" hidden="1">
      <c r="A124" s="152"/>
      <c r="B124" s="146"/>
    </row>
    <row r="125" spans="1:29" hidden="1">
      <c r="A125" s="152"/>
      <c r="B125" s="146"/>
    </row>
    <row r="126" spans="1:29" hidden="1">
      <c r="A126" s="152"/>
    </row>
    <row r="127" spans="1:29" hidden="1">
      <c r="A127" s="152"/>
    </row>
    <row r="128" spans="1:29" hidden="1">
      <c r="A128" s="152"/>
    </row>
    <row r="129" spans="1:29" hidden="1">
      <c r="A129" s="152"/>
    </row>
    <row r="130" spans="1:29" hidden="1">
      <c r="A130" s="151"/>
    </row>
    <row r="131" spans="1:29" hidden="1">
      <c r="A131" s="151"/>
    </row>
    <row r="132" spans="1:29" hidden="1">
      <c r="A132" s="151"/>
    </row>
    <row r="133" spans="1:29" hidden="1">
      <c r="A133" s="151"/>
    </row>
    <row r="134" spans="1:29" hidden="1">
      <c r="A134" s="153" t="s">
        <v>126</v>
      </c>
    </row>
    <row r="135" spans="1:29" ht="30" hidden="1">
      <c r="A135" s="153" t="s">
        <v>127</v>
      </c>
    </row>
    <row r="136" spans="1:29" s="277" customFormat="1" hidden="1">
      <c r="A136" s="153"/>
      <c r="C136" s="278"/>
      <c r="D136" s="279"/>
      <c r="E136" s="279"/>
      <c r="G136" s="278"/>
      <c r="H136" s="278"/>
      <c r="I136" s="426"/>
      <c r="J136" s="278"/>
      <c r="K136" s="280"/>
      <c r="L136" s="280"/>
      <c r="M136" s="280"/>
      <c r="N136" s="281"/>
      <c r="O136" s="280"/>
      <c r="P136" s="282"/>
      <c r="Q136" s="282"/>
      <c r="R136" s="282"/>
      <c r="S136" s="280"/>
      <c r="T136" s="280"/>
      <c r="U136" s="282"/>
      <c r="V136" s="282"/>
      <c r="W136" s="281"/>
      <c r="X136" s="287"/>
      <c r="Y136" s="279"/>
      <c r="Z136" s="279"/>
      <c r="AB136" s="279"/>
      <c r="AC136" s="296"/>
    </row>
    <row r="137" spans="1:29" s="299" customFormat="1" hidden="1">
      <c r="A137" s="298" t="s">
        <v>48</v>
      </c>
      <c r="C137" s="300"/>
      <c r="D137" s="301"/>
      <c r="E137" s="301"/>
      <c r="G137" s="300"/>
      <c r="H137" s="300"/>
      <c r="I137" s="427"/>
      <c r="J137" s="300"/>
      <c r="K137" s="302"/>
      <c r="L137" s="302"/>
      <c r="M137" s="302"/>
      <c r="N137" s="303"/>
      <c r="O137" s="302"/>
      <c r="P137" s="304"/>
      <c r="Q137" s="304"/>
      <c r="R137" s="304"/>
      <c r="S137" s="302"/>
      <c r="T137" s="302"/>
      <c r="U137" s="304"/>
      <c r="V137" s="304"/>
      <c r="W137" s="303"/>
      <c r="X137" s="305"/>
      <c r="Y137" s="301"/>
      <c r="Z137" s="301"/>
      <c r="AB137" s="301"/>
      <c r="AC137" s="306"/>
    </row>
    <row r="138" spans="1:29" s="299" customFormat="1" hidden="1">
      <c r="A138" s="298" t="s">
        <v>42</v>
      </c>
      <c r="C138" s="300"/>
      <c r="D138" s="301"/>
      <c r="E138" s="301"/>
      <c r="G138" s="300"/>
      <c r="H138" s="300"/>
      <c r="I138" s="427"/>
      <c r="J138" s="300"/>
      <c r="K138" s="302"/>
      <c r="L138" s="302"/>
      <c r="M138" s="302"/>
      <c r="N138" s="303"/>
      <c r="O138" s="302"/>
      <c r="P138" s="304"/>
      <c r="Q138" s="304"/>
      <c r="R138" s="304"/>
      <c r="S138" s="302"/>
      <c r="T138" s="302"/>
      <c r="U138" s="304"/>
      <c r="V138" s="304"/>
      <c r="W138" s="303"/>
      <c r="X138" s="305"/>
      <c r="Y138" s="301"/>
      <c r="Z138" s="301"/>
      <c r="AB138" s="301"/>
      <c r="AC138" s="306"/>
    </row>
    <row r="139" spans="1:29" s="299" customFormat="1" hidden="1">
      <c r="A139" s="298" t="s">
        <v>84</v>
      </c>
      <c r="C139" s="300"/>
      <c r="D139" s="301"/>
      <c r="E139" s="301"/>
      <c r="G139" s="300"/>
      <c r="H139" s="300"/>
      <c r="I139" s="427"/>
      <c r="J139" s="300"/>
      <c r="K139" s="302"/>
      <c r="L139" s="302"/>
      <c r="M139" s="302"/>
      <c r="N139" s="303"/>
      <c r="O139" s="302"/>
      <c r="P139" s="304"/>
      <c r="Q139" s="304"/>
      <c r="R139" s="304"/>
      <c r="S139" s="302"/>
      <c r="T139" s="302"/>
      <c r="U139" s="304"/>
      <c r="V139" s="304"/>
      <c r="W139" s="303"/>
      <c r="X139" s="305"/>
      <c r="Y139" s="301"/>
      <c r="Z139" s="301"/>
      <c r="AB139" s="301"/>
      <c r="AC139" s="306"/>
    </row>
    <row r="140" spans="1:29" s="299" customFormat="1" hidden="1">
      <c r="A140" s="298" t="s">
        <v>85</v>
      </c>
      <c r="C140" s="300"/>
      <c r="D140" s="301"/>
      <c r="E140" s="301"/>
      <c r="G140" s="300"/>
      <c r="H140" s="300"/>
      <c r="I140" s="427"/>
      <c r="J140" s="300"/>
      <c r="K140" s="302"/>
      <c r="L140" s="302"/>
      <c r="M140" s="302"/>
      <c r="N140" s="303"/>
      <c r="O140" s="302"/>
      <c r="P140" s="304"/>
      <c r="Q140" s="304"/>
      <c r="R140" s="304"/>
      <c r="S140" s="302"/>
      <c r="T140" s="302"/>
      <c r="U140" s="304"/>
      <c r="V140" s="304"/>
      <c r="W140" s="303"/>
      <c r="X140" s="305"/>
      <c r="Y140" s="301"/>
      <c r="Z140" s="301"/>
      <c r="AB140" s="301"/>
      <c r="AC140" s="306"/>
    </row>
    <row r="141" spans="1:29" s="299" customFormat="1" hidden="1">
      <c r="A141" s="298" t="s">
        <v>86</v>
      </c>
      <c r="C141" s="300"/>
      <c r="D141" s="301"/>
      <c r="E141" s="301"/>
      <c r="G141" s="300"/>
      <c r="H141" s="300"/>
      <c r="I141" s="427"/>
      <c r="J141" s="300"/>
      <c r="K141" s="302"/>
      <c r="L141" s="302"/>
      <c r="M141" s="302"/>
      <c r="N141" s="303"/>
      <c r="O141" s="302"/>
      <c r="P141" s="304"/>
      <c r="Q141" s="304"/>
      <c r="R141" s="304"/>
      <c r="S141" s="302"/>
      <c r="T141" s="302"/>
      <c r="U141" s="304"/>
      <c r="V141" s="304"/>
      <c r="W141" s="303"/>
      <c r="X141" s="305"/>
      <c r="Y141" s="301"/>
      <c r="Z141" s="301"/>
      <c r="AB141" s="301"/>
      <c r="AC141" s="306"/>
    </row>
    <row r="142" spans="1:29" s="299" customFormat="1" hidden="1">
      <c r="A142" s="298" t="s">
        <v>28</v>
      </c>
      <c r="C142" s="300"/>
      <c r="D142" s="301"/>
      <c r="E142" s="301"/>
      <c r="G142" s="300"/>
      <c r="H142" s="300"/>
      <c r="I142" s="427"/>
      <c r="J142" s="300"/>
      <c r="K142" s="302"/>
      <c r="L142" s="302"/>
      <c r="M142" s="302"/>
      <c r="N142" s="303"/>
      <c r="O142" s="302"/>
      <c r="P142" s="304"/>
      <c r="Q142" s="304"/>
      <c r="R142" s="304"/>
      <c r="S142" s="302"/>
      <c r="T142" s="302"/>
      <c r="U142" s="304"/>
      <c r="V142" s="304"/>
      <c r="W142" s="303"/>
      <c r="X142" s="305"/>
      <c r="Y142" s="301"/>
      <c r="Z142" s="301"/>
      <c r="AB142" s="301"/>
      <c r="AC142" s="306"/>
    </row>
    <row r="143" spans="1:29" s="299" customFormat="1" hidden="1">
      <c r="A143" s="298" t="s">
        <v>87</v>
      </c>
      <c r="C143" s="300"/>
      <c r="D143" s="301"/>
      <c r="E143" s="301"/>
      <c r="G143" s="300"/>
      <c r="H143" s="300"/>
      <c r="I143" s="427"/>
      <c r="J143" s="300"/>
      <c r="K143" s="302"/>
      <c r="L143" s="302"/>
      <c r="M143" s="302"/>
      <c r="N143" s="303"/>
      <c r="O143" s="302"/>
      <c r="P143" s="304"/>
      <c r="Q143" s="304"/>
      <c r="R143" s="304"/>
      <c r="S143" s="302"/>
      <c r="T143" s="302"/>
      <c r="U143" s="304"/>
      <c r="V143" s="304"/>
      <c r="W143" s="303"/>
      <c r="X143" s="305"/>
      <c r="Y143" s="301"/>
      <c r="Z143" s="301"/>
      <c r="AB143" s="301"/>
      <c r="AC143" s="306"/>
    </row>
    <row r="144" spans="1:29" s="299" customFormat="1" hidden="1">
      <c r="A144" s="298" t="s">
        <v>88</v>
      </c>
      <c r="C144" s="300"/>
      <c r="D144" s="301"/>
      <c r="E144" s="301"/>
      <c r="G144" s="300"/>
      <c r="H144" s="300"/>
      <c r="I144" s="427"/>
      <c r="J144" s="300"/>
      <c r="K144" s="302"/>
      <c r="L144" s="302"/>
      <c r="M144" s="302"/>
      <c r="N144" s="303"/>
      <c r="O144" s="302"/>
      <c r="P144" s="304"/>
      <c r="Q144" s="304"/>
      <c r="R144" s="304"/>
      <c r="S144" s="302"/>
      <c r="T144" s="302"/>
      <c r="U144" s="304"/>
      <c r="V144" s="304"/>
      <c r="W144" s="303"/>
      <c r="X144" s="305"/>
      <c r="Y144" s="301"/>
      <c r="Z144" s="301"/>
      <c r="AB144" s="301"/>
      <c r="AC144" s="306"/>
    </row>
    <row r="145" spans="1:29" s="299" customFormat="1" hidden="1">
      <c r="A145" s="298" t="s">
        <v>23</v>
      </c>
      <c r="C145" s="300"/>
      <c r="D145" s="301"/>
      <c r="E145" s="301"/>
      <c r="G145" s="300"/>
      <c r="H145" s="300"/>
      <c r="I145" s="427"/>
      <c r="J145" s="300"/>
      <c r="K145" s="302"/>
      <c r="L145" s="302"/>
      <c r="M145" s="302"/>
      <c r="N145" s="303"/>
      <c r="O145" s="302"/>
      <c r="P145" s="304">
        <v>5</v>
      </c>
      <c r="Q145" s="304"/>
      <c r="R145" s="304"/>
      <c r="S145" s="302"/>
      <c r="T145" s="302"/>
      <c r="U145" s="304"/>
      <c r="V145" s="304"/>
      <c r="W145" s="303"/>
      <c r="X145" s="305"/>
      <c r="Y145" s="301"/>
      <c r="Z145" s="301"/>
      <c r="AB145" s="301"/>
      <c r="AC145" s="306"/>
    </row>
    <row r="146" spans="1:29" s="299" customFormat="1" hidden="1">
      <c r="A146" s="298" t="s">
        <v>29</v>
      </c>
      <c r="C146" s="300"/>
      <c r="D146" s="301"/>
      <c r="E146" s="301"/>
      <c r="G146" s="300"/>
      <c r="H146" s="300"/>
      <c r="I146" s="427"/>
      <c r="J146" s="300"/>
      <c r="K146" s="302"/>
      <c r="L146" s="302"/>
      <c r="M146" s="302"/>
      <c r="N146" s="303"/>
      <c r="O146" s="302"/>
      <c r="P146" s="304"/>
      <c r="Q146" s="304"/>
      <c r="R146" s="304"/>
      <c r="S146" s="302"/>
      <c r="T146" s="302"/>
      <c r="U146" s="304"/>
      <c r="V146" s="304"/>
      <c r="W146" s="303"/>
      <c r="X146" s="305"/>
      <c r="Y146" s="301"/>
      <c r="Z146" s="301"/>
      <c r="AB146" s="301"/>
      <c r="AC146" s="306"/>
    </row>
    <row r="147" spans="1:29" s="299" customFormat="1" hidden="1">
      <c r="A147" s="307"/>
      <c r="C147" s="300"/>
      <c r="D147" s="301"/>
      <c r="E147" s="301"/>
      <c r="G147" s="300"/>
      <c r="H147" s="300"/>
      <c r="I147" s="427"/>
      <c r="J147" s="300"/>
      <c r="K147" s="302"/>
      <c r="L147" s="302"/>
      <c r="M147" s="302"/>
      <c r="N147" s="303"/>
      <c r="O147" s="302"/>
      <c r="P147" s="304"/>
      <c r="Q147" s="304"/>
      <c r="R147" s="304"/>
      <c r="S147" s="302"/>
      <c r="T147" s="302"/>
      <c r="U147" s="304"/>
      <c r="V147" s="304"/>
      <c r="W147" s="303"/>
      <c r="X147" s="305"/>
      <c r="Y147" s="301"/>
      <c r="Z147" s="301"/>
      <c r="AB147" s="301"/>
      <c r="AC147" s="306"/>
    </row>
    <row r="148" spans="1:29" s="299" customFormat="1" hidden="1">
      <c r="A148" s="307"/>
      <c r="C148" s="300"/>
      <c r="D148" s="301"/>
      <c r="E148" s="301"/>
      <c r="G148" s="300"/>
      <c r="H148" s="300"/>
      <c r="I148" s="427"/>
      <c r="J148" s="300"/>
      <c r="K148" s="302"/>
      <c r="L148" s="302"/>
      <c r="M148" s="302"/>
      <c r="N148" s="303"/>
      <c r="O148" s="302"/>
      <c r="P148" s="304"/>
      <c r="Q148" s="304"/>
      <c r="R148" s="304"/>
      <c r="S148" s="302"/>
      <c r="T148" s="302"/>
      <c r="U148" s="304"/>
      <c r="V148" s="304"/>
      <c r="W148" s="303"/>
      <c r="X148" s="305"/>
      <c r="Y148" s="301"/>
      <c r="Z148" s="301"/>
      <c r="AB148" s="301"/>
      <c r="AC148" s="306"/>
    </row>
    <row r="149" spans="1:29" s="299" customFormat="1" hidden="1">
      <c r="A149" s="307"/>
      <c r="C149" s="300"/>
      <c r="D149" s="301"/>
      <c r="E149" s="301"/>
      <c r="G149" s="300"/>
      <c r="H149" s="300"/>
      <c r="I149" s="427"/>
      <c r="J149" s="300"/>
      <c r="K149" s="302"/>
      <c r="L149" s="302"/>
      <c r="M149" s="302"/>
      <c r="N149" s="303"/>
      <c r="O149" s="302"/>
      <c r="P149" s="304"/>
      <c r="Q149" s="304"/>
      <c r="R149" s="304"/>
      <c r="S149" s="302"/>
      <c r="T149" s="302"/>
      <c r="U149" s="304"/>
      <c r="V149" s="304"/>
      <c r="W149" s="303"/>
      <c r="X149" s="305"/>
      <c r="Y149" s="301"/>
      <c r="Z149" s="301"/>
      <c r="AB149" s="301"/>
      <c r="AC149" s="306"/>
    </row>
    <row r="150" spans="1:29" s="277" customFormat="1" hidden="1">
      <c r="A150" s="283"/>
      <c r="C150" s="278"/>
      <c r="D150" s="279"/>
      <c r="E150" s="279"/>
      <c r="G150" s="278"/>
      <c r="H150" s="278"/>
      <c r="I150" s="426"/>
      <c r="J150" s="278"/>
      <c r="K150" s="280"/>
      <c r="L150" s="280"/>
      <c r="M150" s="280"/>
      <c r="N150" s="281"/>
      <c r="O150" s="280"/>
      <c r="P150" s="282"/>
      <c r="Q150" s="282"/>
      <c r="R150" s="282"/>
      <c r="S150" s="280"/>
      <c r="T150" s="280"/>
      <c r="U150" s="282"/>
      <c r="V150" s="282"/>
      <c r="W150" s="281"/>
      <c r="X150" s="287"/>
      <c r="Y150" s="279"/>
      <c r="Z150" s="279"/>
      <c r="AB150" s="279"/>
      <c r="AC150" s="296"/>
    </row>
    <row r="151" spans="1:29" s="277" customFormat="1" hidden="1">
      <c r="A151" s="283"/>
      <c r="C151" s="278"/>
      <c r="D151" s="279"/>
      <c r="E151" s="279"/>
      <c r="G151" s="278"/>
      <c r="H151" s="278"/>
      <c r="I151" s="426"/>
      <c r="J151" s="278"/>
      <c r="K151" s="280"/>
      <c r="L151" s="280"/>
      <c r="M151" s="280"/>
      <c r="N151" s="281"/>
      <c r="O151" s="280"/>
      <c r="P151" s="282"/>
      <c r="Q151" s="282"/>
      <c r="R151" s="282"/>
      <c r="S151" s="280"/>
      <c r="T151" s="280"/>
      <c r="U151" s="282"/>
      <c r="V151" s="282"/>
      <c r="W151" s="281"/>
      <c r="X151" s="287"/>
      <c r="Y151" s="279"/>
      <c r="Z151" s="279"/>
      <c r="AB151" s="279"/>
      <c r="AC151" s="296"/>
    </row>
    <row r="152" spans="1:29" s="277" customFormat="1" hidden="1">
      <c r="A152" s="307"/>
      <c r="B152" s="299"/>
      <c r="C152" s="300"/>
      <c r="D152" s="279"/>
      <c r="E152" s="279"/>
      <c r="G152" s="278"/>
      <c r="H152" s="278"/>
      <c r="I152" s="426"/>
      <c r="J152" s="278"/>
      <c r="K152" s="280"/>
      <c r="L152" s="280"/>
      <c r="M152" s="280"/>
      <c r="N152" s="281"/>
      <c r="O152" s="280"/>
      <c r="P152" s="282"/>
      <c r="Q152" s="282"/>
      <c r="R152" s="282"/>
      <c r="S152" s="280"/>
      <c r="T152" s="280"/>
      <c r="U152" s="282"/>
      <c r="V152" s="282"/>
      <c r="W152" s="281"/>
      <c r="X152" s="287"/>
      <c r="Y152" s="279"/>
      <c r="Z152" s="279"/>
      <c r="AB152" s="279"/>
      <c r="AC152" s="296"/>
    </row>
    <row r="153" spans="1:29" s="277" customFormat="1" hidden="1">
      <c r="A153" s="307"/>
      <c r="B153" s="299"/>
      <c r="C153" s="300"/>
      <c r="D153" s="279"/>
      <c r="E153" s="279"/>
      <c r="G153" s="278"/>
      <c r="H153" s="278"/>
      <c r="I153" s="426"/>
      <c r="J153" s="278"/>
      <c r="K153" s="280"/>
      <c r="L153" s="280"/>
      <c r="M153" s="280"/>
      <c r="N153" s="281"/>
      <c r="O153" s="280"/>
      <c r="P153" s="282"/>
      <c r="Q153" s="282"/>
      <c r="R153" s="282"/>
      <c r="S153" s="280"/>
      <c r="T153" s="280"/>
      <c r="U153" s="282"/>
      <c r="V153" s="282"/>
      <c r="W153" s="281"/>
      <c r="X153" s="287"/>
      <c r="Y153" s="279"/>
      <c r="Z153" s="279"/>
      <c r="AB153" s="279"/>
      <c r="AC153" s="296"/>
    </row>
    <row r="154" spans="1:29" s="277" customFormat="1" hidden="1">
      <c r="A154" s="307"/>
      <c r="B154" s="299"/>
      <c r="C154" s="300"/>
      <c r="D154" s="279"/>
      <c r="E154" s="279"/>
      <c r="G154" s="278"/>
      <c r="H154" s="278"/>
      <c r="I154" s="426"/>
      <c r="J154" s="278"/>
      <c r="K154" s="280"/>
      <c r="L154" s="280"/>
      <c r="M154" s="280"/>
      <c r="N154" s="281"/>
      <c r="O154" s="280"/>
      <c r="P154" s="282"/>
      <c r="Q154" s="282"/>
      <c r="R154" s="282"/>
      <c r="S154" s="280"/>
      <c r="T154" s="280"/>
      <c r="U154" s="282"/>
      <c r="V154" s="282"/>
      <c r="W154" s="281"/>
      <c r="X154" s="287"/>
      <c r="Y154" s="279"/>
      <c r="Z154" s="279"/>
      <c r="AB154" s="279"/>
      <c r="AC154" s="296"/>
    </row>
    <row r="155" spans="1:29" s="277" customFormat="1" ht="30" hidden="1">
      <c r="A155" s="307" t="s">
        <v>42</v>
      </c>
      <c r="B155" s="299"/>
      <c r="C155" s="300"/>
      <c r="D155" s="279"/>
      <c r="E155" s="279"/>
      <c r="G155" s="278"/>
      <c r="H155" s="278"/>
      <c r="I155" s="426"/>
      <c r="J155" s="278"/>
      <c r="K155" s="280"/>
      <c r="L155" s="280"/>
      <c r="M155" s="280"/>
      <c r="N155" s="281"/>
      <c r="O155" s="280"/>
      <c r="P155" s="282"/>
      <c r="Q155" s="282"/>
      <c r="R155" s="282"/>
      <c r="S155" s="280"/>
      <c r="T155" s="280"/>
      <c r="U155" s="282"/>
      <c r="V155" s="282"/>
      <c r="W155" s="281"/>
      <c r="X155" s="287"/>
      <c r="Y155" s="279"/>
      <c r="Z155" s="279"/>
      <c r="AB155" s="279"/>
      <c r="AC155" s="296"/>
    </row>
    <row r="156" spans="1:29" s="277" customFormat="1" ht="30" hidden="1">
      <c r="A156" s="307" t="s">
        <v>43</v>
      </c>
      <c r="B156" s="299"/>
      <c r="C156" s="300"/>
      <c r="D156" s="279"/>
      <c r="E156" s="279"/>
      <c r="G156" s="278"/>
      <c r="H156" s="278"/>
      <c r="I156" s="426"/>
      <c r="J156" s="278"/>
      <c r="K156" s="280"/>
      <c r="L156" s="280"/>
      <c r="M156" s="280"/>
      <c r="N156" s="281"/>
      <c r="O156" s="280"/>
      <c r="P156" s="282"/>
      <c r="Q156" s="282"/>
      <c r="R156" s="282"/>
      <c r="S156" s="280"/>
      <c r="T156" s="280"/>
      <c r="U156" s="282"/>
      <c r="V156" s="282"/>
      <c r="W156" s="281"/>
      <c r="X156" s="287"/>
      <c r="Y156" s="279"/>
      <c r="Z156" s="279"/>
      <c r="AB156" s="279"/>
      <c r="AC156" s="296"/>
    </row>
    <row r="157" spans="1:29" s="277" customFormat="1" ht="60" hidden="1">
      <c r="A157" s="447" t="s">
        <v>27</v>
      </c>
      <c r="B157" s="299"/>
      <c r="C157" s="300"/>
      <c r="D157" s="279"/>
      <c r="E157" s="279"/>
      <c r="G157" s="278"/>
      <c r="H157" s="278"/>
      <c r="I157" s="426"/>
      <c r="J157" s="278"/>
      <c r="K157" s="280"/>
      <c r="L157" s="280"/>
      <c r="M157" s="280"/>
      <c r="N157" s="281"/>
      <c r="O157" s="280"/>
      <c r="P157" s="282"/>
      <c r="Q157" s="282"/>
      <c r="R157" s="282"/>
      <c r="S157" s="280"/>
      <c r="T157" s="280"/>
      <c r="U157" s="282"/>
      <c r="V157" s="282"/>
      <c r="W157" s="281"/>
      <c r="X157" s="287"/>
      <c r="Y157" s="279"/>
      <c r="Z157" s="279"/>
      <c r="AB157" s="279"/>
      <c r="AC157" s="296"/>
    </row>
    <row r="158" spans="1:29" s="277" customFormat="1" hidden="1">
      <c r="A158" s="447" t="s">
        <v>28</v>
      </c>
      <c r="B158" s="299"/>
      <c r="C158" s="300"/>
      <c r="D158" s="279"/>
      <c r="E158" s="279"/>
      <c r="G158" s="278"/>
      <c r="H158" s="278"/>
      <c r="I158" s="426"/>
      <c r="J158" s="278"/>
      <c r="K158" s="280"/>
      <c r="L158" s="280"/>
      <c r="M158" s="280"/>
      <c r="N158" s="281"/>
      <c r="O158" s="280"/>
      <c r="P158" s="282"/>
      <c r="Q158" s="282"/>
      <c r="R158" s="282"/>
      <c r="S158" s="280"/>
      <c r="T158" s="280"/>
      <c r="U158" s="282"/>
      <c r="V158" s="282"/>
      <c r="W158" s="281"/>
      <c r="X158" s="287"/>
      <c r="Y158" s="279"/>
      <c r="Z158" s="279"/>
      <c r="AB158" s="279"/>
      <c r="AC158" s="296"/>
    </row>
    <row r="159" spans="1:29" s="277" customFormat="1" ht="45" hidden="1">
      <c r="A159" s="447" t="s">
        <v>44</v>
      </c>
      <c r="B159" s="299"/>
      <c r="C159" s="300"/>
      <c r="D159" s="279"/>
      <c r="E159" s="279"/>
      <c r="G159" s="278"/>
      <c r="H159" s="278"/>
      <c r="I159" s="426"/>
      <c r="J159" s="278"/>
      <c r="K159" s="280"/>
      <c r="L159" s="280"/>
      <c r="M159" s="280"/>
      <c r="N159" s="281"/>
      <c r="O159" s="280"/>
      <c r="P159" s="282"/>
      <c r="Q159" s="282"/>
      <c r="R159" s="282"/>
      <c r="S159" s="280"/>
      <c r="T159" s="280"/>
      <c r="U159" s="282"/>
      <c r="V159" s="282"/>
      <c r="W159" s="281"/>
      <c r="X159" s="287"/>
      <c r="Y159" s="279"/>
      <c r="Z159" s="279"/>
      <c r="AB159" s="279"/>
      <c r="AC159" s="296"/>
    </row>
    <row r="160" spans="1:29" s="277" customFormat="1" hidden="1">
      <c r="A160" s="447" t="s">
        <v>45</v>
      </c>
      <c r="B160" s="299"/>
      <c r="C160" s="300"/>
      <c r="D160" s="279"/>
      <c r="E160" s="279"/>
      <c r="G160" s="278"/>
      <c r="H160" s="278"/>
      <c r="I160" s="426"/>
      <c r="J160" s="278"/>
      <c r="K160" s="280"/>
      <c r="L160" s="280"/>
      <c r="M160" s="280"/>
      <c r="N160" s="281"/>
      <c r="O160" s="280"/>
      <c r="P160" s="282"/>
      <c r="Q160" s="282"/>
      <c r="R160" s="282"/>
      <c r="S160" s="280"/>
      <c r="T160" s="280"/>
      <c r="U160" s="282"/>
      <c r="V160" s="282"/>
      <c r="W160" s="281"/>
      <c r="X160" s="287"/>
      <c r="Y160" s="279"/>
      <c r="Z160" s="279"/>
      <c r="AB160" s="279"/>
      <c r="AC160" s="296"/>
    </row>
    <row r="161" spans="1:29" s="277" customFormat="1" hidden="1">
      <c r="A161" s="447" t="s">
        <v>29</v>
      </c>
      <c r="B161" s="299"/>
      <c r="C161" s="300"/>
      <c r="D161" s="279"/>
      <c r="E161" s="279"/>
      <c r="G161" s="278"/>
      <c r="H161" s="278"/>
      <c r="I161" s="426"/>
      <c r="J161" s="278"/>
      <c r="K161" s="280"/>
      <c r="L161" s="280"/>
      <c r="M161" s="280"/>
      <c r="N161" s="281"/>
      <c r="O161" s="280"/>
      <c r="P161" s="282"/>
      <c r="Q161" s="282"/>
      <c r="R161" s="282"/>
      <c r="S161" s="280"/>
      <c r="T161" s="280"/>
      <c r="U161" s="282"/>
      <c r="V161" s="282"/>
      <c r="W161" s="281"/>
      <c r="X161" s="287"/>
      <c r="Y161" s="279"/>
      <c r="Z161" s="279"/>
      <c r="AB161" s="279"/>
      <c r="AC161" s="296"/>
    </row>
    <row r="162" spans="1:29" s="277" customFormat="1" hidden="1">
      <c r="A162" s="447" t="s">
        <v>23</v>
      </c>
      <c r="B162" s="299"/>
      <c r="C162" s="300"/>
      <c r="D162" s="279"/>
      <c r="E162" s="279"/>
      <c r="G162" s="278"/>
      <c r="H162" s="278"/>
      <c r="I162" s="426"/>
      <c r="J162" s="278"/>
      <c r="K162" s="280"/>
      <c r="L162" s="280"/>
      <c r="M162" s="280"/>
      <c r="N162" s="281"/>
      <c r="O162" s="280"/>
      <c r="P162" s="279"/>
      <c r="R162" s="279"/>
      <c r="U162" s="282"/>
      <c r="V162" s="487"/>
      <c r="W162" s="285"/>
      <c r="X162" s="288"/>
      <c r="AC162" s="296"/>
    </row>
    <row r="163" spans="1:29" s="277" customFormat="1" ht="30" hidden="1">
      <c r="A163" s="447" t="s">
        <v>46</v>
      </c>
      <c r="B163" s="299"/>
      <c r="C163" s="300"/>
      <c r="D163" s="279"/>
      <c r="E163" s="279"/>
      <c r="G163" s="278"/>
      <c r="H163" s="278"/>
      <c r="I163" s="426"/>
      <c r="J163" s="278"/>
      <c r="K163" s="280"/>
      <c r="L163" s="280"/>
      <c r="M163" s="280"/>
      <c r="N163" s="281"/>
      <c r="O163" s="280"/>
      <c r="P163" s="282"/>
      <c r="Q163" s="282"/>
      <c r="R163" s="282"/>
      <c r="S163" s="280"/>
      <c r="T163" s="280"/>
      <c r="U163" s="282"/>
      <c r="V163" s="282"/>
      <c r="W163" s="281"/>
      <c r="X163" s="287"/>
      <c r="Y163" s="279"/>
      <c r="Z163" s="279"/>
      <c r="AB163" s="279"/>
      <c r="AC163" s="296"/>
    </row>
    <row r="164" spans="1:29" s="277" customFormat="1" hidden="1">
      <c r="A164" s="189"/>
      <c r="B164" s="299"/>
      <c r="C164" s="300"/>
      <c r="D164" s="279"/>
      <c r="E164" s="279"/>
      <c r="G164" s="278"/>
      <c r="H164" s="278"/>
      <c r="I164" s="426"/>
      <c r="J164" s="278"/>
      <c r="K164" s="280"/>
      <c r="L164" s="280"/>
      <c r="M164" s="280"/>
      <c r="N164" s="281"/>
      <c r="O164" s="280"/>
      <c r="P164" s="282"/>
      <c r="Q164" s="282"/>
      <c r="R164" s="282"/>
      <c r="S164" s="280"/>
      <c r="T164" s="280"/>
      <c r="U164" s="282"/>
      <c r="V164" s="282"/>
      <c r="W164" s="281"/>
      <c r="X164" s="287"/>
      <c r="Y164" s="279"/>
      <c r="Z164" s="279"/>
      <c r="AB164" s="279"/>
      <c r="AC164" s="296"/>
    </row>
    <row r="165" spans="1:29" s="277" customFormat="1">
      <c r="A165" s="447"/>
      <c r="B165" s="299"/>
      <c r="C165" s="300"/>
      <c r="D165" s="279"/>
      <c r="E165" s="279"/>
      <c r="G165" s="278"/>
      <c r="H165" s="278"/>
      <c r="I165" s="426"/>
      <c r="J165" s="278"/>
      <c r="K165" s="280"/>
      <c r="L165" s="280"/>
      <c r="M165" s="280"/>
      <c r="N165" s="281"/>
      <c r="O165" s="280"/>
      <c r="P165" s="282"/>
      <c r="Q165" s="282"/>
      <c r="R165" s="282"/>
      <c r="S165" s="280"/>
      <c r="T165" s="280"/>
      <c r="U165" s="282"/>
      <c r="V165" s="282"/>
      <c r="W165" s="281"/>
      <c r="X165" s="287"/>
      <c r="Y165" s="279"/>
      <c r="Z165" s="279"/>
      <c r="AB165" s="279"/>
      <c r="AC165" s="296"/>
    </row>
    <row r="166" spans="1:29" s="277" customFormat="1">
      <c r="A166" s="284" t="s">
        <v>29</v>
      </c>
      <c r="C166" s="278"/>
      <c r="D166" s="279"/>
      <c r="E166" s="279"/>
      <c r="G166" s="278"/>
      <c r="H166" s="278"/>
      <c r="I166" s="426"/>
      <c r="J166" s="278"/>
      <c r="K166" s="280"/>
      <c r="L166" s="280"/>
      <c r="M166" s="280"/>
      <c r="N166" s="281"/>
      <c r="O166" s="280"/>
      <c r="P166" s="282"/>
      <c r="Q166" s="282"/>
      <c r="R166" s="282"/>
      <c r="S166" s="280"/>
      <c r="T166" s="280"/>
      <c r="U166" s="282"/>
      <c r="V166" s="282"/>
      <c r="W166" s="281"/>
      <c r="X166" s="287"/>
      <c r="Y166" s="279"/>
      <c r="Z166" s="279"/>
      <c r="AB166" s="279"/>
      <c r="AC166" s="296"/>
    </row>
    <row r="167" spans="1:29">
      <c r="A167" s="189"/>
    </row>
    <row r="168" spans="1:29">
      <c r="A168" s="189"/>
    </row>
    <row r="169" spans="1:29">
      <c r="A169" s="189"/>
    </row>
  </sheetData>
  <sheetProtection formatCells="0" formatColumns="0" formatRows="0" autoFilter="0"/>
  <autoFilter ref="A3:AC116"/>
  <sortState ref="A3:AH128">
    <sortCondition ref="AC3:AC128"/>
  </sortState>
  <mergeCells count="1">
    <mergeCell ref="A2:D2"/>
  </mergeCells>
  <conditionalFormatting sqref="S81:T81 I57:I116 U56 L81:O81 I4:I55 S41:S116 M56:O56 Q56:S56 S39 S30:S33 S4:S26 W4:W116 N4:N87 N89:N116">
    <cfRule type="containsText" dxfId="2914" priority="806" operator="containsText" text="Fully Achieved">
      <formula>NOT(ISERROR(SEARCH("Fully Achieved",I4)))</formula>
    </cfRule>
    <cfRule type="containsText" dxfId="2913" priority="807" operator="containsText" text="Fully Achieved">
      <formula>NOT(ISERROR(SEARCH("Fully Achieved",I4)))</formula>
    </cfRule>
  </conditionalFormatting>
  <conditionalFormatting sqref="S81:T81 I57:I116 U56 L81:O81 I4:I55 S41:S116 M56:O56 Q56:S56 S39 S30:S33 S4:S26 W4:W116 N4:N87 N89:N116">
    <cfRule type="containsText" dxfId="2912" priority="799" operator="containsText" text="Update not Provided">
      <formula>NOT(ISERROR(SEARCH("Update not Provided",I4)))</formula>
    </cfRule>
    <cfRule type="containsText" dxfId="2911" priority="800" operator="containsText" text="Not yet due">
      <formula>NOT(ISERROR(SEARCH("Not yet due",I4)))</formula>
    </cfRule>
    <cfRule type="containsText" dxfId="2910" priority="801" operator="containsText" text="Completed Behind Schedule">
      <formula>NOT(ISERROR(SEARCH("Completed Behind Schedule",I4)))</formula>
    </cfRule>
    <cfRule type="containsText" dxfId="2909" priority="802" operator="containsText" text="Off Target">
      <formula>NOT(ISERROR(SEARCH("Off Target",I4)))</formula>
    </cfRule>
    <cfRule type="containsText" dxfId="2908" priority="803" operator="containsText" text="In Danger of Falling Behind Target">
      <formula>NOT(ISERROR(SEARCH("In Danger of Falling Behind Target",I4)))</formula>
    </cfRule>
    <cfRule type="containsText" dxfId="2907" priority="804" operator="containsText" text="On Track to be Achieved">
      <formula>NOT(ISERROR(SEARCH("On Track to be Achieved",I4)))</formula>
    </cfRule>
    <cfRule type="containsText" dxfId="2906" priority="805" operator="containsText" text="Fully Achieved">
      <formula>NOT(ISERROR(SEARCH("Fully Achieved",I4)))</formula>
    </cfRule>
  </conditionalFormatting>
  <conditionalFormatting sqref="W4:W116">
    <cfRule type="containsText" dxfId="2905" priority="792" operator="containsText" text="Numerical Outturn Within 10% Tolerance">
      <formula>NOT(ISERROR(SEARCH("Numerical Outturn Within 10% Tolerance",W4)))</formula>
    </cfRule>
    <cfRule type="containsText" dxfId="2904" priority="793" operator="containsText" text="Numerical Outturn Within 5% Tolerance">
      <formula>NOT(ISERROR(SEARCH("Numerical Outturn Within 5% Tolerance",W4)))</formula>
    </cfRule>
    <cfRule type="containsText" dxfId="2903" priority="794" operator="containsText" text="Target Achieved / Exceeded">
      <formula>NOT(ISERROR(SEARCH("Target Achieved / Exceeded",W4)))</formula>
    </cfRule>
    <cfRule type="containsText" dxfId="2902" priority="795" operator="containsText" text="Full Update Not Yet Available">
      <formula>NOT(ISERROR(SEARCH("Full Update Not Yet Available",W4)))</formula>
    </cfRule>
    <cfRule type="containsText" dxfId="2901" priority="796" operator="containsText" text="Full Update Not Yet Available">
      <formula>NOT(ISERROR(SEARCH("Full Update Not Yet Available",W4)))</formula>
    </cfRule>
  </conditionalFormatting>
  <conditionalFormatting sqref="I58:I59 I40 I13 I61:I64 I69:I116">
    <cfRule type="containsText" dxfId="2900" priority="773" operator="containsText" text="Update not Provided">
      <formula>NOT(ISERROR(SEARCH("Update not Provided",I13)))</formula>
    </cfRule>
    <cfRule type="containsText" dxfId="2899" priority="775" operator="containsText" text="Completed Behind Schedule">
      <formula>NOT(ISERROR(SEARCH("Completed Behind Schedule",I13)))</formula>
    </cfRule>
    <cfRule type="containsText" dxfId="2898" priority="776" operator="containsText" text="Off Target">
      <formula>NOT(ISERROR(SEARCH("Off Target",I13)))</formula>
    </cfRule>
    <cfRule type="containsText" dxfId="2897" priority="777" operator="containsText" text="In Danger of Falling Behind Target">
      <formula>NOT(ISERROR(SEARCH("In Danger of Falling Behind Target",I13)))</formula>
    </cfRule>
    <cfRule type="containsText" dxfId="2896" priority="778" operator="containsText" text="On Track to be Achieved">
      <formula>NOT(ISERROR(SEARCH("On Track to be Achieved",I13)))</formula>
    </cfRule>
    <cfRule type="containsText" dxfId="2895" priority="779" operator="containsText" text="Fully Achieved">
      <formula>NOT(ISERROR(SEARCH("Fully Achieved",I13)))</formula>
    </cfRule>
  </conditionalFormatting>
  <conditionalFormatting sqref="S81:T81 I57:I116 U56 L81:O81 I4:I55 S41:S116 Q56:S56 M56:O56 S39 S30:S33 S4:S26 N4:N87 N89:N116">
    <cfRule type="containsText" dxfId="2894" priority="642" operator="containsText" text="Not Yet Due">
      <formula>NOT(ISERROR(SEARCH("Not Yet Due",I4)))</formula>
    </cfRule>
    <cfRule type="containsText" dxfId="2893" priority="731" operator="containsText" text="Deferred">
      <formula>NOT(ISERROR(SEARCH("Deferred",I4)))</formula>
    </cfRule>
    <cfRule type="containsText" dxfId="2892" priority="732" operator="containsText" text="Deleted">
      <formula>NOT(ISERROR(SEARCH("Deleted",I4)))</formula>
    </cfRule>
    <cfRule type="containsText" dxfId="2891" priority="738" operator="containsText" text="In Danger of Falling Behind Target">
      <formula>NOT(ISERROR(SEARCH("In Danger of Falling Behind Target",I4)))</formula>
    </cfRule>
    <cfRule type="containsText" dxfId="2890" priority="774" operator="containsText" text="Not yet due">
      <formula>NOT(ISERROR(SEARCH("Not yet due",I4)))</formula>
    </cfRule>
  </conditionalFormatting>
  <conditionalFormatting sqref="S81:T81 I57:I116 U56 L81:O81 I4:I55 S41:S116 Q56:S56 M56:O56 S39 S30:S33 S4:S26 N4:N87 N89:N116">
    <cfRule type="containsText" dxfId="2889" priority="753" operator="containsText" text="Not yet due">
      <formula>NOT(ISERROR(SEARCH("Not yet due",I4)))</formula>
    </cfRule>
  </conditionalFormatting>
  <conditionalFormatting sqref="S81:T81 I57:I116 U56 L81:O81 I4:I55 S41:S116 Q56:S56 M56:O56 S39 S30:S33 S4:S26 N4:N87 N89:N116">
    <cfRule type="containsText" dxfId="2888" priority="734" operator="containsText" text="Update not Provided">
      <formula>NOT(ISERROR(SEARCH("Update not Provided",I4)))</formula>
    </cfRule>
    <cfRule type="containsText" dxfId="2887" priority="735" operator="containsText" text="Not yet due">
      <formula>NOT(ISERROR(SEARCH("Not yet due",I4)))</formula>
    </cfRule>
    <cfRule type="containsText" dxfId="2886" priority="736" operator="containsText" text="Completed Behind Schedule">
      <formula>NOT(ISERROR(SEARCH("Completed Behind Schedule",I4)))</formula>
    </cfRule>
    <cfRule type="containsText" dxfId="2885" priority="737" operator="containsText" text="Off Target">
      <formula>NOT(ISERROR(SEARCH("Off Target",I4)))</formula>
    </cfRule>
    <cfRule type="containsText" dxfId="2884" priority="739" operator="containsText" text="On Track to be Achieved">
      <formula>NOT(ISERROR(SEARCH("On Track to be Achieved",I4)))</formula>
    </cfRule>
    <cfRule type="containsText" dxfId="2883" priority="740" operator="containsText" text="Fully Achieved">
      <formula>NOT(ISERROR(SEARCH("Fully Achieved",I4)))</formula>
    </cfRule>
  </conditionalFormatting>
  <conditionalFormatting sqref="S81:T81 L81:O81 U56 S41:S116 Q56:S56 M56:O56 S39 S30:S33 S4:S26 N4:N87 N89:N116">
    <cfRule type="containsText" dxfId="2882" priority="730" operator="containsText" text="Deferred">
      <formula>NOT(ISERROR(SEARCH("Deferred",L4)))</formula>
    </cfRule>
  </conditionalFormatting>
  <conditionalFormatting sqref="S81:T81 I57:I116 U56 L81:O81 I4:I55 S41:S116 Q56:S56 M56:O56 S39 S30:S33 S4:S26 N4:N87 N89:N116">
    <cfRule type="containsText" dxfId="2881" priority="650" operator="containsText" text="Deferred">
      <formula>NOT(ISERROR(SEARCH("Deferred",I4)))</formula>
    </cfRule>
    <cfRule type="containsText" dxfId="2880" priority="651" operator="containsText" text="Deleted">
      <formula>NOT(ISERROR(SEARCH("Deleted",I4)))</formula>
    </cfRule>
    <cfRule type="containsText" dxfId="2879" priority="652" operator="containsText" text="In Danger of Falling Behind Target">
      <formula>NOT(ISERROR(SEARCH("In Danger of Falling Behind Target",I4)))</formula>
    </cfRule>
    <cfRule type="containsText" dxfId="2878" priority="653" operator="containsText" text="Not yet due">
      <formula>NOT(ISERROR(SEARCH("Not yet due",I4)))</formula>
    </cfRule>
  </conditionalFormatting>
  <conditionalFormatting sqref="W5:W116">
    <cfRule type="containsText" dxfId="2877" priority="317" operator="containsText" text="Target Partially Met">
      <formula>NOT(ISERROR(SEARCH("Target Partially Met",W5)))</formula>
    </cfRule>
  </conditionalFormatting>
  <conditionalFormatting sqref="W1:W1048576">
    <cfRule type="containsText" dxfId="2876" priority="313" operator="containsText" text="Deleted">
      <formula>NOT(ISERROR(SEARCH("Deleted",W1)))</formula>
    </cfRule>
    <cfRule type="containsText" dxfId="2875" priority="314" operator="containsText" text="Deferred">
      <formula>NOT(ISERROR(SEARCH("Deferred",W1)))</formula>
    </cfRule>
    <cfRule type="containsText" dxfId="2874" priority="315" operator="containsText" text="Completion Date Within Reasonable Tolerance">
      <formula>NOT(ISERROR(SEARCH("Completion Date Within Reasonable Tolerance",W1)))</formula>
    </cfRule>
    <cfRule type="containsText" dxfId="2873" priority="316" operator="containsText" text="Completed Significantly After Target Deadline">
      <formula>NOT(ISERROR(SEARCH("Completed Significantly After Target Deadline",W1)))</formula>
    </cfRule>
  </conditionalFormatting>
  <dataValidations xWindow="1274" yWindow="707" count="3">
    <dataValidation type="list" allowBlank="1" showInputMessage="1" showErrorMessage="1" promptTitle="Is target on track?" prompt="Please choose an option from the drop down list that best describes the current situation for this target." sqref="L81:M81 S57:S116 Q56:S56 I4:I55 M56 T81 O81 N4:N116 I57:I116 O56 S4:S26 S30:S33 S39 S41:S55">
      <formula1>$A$155:$A$163</formula1>
    </dataValidation>
    <dataValidation type="list" allowBlank="1" showInputMessage="1" showErrorMessage="1" promptTitle="Is target on track?" prompt="Please choose an option from the drop down list that best describes the current situation for this target." sqref="W4:W116">
      <formula1>$A$137:$A$146</formula1>
    </dataValidation>
    <dataValidation allowBlank="1" showInputMessage="1" showErrorMessage="1" promptTitle="Is target on track?" prompt="Please choose an option from the drop down list that best describes the current situation for this target." sqref="K81"/>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71"/>
  <sheetViews>
    <sheetView zoomScale="60" zoomScaleNormal="60" workbookViewId="0">
      <pane ySplit="2" topLeftCell="A6" activePane="bottomLeft" state="frozen"/>
      <selection pane="bottomLeft" activeCell="A55" sqref="A55:XFD115"/>
    </sheetView>
  </sheetViews>
  <sheetFormatPr defaultColWidth="9.140625" defaultRowHeight="15"/>
  <cols>
    <col min="1" max="1" width="12.85546875" style="36" customWidth="1"/>
    <col min="2" max="2" width="43.5703125" style="36" customWidth="1"/>
    <col min="3" max="3" width="28.42578125" style="46" customWidth="1"/>
    <col min="4" max="10" width="30.5703125" style="36" customWidth="1"/>
    <col min="11" max="14" width="9.140625" style="35" customWidth="1"/>
    <col min="15" max="15" width="16.5703125" style="35" hidden="1" customWidth="1"/>
    <col min="16" max="19" width="0" style="35" hidden="1" customWidth="1"/>
    <col min="20" max="20" width="24.85546875" style="35" hidden="1" customWidth="1"/>
    <col min="21" max="24" width="0" style="35" hidden="1" customWidth="1"/>
    <col min="25" max="25" width="9.140625" style="35" hidden="1" customWidth="1"/>
    <col min="26" max="46" width="9.140625" style="35"/>
    <col min="47" max="16384" width="9.140625" style="36"/>
  </cols>
  <sheetData>
    <row r="1" spans="1:50" s="254" customFormat="1" ht="24" customHeight="1" thickBot="1">
      <c r="A1" s="253" t="s">
        <v>64</v>
      </c>
      <c r="C1" s="255"/>
    </row>
    <row r="2" spans="1:50" s="222" customFormat="1" ht="41.25" thickTop="1">
      <c r="A2" s="230" t="s">
        <v>3</v>
      </c>
      <c r="B2" s="223" t="s">
        <v>0</v>
      </c>
      <c r="C2" s="223" t="s">
        <v>0</v>
      </c>
      <c r="D2" s="224" t="s">
        <v>7</v>
      </c>
      <c r="E2" s="224" t="s">
        <v>10</v>
      </c>
      <c r="F2" s="224" t="s">
        <v>8</v>
      </c>
      <c r="G2" s="224" t="s">
        <v>11</v>
      </c>
      <c r="H2" s="224" t="s">
        <v>9</v>
      </c>
      <c r="I2" s="220" t="s">
        <v>12</v>
      </c>
      <c r="J2" s="220" t="s">
        <v>13</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row>
    <row r="3" spans="1:50" s="56" customFormat="1" ht="25.5" customHeight="1">
      <c r="A3" s="215" t="s">
        <v>241</v>
      </c>
      <c r="B3" s="231"/>
      <c r="C3" s="217"/>
      <c r="D3" s="216"/>
      <c r="E3" s="216"/>
      <c r="F3" s="178"/>
      <c r="G3" s="163"/>
      <c r="H3" s="163"/>
      <c r="I3" s="163"/>
      <c r="J3" s="163"/>
      <c r="K3" s="157"/>
      <c r="L3" s="157"/>
      <c r="M3" s="157"/>
      <c r="N3" s="157"/>
      <c r="O3" s="158"/>
      <c r="P3" s="157"/>
      <c r="Q3" s="157"/>
      <c r="R3" s="157"/>
      <c r="S3" s="157"/>
      <c r="T3" s="157"/>
      <c r="U3" s="157"/>
      <c r="V3" s="157"/>
      <c r="W3" s="157"/>
      <c r="X3" s="157"/>
      <c r="Y3" s="157"/>
      <c r="Z3" s="157"/>
      <c r="AA3" s="157"/>
      <c r="AB3" s="159"/>
      <c r="AC3" s="160"/>
      <c r="AD3" s="161"/>
      <c r="AE3" s="161"/>
      <c r="AF3" s="161"/>
      <c r="AG3" s="162"/>
      <c r="AH3" s="162"/>
      <c r="AI3" s="162"/>
      <c r="AJ3" s="162"/>
      <c r="AK3" s="162"/>
      <c r="AL3" s="162"/>
      <c r="AM3" s="162"/>
      <c r="AN3" s="162"/>
      <c r="AO3" s="162"/>
      <c r="AP3" s="162"/>
      <c r="AQ3" s="162"/>
      <c r="AR3" s="162"/>
      <c r="AS3" s="162"/>
      <c r="AT3" s="162"/>
      <c r="AU3" s="162"/>
      <c r="AV3" s="162"/>
      <c r="AW3" s="162"/>
      <c r="AX3" s="162"/>
    </row>
    <row r="4" spans="1:50" ht="99.75" customHeight="1" thickBot="1">
      <c r="A4" s="211" t="str">
        <f>'1. ALL DATA'!A5</f>
        <v>VFM01</v>
      </c>
      <c r="B4" s="212" t="str">
        <f>'1. ALL DATA'!C5</f>
        <v>Leisure and Culture Service Delivery Review</v>
      </c>
      <c r="C4" s="213" t="str">
        <f>'1. ALL DATA'!D5</f>
        <v>Produce an options appraisal for the future delivery of Leisure and Cultural Services (December 2016)</v>
      </c>
      <c r="D4" s="214" t="str">
        <f>'1. ALL DATA'!I5</f>
        <v>On Track to be Achieved</v>
      </c>
      <c r="E4" s="227" t="s">
        <v>263</v>
      </c>
      <c r="F4" s="214" t="str">
        <f>'1. ALL DATA'!N5</f>
        <v>On Track to be Achieved</v>
      </c>
      <c r="G4" s="227" t="s">
        <v>263</v>
      </c>
      <c r="H4" s="149" t="str">
        <f>'1. ALL DATA'!S5</f>
        <v>Fully Achieved</v>
      </c>
      <c r="I4" s="227" t="s">
        <v>263</v>
      </c>
      <c r="J4" s="149" t="str">
        <f>'1. ALL DATA'!W5</f>
        <v>Fully Achieved</v>
      </c>
      <c r="O4" s="42" t="s">
        <v>81</v>
      </c>
    </row>
    <row r="5" spans="1:50" ht="99.75" customHeight="1" thickTop="1" thickBot="1">
      <c r="A5" s="211" t="str">
        <f>'1. ALL DATA'!A6</f>
        <v>VFM02</v>
      </c>
      <c r="B5" s="212" t="str">
        <f>'1. ALL DATA'!C6</f>
        <v>Leisure and Culture Service Delivery Review</v>
      </c>
      <c r="C5" s="213" t="str">
        <f>'1. ALL DATA'!D6</f>
        <v>Preferred option to be approved by Cabinet (March 2017)</v>
      </c>
      <c r="D5" s="214" t="str">
        <f>'1. ALL DATA'!I6</f>
        <v>Not yet due</v>
      </c>
      <c r="E5" s="429" t="s">
        <v>49</v>
      </c>
      <c r="F5" s="214" t="str">
        <f>'1. ALL DATA'!N6</f>
        <v>Not yet due</v>
      </c>
      <c r="G5" s="429" t="s">
        <v>49</v>
      </c>
      <c r="H5" s="149" t="str">
        <f>'1. ALL DATA'!S6</f>
        <v>Not yet due</v>
      </c>
      <c r="I5" s="429" t="s">
        <v>49</v>
      </c>
      <c r="J5" s="149" t="str">
        <f>'1. ALL DATA'!W6</f>
        <v>Fully Achieved</v>
      </c>
      <c r="O5" s="42" t="s">
        <v>82</v>
      </c>
      <c r="Y5" s="227" t="s">
        <v>263</v>
      </c>
    </row>
    <row r="6" spans="1:50" ht="99.75" customHeight="1" thickTop="1" thickBot="1">
      <c r="A6" s="211" t="str">
        <f>'1. ALL DATA'!A7</f>
        <v>VFM03</v>
      </c>
      <c r="B6" s="212" t="str">
        <f>'1. ALL DATA'!C7</f>
        <v>Improving Customer Service in Cultural Services</v>
      </c>
      <c r="C6" s="213" t="str">
        <f>'1. ALL DATA'!D7</f>
        <v>Develop and embed a range of customer care activities within key service areas i.e. Leisure Centres, Brewhouse, Civic Function Suite and the Market Hall and achieve a customer satisfaction rating of at least 80% (March 2017)</v>
      </c>
      <c r="D6" s="214" t="str">
        <f>'1. ALL DATA'!I7</f>
        <v>Not yet due</v>
      </c>
      <c r="E6" s="429" t="s">
        <v>49</v>
      </c>
      <c r="F6" s="214" t="str">
        <f>'1. ALL DATA'!N7</f>
        <v>On Track to be Achieved</v>
      </c>
      <c r="G6" s="227" t="s">
        <v>263</v>
      </c>
      <c r="H6" s="149" t="str">
        <f>'1. ALL DATA'!S7</f>
        <v>On Track to be Achieved</v>
      </c>
      <c r="I6" s="227" t="s">
        <v>263</v>
      </c>
      <c r="J6" s="149" t="str">
        <f>'1. ALL DATA'!W7</f>
        <v>Fully Achieved</v>
      </c>
      <c r="O6" s="42" t="s">
        <v>83</v>
      </c>
      <c r="T6" s="225"/>
      <c r="Y6" s="428" t="s">
        <v>261</v>
      </c>
    </row>
    <row r="7" spans="1:50" ht="99.75" customHeight="1" thickTop="1" thickBot="1">
      <c r="A7" s="211" t="str">
        <f>'1. ALL DATA'!A8</f>
        <v>VFM04</v>
      </c>
      <c r="B7" s="212" t="str">
        <f>'1. ALL DATA'!C8</f>
        <v xml:space="preserve">Improving Marketing and Promotions in Cultural Services </v>
      </c>
      <c r="C7" s="213" t="str">
        <f>'1. ALL DATA'!D8</f>
        <v>Produce an 'overarching' marketing strategy for Cultural Services (June 2016)</v>
      </c>
      <c r="D7" s="214" t="str">
        <f>'1. ALL DATA'!I8</f>
        <v>Fully Achieved</v>
      </c>
      <c r="E7" s="227" t="s">
        <v>263</v>
      </c>
      <c r="F7" s="214" t="str">
        <f>'1. ALL DATA'!N8</f>
        <v>Fully Achieved</v>
      </c>
      <c r="G7" s="227" t="s">
        <v>263</v>
      </c>
      <c r="H7" s="149" t="str">
        <f>'1. ALL DATA'!S8</f>
        <v>Fully Achieved</v>
      </c>
      <c r="I7" s="227" t="s">
        <v>263</v>
      </c>
      <c r="J7" s="149" t="str">
        <f>'1. ALL DATA'!W8</f>
        <v>Fully Achieved</v>
      </c>
      <c r="O7" s="43" t="s">
        <v>49</v>
      </c>
      <c r="T7" s="226" t="s">
        <v>261</v>
      </c>
    </row>
    <row r="8" spans="1:50" ht="99.75" customHeight="1" thickTop="1">
      <c r="A8" s="211" t="str">
        <f>'1. ALL DATA'!A9</f>
        <v>VFM05</v>
      </c>
      <c r="B8" s="212" t="str">
        <f>'1. ALL DATA'!C9</f>
        <v>Improving Marketing and Promotions in Cultural Services</v>
      </c>
      <c r="C8" s="213" t="str">
        <f>'1. ALL DATA'!D9</f>
        <v>Provide a quarterly update on marketing performance and achieve an 85% completion rate (March 2017)</v>
      </c>
      <c r="D8" s="214" t="str">
        <f>'1. ALL DATA'!I9</f>
        <v>On Track to be Achieved</v>
      </c>
      <c r="E8" s="227" t="s">
        <v>263</v>
      </c>
      <c r="F8" s="214" t="str">
        <f>'1. ALL DATA'!N9</f>
        <v>On Track to be Achieved</v>
      </c>
      <c r="G8" s="227" t="s">
        <v>263</v>
      </c>
      <c r="H8" s="149" t="str">
        <f>'1. ALL DATA'!S9</f>
        <v>On Track to be Achieved</v>
      </c>
      <c r="I8" s="227" t="s">
        <v>263</v>
      </c>
      <c r="J8" s="149" t="str">
        <f>'1. ALL DATA'!W9</f>
        <v>Fully Achieved</v>
      </c>
      <c r="T8" s="226" t="s">
        <v>262</v>
      </c>
    </row>
    <row r="9" spans="1:50" ht="99.75" customHeight="1">
      <c r="A9" s="211" t="str">
        <f>'1. ALL DATA'!A10</f>
        <v>VFM06</v>
      </c>
      <c r="B9" s="212" t="str">
        <f>'1. ALL DATA'!C10</f>
        <v>Developing and Improving the Brewhouse and Civic Function Suite</v>
      </c>
      <c r="C9" s="213" t="str">
        <f>'1. ALL DATA'!D10</f>
        <v>Develop a new Brewhouse Improvement Plan building on and bringing together the work undertaken by the QUAD and the Brewhouse Arts Strategy (September 2016)</v>
      </c>
      <c r="D9" s="214" t="str">
        <f>'1. ALL DATA'!I10</f>
        <v>On Track to be Achieved</v>
      </c>
      <c r="E9" s="227" t="s">
        <v>263</v>
      </c>
      <c r="F9" s="214" t="str">
        <f>'1. ALL DATA'!N10</f>
        <v>Fully Achieved</v>
      </c>
      <c r="G9" s="227" t="s">
        <v>263</v>
      </c>
      <c r="H9" s="149" t="str">
        <f>'1. ALL DATA'!S10</f>
        <v>Fully Achieved</v>
      </c>
      <c r="I9" s="227" t="s">
        <v>263</v>
      </c>
      <c r="J9" s="149" t="str">
        <f>'1. ALL DATA'!W10</f>
        <v>Fully Achieved</v>
      </c>
      <c r="T9" s="226" t="s">
        <v>263</v>
      </c>
    </row>
    <row r="10" spans="1:50" ht="99.75" customHeight="1">
      <c r="A10" s="211" t="str">
        <f>'1. ALL DATA'!A11</f>
        <v>VFM07</v>
      </c>
      <c r="B10" s="212" t="str">
        <f>'1. ALL DATA'!C11</f>
        <v>Developing and Improving the Brewhouse and Civic Function Suite</v>
      </c>
      <c r="C10" s="213" t="str">
        <f>'1. ALL DATA'!D11</f>
        <v>Consider options for developing a new Civic Function Suite brand (in line with new marketing and promotional plans) (October 2016)</v>
      </c>
      <c r="D10" s="214" t="str">
        <f>'1. ALL DATA'!I11</f>
        <v>Fully Achieved</v>
      </c>
      <c r="E10" s="227" t="s">
        <v>263</v>
      </c>
      <c r="F10" s="214" t="str">
        <f>'1. ALL DATA'!N11</f>
        <v>Fully Achieved</v>
      </c>
      <c r="G10" s="227" t="s">
        <v>263</v>
      </c>
      <c r="H10" s="149" t="str">
        <f>'1. ALL DATA'!S11</f>
        <v>Fully Achieved</v>
      </c>
      <c r="I10" s="227" t="s">
        <v>263</v>
      </c>
      <c r="J10" s="149" t="str">
        <f>'1. ALL DATA'!W11</f>
        <v>Fully Achieved</v>
      </c>
    </row>
    <row r="11" spans="1:50" ht="99.75" customHeight="1">
      <c r="A11" s="211" t="str">
        <f>'1. ALL DATA'!A12</f>
        <v>VFM08</v>
      </c>
      <c r="B11" s="212" t="str">
        <f>'1. ALL DATA'!C12</f>
        <v>Developing and Improving the Brewhouse and Civic Function Suite</v>
      </c>
      <c r="C11" s="213" t="str">
        <f>'1. ALL DATA'!D12</f>
        <v>Implement phase 3 of the Civic Function Suite development plan (March 2017)</v>
      </c>
      <c r="D11" s="214" t="str">
        <f>'1. ALL DATA'!I12</f>
        <v>On Track to be Achieved</v>
      </c>
      <c r="E11" s="227" t="s">
        <v>263</v>
      </c>
      <c r="F11" s="214" t="str">
        <f>'1. ALL DATA'!N12</f>
        <v>On Track to be Achieved</v>
      </c>
      <c r="G11" s="227" t="s">
        <v>263</v>
      </c>
      <c r="H11" s="149" t="str">
        <f>'1. ALL DATA'!S12</f>
        <v>On Track to be Achieved</v>
      </c>
      <c r="I11" s="227" t="s">
        <v>263</v>
      </c>
      <c r="J11" s="149" t="str">
        <f>'1. ALL DATA'!W12</f>
        <v>Fully Achieved</v>
      </c>
    </row>
    <row r="12" spans="1:50" ht="99.75" customHeight="1">
      <c r="A12" s="211" t="str">
        <f>'1. ALL DATA'!A13</f>
        <v>VFM09</v>
      </c>
      <c r="B12" s="212" t="str">
        <f>'1. ALL DATA'!C13</f>
        <v>Consideration of Opportunities to Make Leisure and Cultural Facilities Greener</v>
      </c>
      <c r="C12" s="213" t="str">
        <f>'1. ALL DATA'!D13</f>
        <v>Procure and install a combined heat and power unit at Meadowside Leisure Centre (January 2017)</v>
      </c>
      <c r="D12" s="214" t="str">
        <f>'1. ALL DATA'!I13</f>
        <v>On Track to be Achieved</v>
      </c>
      <c r="E12" s="227" t="s">
        <v>263</v>
      </c>
      <c r="F12" s="214" t="str">
        <f>'1. ALL DATA'!N13</f>
        <v>On Track to be Achieved</v>
      </c>
      <c r="G12" s="227" t="s">
        <v>263</v>
      </c>
      <c r="H12" s="149" t="str">
        <f>'1. ALL DATA'!S13</f>
        <v>Fully Achieved</v>
      </c>
      <c r="I12" s="227" t="s">
        <v>263</v>
      </c>
      <c r="J12" s="149" t="str">
        <f>'1. ALL DATA'!W13</f>
        <v>Fully Achieved</v>
      </c>
    </row>
    <row r="13" spans="1:50" ht="99.75" customHeight="1">
      <c r="A13" s="211" t="str">
        <f>'1. ALL DATA'!A14</f>
        <v>VFM10</v>
      </c>
      <c r="B13" s="212" t="str">
        <f>'1. ALL DATA'!C14</f>
        <v>Consideration of Opportunities to Make Leisure and Cultural Facilities Greener</v>
      </c>
      <c r="C13" s="213" t="str">
        <f>'1. ALL DATA'!D14</f>
        <v>Implement the installation of energy saving equipment at the Brewhouse (March 2017)</v>
      </c>
      <c r="D13" s="214" t="str">
        <f>'1. ALL DATA'!I14</f>
        <v>On Track to be Achieved</v>
      </c>
      <c r="E13" s="227" t="s">
        <v>263</v>
      </c>
      <c r="F13" s="214" t="str">
        <f>'1. ALL DATA'!N14</f>
        <v>On Track to be Achieved</v>
      </c>
      <c r="G13" s="227" t="s">
        <v>263</v>
      </c>
      <c r="H13" s="149" t="str">
        <f>'1. ALL DATA'!S14</f>
        <v>On Track to be Achieved</v>
      </c>
      <c r="I13" s="227" t="s">
        <v>263</v>
      </c>
      <c r="J13" s="149" t="str">
        <f>'1. ALL DATA'!W14</f>
        <v>Fully Achieved</v>
      </c>
    </row>
    <row r="14" spans="1:50" ht="99.75" customHeight="1">
      <c r="A14" s="211" t="str">
        <f>'1. ALL DATA'!A15</f>
        <v>VFM11</v>
      </c>
      <c r="B14" s="212" t="str">
        <f>'1. ALL DATA'!C15</f>
        <v>Improving our Facility Operation</v>
      </c>
      <c r="C14" s="213" t="str">
        <f>'1. ALL DATA'!D15</f>
        <v>Undertake a strategic review of how we manage our facilities across the Borough (October 2016)</v>
      </c>
      <c r="D14" s="214" t="str">
        <f>'1. ALL DATA'!I15</f>
        <v>On Track to be Achieved</v>
      </c>
      <c r="E14" s="227" t="s">
        <v>263</v>
      </c>
      <c r="F14" s="214" t="str">
        <f>'1. ALL DATA'!N15</f>
        <v>Fully Achieved</v>
      </c>
      <c r="G14" s="227" t="s">
        <v>263</v>
      </c>
      <c r="H14" s="149" t="str">
        <f>'1. ALL DATA'!S15</f>
        <v>Fully Achieved</v>
      </c>
      <c r="I14" s="227" t="s">
        <v>263</v>
      </c>
      <c r="J14" s="149" t="str">
        <f>'1. ALL DATA'!W15</f>
        <v>Fully Achieved</v>
      </c>
    </row>
    <row r="15" spans="1:50" ht="99.75" customHeight="1">
      <c r="A15" s="211" t="str">
        <f>'1. ALL DATA'!A16</f>
        <v>VFM12</v>
      </c>
      <c r="B15" s="212" t="str">
        <f>'1. ALL DATA'!C16</f>
        <v>Reduce the Cost of our Recycling Operation</v>
      </c>
      <c r="C15" s="213" t="str">
        <f>'1. ALL DATA'!D16</f>
        <v>Procure a new contract for the treatment of garden waste (March 2017)</v>
      </c>
      <c r="D15" s="214" t="str">
        <f>'1. ALL DATA'!I16</f>
        <v>On Track to be Achieved</v>
      </c>
      <c r="E15" s="227" t="s">
        <v>263</v>
      </c>
      <c r="F15" s="214" t="str">
        <f>'1. ALL DATA'!N16</f>
        <v>Fully Achieved</v>
      </c>
      <c r="G15" s="227" t="s">
        <v>263</v>
      </c>
      <c r="H15" s="149" t="str">
        <f>'1. ALL DATA'!S16</f>
        <v>Fully Achieved</v>
      </c>
      <c r="I15" s="227" t="s">
        <v>263</v>
      </c>
      <c r="J15" s="149" t="str">
        <f>'1. ALL DATA'!W16</f>
        <v>Fully Achieved</v>
      </c>
    </row>
    <row r="16" spans="1:50" ht="99.75" customHeight="1">
      <c r="A16" s="211" t="str">
        <f>'1. ALL DATA'!A17</f>
        <v>VFM13</v>
      </c>
      <c r="B16" s="212" t="str">
        <f>'1. ALL DATA'!C17</f>
        <v>Increase the Collection of Waste Electrical and Electronic Equipment (WEEE) appliances</v>
      </c>
      <c r="C16" s="213" t="str">
        <f>'1. ALL DATA'!D17</f>
        <v>Produce a plan to introduce a kerb-side collection service for small appliances (September 2016)</v>
      </c>
      <c r="D16" s="214" t="str">
        <f>'1. ALL DATA'!I17</f>
        <v>On Track to be Achieved</v>
      </c>
      <c r="E16" s="227" t="s">
        <v>263</v>
      </c>
      <c r="F16" s="214" t="str">
        <f>'1. ALL DATA'!N17</f>
        <v>Fully Achieved</v>
      </c>
      <c r="G16" s="227" t="s">
        <v>263</v>
      </c>
      <c r="H16" s="149" t="str">
        <f>'1. ALL DATA'!S17</f>
        <v>Fully Achieved</v>
      </c>
      <c r="I16" s="227" t="s">
        <v>263</v>
      </c>
      <c r="J16" s="149" t="str">
        <f>'1. ALL DATA'!W17</f>
        <v>Fully Achieved</v>
      </c>
    </row>
    <row r="17" spans="1:10" ht="99.75" customHeight="1">
      <c r="A17" s="211" t="str">
        <f>'1. ALL DATA'!A18</f>
        <v>VFM14</v>
      </c>
      <c r="B17" s="212" t="str">
        <f>'1. ALL DATA'!C18</f>
        <v>Working with the County Council, Deliver a Fully Serviced Employment Site in Uttoxeter</v>
      </c>
      <c r="C17" s="213" t="str">
        <f>'1. ALL DATA'!D18</f>
        <v>Complete infrastructure at Dove Way (September 2016)</v>
      </c>
      <c r="D17" s="214" t="str">
        <f>'1. ALL DATA'!I18</f>
        <v>On Track to be Achieved</v>
      </c>
      <c r="E17" s="227" t="s">
        <v>263</v>
      </c>
      <c r="F17" s="214" t="str">
        <f>'1. ALL DATA'!N18</f>
        <v>Fully Achieved</v>
      </c>
      <c r="G17" s="227" t="s">
        <v>263</v>
      </c>
      <c r="H17" s="149" t="str">
        <f>'1. ALL DATA'!S18</f>
        <v>Fully Achieved</v>
      </c>
      <c r="I17" s="227" t="s">
        <v>263</v>
      </c>
      <c r="J17" s="149" t="str">
        <f>'1. ALL DATA'!W18</f>
        <v>Fully Achieved</v>
      </c>
    </row>
    <row r="18" spans="1:10" ht="99.75" customHeight="1">
      <c r="A18" s="211" t="str">
        <f>'1. ALL DATA'!A19</f>
        <v>VFM15</v>
      </c>
      <c r="B18" s="212" t="str">
        <f>'1. ALL DATA'!C19</f>
        <v>Working with the County Council, Deliver a Fully Serviced Residential Site in Uttoxeter</v>
      </c>
      <c r="C18" s="213" t="str">
        <f>'1. ALL DATA'!D19</f>
        <v>Complete infrastructure at Pennycroft Lane (November 2016)</v>
      </c>
      <c r="D18" s="214" t="str">
        <f>'1. ALL DATA'!I19</f>
        <v>On Track to be Achieved</v>
      </c>
      <c r="E18" s="227" t="s">
        <v>263</v>
      </c>
      <c r="F18" s="214" t="str">
        <f>'1. ALL DATA'!N19</f>
        <v>Fully Achieved</v>
      </c>
      <c r="G18" s="227" t="s">
        <v>263</v>
      </c>
      <c r="H18" s="149" t="str">
        <f>'1. ALL DATA'!S19</f>
        <v>Fully Achieved</v>
      </c>
      <c r="I18" s="227" t="s">
        <v>263</v>
      </c>
      <c r="J18" s="149" t="str">
        <f>'1. ALL DATA'!W19</f>
        <v>Fully Achieved</v>
      </c>
    </row>
    <row r="19" spans="1:10" ht="99.75" customHeight="1">
      <c r="A19" s="211" t="str">
        <f>'1. ALL DATA'!A20</f>
        <v>VFM16</v>
      </c>
      <c r="B19" s="212" t="str">
        <f>'1. ALL DATA'!C20</f>
        <v>Working with the County Council,  Deliver a Household Waste Recycling Centre (HWRC) in Uttoxeter</v>
      </c>
      <c r="C19" s="213" t="str">
        <f>'1. ALL DATA'!D20</f>
        <v>Facilitate the opening of a new HWRC off Dove Way (September 2016)</v>
      </c>
      <c r="D19" s="214" t="str">
        <f>'1. ALL DATA'!I20</f>
        <v>On Track to be Achieved</v>
      </c>
      <c r="E19" s="227" t="s">
        <v>263</v>
      </c>
      <c r="F19" s="214" t="str">
        <f>'1. ALL DATA'!N20</f>
        <v>Fully Achieved</v>
      </c>
      <c r="G19" s="227" t="s">
        <v>263</v>
      </c>
      <c r="H19" s="149" t="str">
        <f>'1. ALL DATA'!S20</f>
        <v>Fully Achieved</v>
      </c>
      <c r="I19" s="227" t="s">
        <v>263</v>
      </c>
      <c r="J19" s="149" t="str">
        <f>'1. ALL DATA'!W20</f>
        <v>Fully Achieved</v>
      </c>
    </row>
    <row r="20" spans="1:10" ht="99.75" customHeight="1">
      <c r="A20" s="211" t="str">
        <f>'1. ALL DATA'!A21</f>
        <v>VFM17</v>
      </c>
      <c r="B20" s="212" t="str">
        <f>'1. ALL DATA'!C21</f>
        <v>Continue to improve the ways we provide  Benefits to those most in need: Time taken to process Benefit new claims and change events 
(Previously NI 181)</v>
      </c>
      <c r="C20" s="213" t="str">
        <f>'1. ALL DATA'!D21</f>
        <v>9 days</v>
      </c>
      <c r="D20" s="214" t="str">
        <f>'1. ALL DATA'!I21</f>
        <v>On Track to be Achieved</v>
      </c>
      <c r="E20" s="227" t="s">
        <v>263</v>
      </c>
      <c r="F20" s="214" t="str">
        <f>'1. ALL DATA'!N21</f>
        <v>On Track to be Achieved</v>
      </c>
      <c r="G20" s="227" t="s">
        <v>263</v>
      </c>
      <c r="H20" s="149" t="str">
        <f>'1. ALL DATA'!S21</f>
        <v>On Track to be Achieved</v>
      </c>
      <c r="I20" s="227" t="s">
        <v>263</v>
      </c>
      <c r="J20" s="149" t="str">
        <f>'1. ALL DATA'!W21</f>
        <v>Numerical Outturn Within 5% Tolerance</v>
      </c>
    </row>
    <row r="21" spans="1:10" ht="99.75" customHeight="1">
      <c r="A21" s="211" t="str">
        <f>'1. ALL DATA'!A22</f>
        <v>VFM18</v>
      </c>
      <c r="B21" s="212" t="str">
        <f>'1. ALL DATA'!C22</f>
        <v>Continue to improve the ways we provide  Benefits to those most in need: Time taken to process Benefit new claims when all the information has been provided</v>
      </c>
      <c r="C21" s="213" t="str">
        <f>'1. ALL DATA'!D22</f>
        <v>3 days</v>
      </c>
      <c r="D21" s="214" t="str">
        <f>'1. ALL DATA'!I22</f>
        <v>On Track to be Achieved</v>
      </c>
      <c r="E21" s="227" t="s">
        <v>263</v>
      </c>
      <c r="F21" s="214" t="str">
        <f>'1. ALL DATA'!N22</f>
        <v>On Track to be Achieved</v>
      </c>
      <c r="G21" s="226" t="s">
        <v>261</v>
      </c>
      <c r="H21" s="149" t="str">
        <f>'1. ALL DATA'!S22</f>
        <v>In Danger of Falling Behind Target</v>
      </c>
      <c r="I21" s="226" t="s">
        <v>261</v>
      </c>
      <c r="J21" s="149" t="str">
        <f>'1. ALL DATA'!W22</f>
        <v>Off Target</v>
      </c>
    </row>
    <row r="22" spans="1:10" ht="99.75" customHeight="1">
      <c r="A22" s="211" t="str">
        <f>'1. ALL DATA'!A23</f>
        <v>VFM19</v>
      </c>
      <c r="B22" s="212" t="str">
        <f>'1. ALL DATA'!C23</f>
        <v>Continuing to improve customer access to services</v>
      </c>
      <c r="C22" s="213" t="str">
        <f>'1. ALL DATA'!D23</f>
        <v>99% of CSC and telephony team enquiries resolved at first point of contact</v>
      </c>
      <c r="D22" s="214" t="str">
        <f>'1. ALL DATA'!I23</f>
        <v>On Track to be Achieved</v>
      </c>
      <c r="E22" s="227" t="s">
        <v>263</v>
      </c>
      <c r="F22" s="214" t="str">
        <f>'1. ALL DATA'!N23</f>
        <v>On Track to be Achieved</v>
      </c>
      <c r="G22" s="227" t="s">
        <v>263</v>
      </c>
      <c r="H22" s="149" t="str">
        <f>'1. ALL DATA'!S23</f>
        <v>On Track to be Achieved</v>
      </c>
      <c r="I22" s="227" t="s">
        <v>263</v>
      </c>
      <c r="J22" s="149" t="str">
        <f>'1. ALL DATA'!W23</f>
        <v>Fully Achieved</v>
      </c>
    </row>
    <row r="23" spans="1:10" ht="99.75" customHeight="1">
      <c r="A23" s="211" t="str">
        <f>'1. ALL DATA'!A24</f>
        <v>VFM20</v>
      </c>
      <c r="B23" s="212" t="str">
        <f>'1. ALL DATA'!C24</f>
        <v>Continuing to improve customer access to services</v>
      </c>
      <c r="C23" s="213" t="str">
        <f>'1. ALL DATA'!D24</f>
        <v xml:space="preserve">Minimum 70% Telephony team calls answered within 10 seconds </v>
      </c>
      <c r="D23" s="214" t="str">
        <f>'1. ALL DATA'!I24</f>
        <v>On Track to be Achieved</v>
      </c>
      <c r="E23" s="227" t="s">
        <v>263</v>
      </c>
      <c r="F23" s="214" t="str">
        <f>'1. ALL DATA'!N24</f>
        <v>On Track to be Achieved</v>
      </c>
      <c r="G23" s="227" t="s">
        <v>263</v>
      </c>
      <c r="H23" s="149" t="str">
        <f>'1. ALL DATA'!S24</f>
        <v>On Track to be Achieved</v>
      </c>
      <c r="I23" s="227" t="s">
        <v>263</v>
      </c>
      <c r="J23" s="149" t="str">
        <f>'1. ALL DATA'!W24</f>
        <v>Fully Achieved</v>
      </c>
    </row>
    <row r="24" spans="1:10" ht="99.75" customHeight="1">
      <c r="A24" s="211" t="str">
        <f>'1. ALL DATA'!A25</f>
        <v>VFM21</v>
      </c>
      <c r="B24" s="212" t="str">
        <f>'1. ALL DATA'!C25</f>
        <v>Working towards the roll-out of Universal Credit</v>
      </c>
      <c r="C24" s="213" t="str">
        <f>'1. ALL DATA'!D25</f>
        <v xml:space="preserve">Review and revise where appropriate working arrangements with partners (September 2016)  </v>
      </c>
      <c r="D24" s="214" t="str">
        <f>'1. ALL DATA'!I25</f>
        <v>Not yet due</v>
      </c>
      <c r="E24" s="429" t="s">
        <v>49</v>
      </c>
      <c r="F24" s="214" t="str">
        <f>'1. ALL DATA'!N25</f>
        <v>Fully Achieved</v>
      </c>
      <c r="G24" s="227" t="s">
        <v>263</v>
      </c>
      <c r="H24" s="149" t="str">
        <f>'1. ALL DATA'!S25</f>
        <v>Fully Achieved</v>
      </c>
      <c r="I24" s="227" t="s">
        <v>263</v>
      </c>
      <c r="J24" s="149" t="str">
        <f>'1. ALL DATA'!W25</f>
        <v>Fully Achieved</v>
      </c>
    </row>
    <row r="25" spans="1:10" ht="99.75" customHeight="1">
      <c r="A25" s="211" t="str">
        <f>'1. ALL DATA'!A26</f>
        <v>VFM22</v>
      </c>
      <c r="B25" s="212" t="str">
        <f>'1. ALL DATA'!C26</f>
        <v>Working towards the roll-out of Universal Credit</v>
      </c>
      <c r="C25" s="213" t="str">
        <f>'1. ALL DATA'!D26</f>
        <v>Continue to prepare for roll-out in accordance with Government guidelines  (March 2017)</v>
      </c>
      <c r="D25" s="214" t="str">
        <f>'1. ALL DATA'!I26</f>
        <v>Not yet due</v>
      </c>
      <c r="E25" s="429" t="s">
        <v>49</v>
      </c>
      <c r="F25" s="214" t="str">
        <f>'1. ALL DATA'!N26</f>
        <v>Not yet due</v>
      </c>
      <c r="G25" s="429" t="s">
        <v>49</v>
      </c>
      <c r="H25" s="149" t="str">
        <f>'1. ALL DATA'!S26</f>
        <v>Not yet due</v>
      </c>
      <c r="I25" s="429" t="s">
        <v>49</v>
      </c>
      <c r="J25" s="149" t="str">
        <f>'1. ALL DATA'!W26</f>
        <v>Fully Achieved</v>
      </c>
    </row>
    <row r="26" spans="1:10" ht="99.75" customHeight="1">
      <c r="A26" s="211" t="str">
        <f>'1. ALL DATA'!A27</f>
        <v>VFM23</v>
      </c>
      <c r="B26" s="212" t="str">
        <f>'1. ALL DATA'!C27</f>
        <v>Working towards the reduction of Claimant error Housing Benefit Overpayments (HBOPs): % of HBOPs overpayments recovered during the year; % of HBOPS processed and on payment arrangement</v>
      </c>
      <c r="C26" s="213" t="str">
        <f>'1. ALL DATA'!D27</f>
        <v>a) 60% of HBOPs overpayments recovered during the year
b) 80% of HBOPs processed and on payment arrangement</v>
      </c>
      <c r="D26" s="214" t="str">
        <f>'1. ALL DATA'!I27</f>
        <v>On Track to be Achieved</v>
      </c>
      <c r="E26" s="227" t="s">
        <v>263</v>
      </c>
      <c r="F26" s="214" t="str">
        <f>'1. ALL DATA'!N27</f>
        <v>On Track to be Achieved</v>
      </c>
      <c r="G26" s="227" t="s">
        <v>263</v>
      </c>
      <c r="H26" s="149" t="str">
        <f>'1. ALL DATA'!S27</f>
        <v>On Track to be Achieved</v>
      </c>
      <c r="I26" s="227" t="s">
        <v>263</v>
      </c>
      <c r="J26" s="149" t="str">
        <f>'1. ALL DATA'!W27</f>
        <v>Fully Achieved</v>
      </c>
    </row>
    <row r="27" spans="1:10" ht="99.75" customHeight="1">
      <c r="A27" s="211" t="str">
        <f>'1. ALL DATA'!A28</f>
        <v>VFM24</v>
      </c>
      <c r="B27" s="212" t="str">
        <f>'1. ALL DATA'!C28</f>
        <v xml:space="preserve">Continue to maximise income through effective collection processes (Previously BV 9 &amp; 10)  </v>
      </c>
      <c r="C27" s="213" t="str">
        <f>'1. ALL DATA'!D28</f>
        <v>Collection Rates: 
a) Council Tax 98%  
b) NNDR 99%</v>
      </c>
      <c r="D27" s="214" t="str">
        <f>'1. ALL DATA'!I28</f>
        <v>On Track to be Achieved</v>
      </c>
      <c r="E27" s="227" t="s">
        <v>263</v>
      </c>
      <c r="F27" s="214" t="str">
        <f>'1. ALL DATA'!N28</f>
        <v>On Track to be Achieved</v>
      </c>
      <c r="G27" s="227" t="s">
        <v>263</v>
      </c>
      <c r="H27" s="149" t="str">
        <f>'1. ALL DATA'!S28</f>
        <v>On Track to be Achieved</v>
      </c>
      <c r="I27" s="227" t="s">
        <v>263</v>
      </c>
      <c r="J27" s="149" t="str">
        <f>'1. ALL DATA'!W28</f>
        <v>Numerical Outturn Within 5% Tolerance</v>
      </c>
    </row>
    <row r="28" spans="1:10" ht="99.75" customHeight="1">
      <c r="A28" s="211" t="str">
        <f>'1. ALL DATA'!A29</f>
        <v>VFM25</v>
      </c>
      <c r="B28" s="212" t="str">
        <f>'1. ALL DATA'!C29</f>
        <v>Continue to maximise income through effective collection processes: Reduce Former Years Arrears for Council Tax; NNDR; Sundry Debts</v>
      </c>
      <c r="C28" s="213" t="str">
        <f>'1. ALL DATA'!D29</f>
        <v xml:space="preserve">a) Council Tax: 1,500,000
b) NNDR: £500,000
c) Sundry Debts: £45,000
</v>
      </c>
      <c r="D28" s="214" t="str">
        <f>'1. ALL DATA'!I29</f>
        <v>On Track to be Achieved</v>
      </c>
      <c r="E28" s="227" t="s">
        <v>263</v>
      </c>
      <c r="F28" s="214" t="str">
        <f>'1. ALL DATA'!N29</f>
        <v>On Track to be Achieved</v>
      </c>
      <c r="G28" s="226" t="s">
        <v>261</v>
      </c>
      <c r="H28" s="149" t="str">
        <f>'1. ALL DATA'!S29</f>
        <v>In Danger of Falling Behind Target</v>
      </c>
      <c r="I28" s="227" t="s">
        <v>263</v>
      </c>
      <c r="J28" s="149" t="str">
        <f>'1. ALL DATA'!W29</f>
        <v>Target Partially Met</v>
      </c>
    </row>
    <row r="29" spans="1:10" ht="99.75" customHeight="1">
      <c r="A29" s="211" t="str">
        <f>'1. ALL DATA'!A30</f>
        <v>VFM26</v>
      </c>
      <c r="B29" s="212" t="str">
        <f>'1. ALL DATA'!C30</f>
        <v xml:space="preserve">Maintain and improve the District Auditor's opinion of the authority </v>
      </c>
      <c r="C29" s="213" t="str">
        <f>'1. ALL DATA'!D30</f>
        <v>Achieve unqualified opinions on:
a) Statement of Accounts with minimal errors; 
b) In relation to Value for Money</v>
      </c>
      <c r="D29" s="214" t="str">
        <f>'1. ALL DATA'!I30</f>
        <v>On Track to be Achieved</v>
      </c>
      <c r="E29" s="227" t="s">
        <v>263</v>
      </c>
      <c r="F29" s="214" t="str">
        <f>'1. ALL DATA'!N30</f>
        <v>Fully Achieved</v>
      </c>
      <c r="G29" s="227" t="s">
        <v>263</v>
      </c>
      <c r="H29" s="149" t="str">
        <f>'1. ALL DATA'!S30</f>
        <v>Fully Achieved</v>
      </c>
      <c r="I29" s="227" t="s">
        <v>263</v>
      </c>
      <c r="J29" s="149" t="str">
        <f>'1. ALL DATA'!W30</f>
        <v>Fully Achieved</v>
      </c>
    </row>
    <row r="30" spans="1:10" ht="99.75" customHeight="1">
      <c r="A30" s="211" t="str">
        <f>'1. ALL DATA'!A31</f>
        <v>VFM27</v>
      </c>
      <c r="B30" s="212" t="str">
        <f>'1. ALL DATA'!C31</f>
        <v>Set budget for 2017/18</v>
      </c>
      <c r="C30" s="213" t="str">
        <f>'1. ALL DATA'!D31</f>
        <v>Set budget for Council approval (February 2017)</v>
      </c>
      <c r="D30" s="214" t="str">
        <f>'1. ALL DATA'!I31</f>
        <v>Not yet due</v>
      </c>
      <c r="E30" s="429" t="s">
        <v>49</v>
      </c>
      <c r="F30" s="214" t="str">
        <f>'1. ALL DATA'!N31</f>
        <v>Not yet due</v>
      </c>
      <c r="G30" s="429" t="s">
        <v>49</v>
      </c>
      <c r="H30" s="149" t="str">
        <f>'1. ALL DATA'!S31</f>
        <v>On Track to be Achieved</v>
      </c>
      <c r="I30" s="227" t="s">
        <v>263</v>
      </c>
      <c r="J30" s="149" t="str">
        <f>'1. ALL DATA'!W31</f>
        <v>Fully Achieved</v>
      </c>
    </row>
    <row r="31" spans="1:10" ht="99.75" customHeight="1">
      <c r="A31" s="211" t="str">
        <f>'1. ALL DATA'!A32</f>
        <v>VFM28</v>
      </c>
      <c r="B31" s="212" t="str">
        <f>'1. ALL DATA'!C32</f>
        <v xml:space="preserve">Improve Finance awareness with Members  </v>
      </c>
      <c r="C31" s="213" t="str">
        <f>'1. ALL DATA'!D32</f>
        <v>At least 2 briefings delivered to elected members during the year (March 2017)</v>
      </c>
      <c r="D31" s="214" t="str">
        <f>'1. ALL DATA'!I32</f>
        <v>Not yet due</v>
      </c>
      <c r="E31" s="429" t="s">
        <v>49</v>
      </c>
      <c r="F31" s="214" t="str">
        <f>'1. ALL DATA'!N32</f>
        <v>On Track to be Achieved</v>
      </c>
      <c r="G31" s="227" t="s">
        <v>263</v>
      </c>
      <c r="H31" s="149" t="str">
        <f>'1. ALL DATA'!S32</f>
        <v>On Track to be Achieved</v>
      </c>
      <c r="I31" s="227" t="s">
        <v>263</v>
      </c>
      <c r="J31" s="149" t="str">
        <f>'1. ALL DATA'!W32</f>
        <v>Fully Achieved</v>
      </c>
    </row>
    <row r="32" spans="1:10" ht="99.75" customHeight="1">
      <c r="A32" s="211" t="str">
        <f>'1. ALL DATA'!A33</f>
        <v>VFM29</v>
      </c>
      <c r="B32" s="212" t="str">
        <f>'1. ALL DATA'!C33</f>
        <v>To continually improve the value for money of council services</v>
      </c>
      <c r="C32" s="213" t="str">
        <f>'1. ALL DATA'!D33</f>
        <v>Achieve savings targets as stated in the Medium Term Financial Strategy (March 2017)</v>
      </c>
      <c r="D32" s="214" t="str">
        <f>'1. ALL DATA'!I33</f>
        <v>Not yet due</v>
      </c>
      <c r="E32" s="429" t="s">
        <v>49</v>
      </c>
      <c r="F32" s="214" t="str">
        <f>'1. ALL DATA'!N33</f>
        <v>On Track to be Achieved</v>
      </c>
      <c r="G32" s="227" t="s">
        <v>263</v>
      </c>
      <c r="H32" s="149" t="str">
        <f>'1. ALL DATA'!S33</f>
        <v>On Track to be Achieved</v>
      </c>
      <c r="I32" s="227" t="s">
        <v>263</v>
      </c>
      <c r="J32" s="149" t="str">
        <f>'1. ALL DATA'!W33</f>
        <v>Fully Achieved</v>
      </c>
    </row>
    <row r="33" spans="1:10" ht="99.75" customHeight="1">
      <c r="A33" s="211" t="str">
        <f>'1. ALL DATA'!A34</f>
        <v>VFM30</v>
      </c>
      <c r="B33" s="212" t="str">
        <f>'1. ALL DATA'!C34</f>
        <v>To continually improve the value for money of council services</v>
      </c>
      <c r="C33" s="213" t="str">
        <f>'1. ALL DATA'!D34</f>
        <v xml:space="preserve">Devise and introduce a new Corporate Fees and Charging Policy (December 2016)         </v>
      </c>
      <c r="D33" s="214" t="str">
        <f>'1. ALL DATA'!I34</f>
        <v>Not yet due</v>
      </c>
      <c r="E33" s="429" t="s">
        <v>49</v>
      </c>
      <c r="F33" s="214" t="str">
        <f>'1. ALL DATA'!N34</f>
        <v>On Track to be Achieved</v>
      </c>
      <c r="G33" s="227" t="s">
        <v>263</v>
      </c>
      <c r="H33" s="149" t="str">
        <f>'1. ALL DATA'!S34</f>
        <v>Fully Achieved</v>
      </c>
      <c r="I33" s="227" t="s">
        <v>263</v>
      </c>
      <c r="J33" s="149" t="str">
        <f>'1. ALL DATA'!W34</f>
        <v>Fully Achieved</v>
      </c>
    </row>
    <row r="34" spans="1:10" ht="99.75" customHeight="1">
      <c r="A34" s="211" t="str">
        <f>'1. ALL DATA'!A35</f>
        <v>VFM31</v>
      </c>
      <c r="B34" s="212" t="str">
        <f>'1. ALL DATA'!C35</f>
        <v>To continually improve the value for money of council services</v>
      </c>
      <c r="C34" s="213" t="str">
        <f>'1. ALL DATA'!D35</f>
        <v>Consider the merits of introducing a Council Efficiency Plan (September 2016)</v>
      </c>
      <c r="D34" s="214" t="str">
        <f>'1. ALL DATA'!I35</f>
        <v>On Track to be Achieved</v>
      </c>
      <c r="E34" s="227" t="s">
        <v>263</v>
      </c>
      <c r="F34" s="214" t="str">
        <f>'1. ALL DATA'!N35</f>
        <v>Fully Achieved</v>
      </c>
      <c r="G34" s="227" t="s">
        <v>263</v>
      </c>
      <c r="H34" s="149" t="str">
        <f>'1. ALL DATA'!S35</f>
        <v>Fully Achieved</v>
      </c>
      <c r="I34" s="227" t="s">
        <v>263</v>
      </c>
      <c r="J34" s="149" t="str">
        <f>'1. ALL DATA'!W35</f>
        <v>Fully Achieved</v>
      </c>
    </row>
    <row r="35" spans="1:10" ht="99.75" customHeight="1">
      <c r="A35" s="211" t="str">
        <f>'1. ALL DATA'!A36</f>
        <v>VFM32</v>
      </c>
      <c r="B35" s="212" t="str">
        <f>'1. ALL DATA'!C36</f>
        <v>Providing a secure virtual working environment</v>
      </c>
      <c r="C35" s="213" t="str">
        <f>'1. ALL DATA'!D36</f>
        <v>Achieve GCHQ PSN Compliance for access to Government Secure Intranet (December 2016)</v>
      </c>
      <c r="D35" s="214" t="str">
        <f>'1. ALL DATA'!I36</f>
        <v>Not yet due</v>
      </c>
      <c r="E35" s="429" t="s">
        <v>49</v>
      </c>
      <c r="F35" s="214" t="str">
        <f>'1. ALL DATA'!N36</f>
        <v>Not yet due</v>
      </c>
      <c r="G35" s="429" t="s">
        <v>49</v>
      </c>
      <c r="H35" s="149" t="str">
        <f>'1. ALL DATA'!S36</f>
        <v>Fully Achieved</v>
      </c>
      <c r="I35" s="227" t="s">
        <v>263</v>
      </c>
      <c r="J35" s="149" t="str">
        <f>'1. ALL DATA'!W36</f>
        <v>Fully Achieved</v>
      </c>
    </row>
    <row r="36" spans="1:10" ht="99.75" customHeight="1">
      <c r="A36" s="211" t="str">
        <f>'1. ALL DATA'!A37</f>
        <v>VFM33</v>
      </c>
      <c r="B36" s="212" t="str">
        <f>'1. ALL DATA'!C37</f>
        <v>Delivering the SMART Borough Agenda</v>
      </c>
      <c r="C36" s="213" t="str">
        <f>'1. ALL DATA'!D37</f>
        <v>Maximise agile working opportunities through improved network access (June 2016)</v>
      </c>
      <c r="D36" s="214" t="str">
        <f>'1. ALL DATA'!I37</f>
        <v>Fully Achieved</v>
      </c>
      <c r="E36" s="227" t="s">
        <v>263</v>
      </c>
      <c r="F36" s="214" t="str">
        <f>'1. ALL DATA'!N37</f>
        <v>Fully Achieved</v>
      </c>
      <c r="G36" s="227" t="s">
        <v>263</v>
      </c>
      <c r="H36" s="149" t="str">
        <f>'1. ALL DATA'!S37</f>
        <v>Fully Achieved</v>
      </c>
      <c r="I36" s="227" t="s">
        <v>263</v>
      </c>
      <c r="J36" s="149" t="str">
        <f>'1. ALL DATA'!W37</f>
        <v>Fully Achieved</v>
      </c>
    </row>
    <row r="37" spans="1:10" ht="99.75" customHeight="1">
      <c r="A37" s="211" t="str">
        <f>'1. ALL DATA'!A38</f>
        <v>VFM34</v>
      </c>
      <c r="B37" s="212" t="str">
        <f>'1. ALL DATA'!C38</f>
        <v>Delivering the SMART Borough Agenda</v>
      </c>
      <c r="C37" s="213" t="str">
        <f>'1. ALL DATA'!D38</f>
        <v>Carry out maintenance and licensing review on software (December 2016)</v>
      </c>
      <c r="D37" s="214" t="str">
        <f>'1. ALL DATA'!I38</f>
        <v>Not yet due</v>
      </c>
      <c r="E37" s="429" t="s">
        <v>49</v>
      </c>
      <c r="F37" s="214" t="str">
        <f>'1. ALL DATA'!N38</f>
        <v>Not yet due</v>
      </c>
      <c r="G37" s="429" t="s">
        <v>49</v>
      </c>
      <c r="H37" s="149" t="str">
        <f>'1. ALL DATA'!S38</f>
        <v>Fully Achieved</v>
      </c>
      <c r="I37" s="227" t="s">
        <v>263</v>
      </c>
      <c r="J37" s="149" t="str">
        <f>'1. ALL DATA'!W38</f>
        <v>Fully Achieved</v>
      </c>
    </row>
    <row r="38" spans="1:10" ht="99.75" customHeight="1">
      <c r="A38" s="211" t="str">
        <f>'1. ALL DATA'!A39</f>
        <v>VFM35</v>
      </c>
      <c r="B38" s="212" t="str">
        <f>'1. ALL DATA'!C39</f>
        <v>Delivering the SMART Borough Agenda</v>
      </c>
      <c r="C38" s="213" t="str">
        <f>'1. ALL DATA'!D39</f>
        <v>E-Services campaign live with take-up baselined (June 2016)</v>
      </c>
      <c r="D38" s="214" t="str">
        <f>'1. ALL DATA'!I39</f>
        <v>Fully Achieved</v>
      </c>
      <c r="E38" s="227" t="s">
        <v>263</v>
      </c>
      <c r="F38" s="214" t="str">
        <f>'1. ALL DATA'!N39</f>
        <v>Fully Achieved</v>
      </c>
      <c r="G38" s="227" t="s">
        <v>263</v>
      </c>
      <c r="H38" s="149" t="str">
        <f>'1. ALL DATA'!S39</f>
        <v>Fully Achieved</v>
      </c>
      <c r="I38" s="227" t="s">
        <v>263</v>
      </c>
      <c r="J38" s="149" t="str">
        <f>'1. ALL DATA'!W39</f>
        <v>Fully Achieved</v>
      </c>
    </row>
    <row r="39" spans="1:10" ht="99.75" customHeight="1">
      <c r="A39" s="211" t="str">
        <f>'1. ALL DATA'!A40</f>
        <v>VFM36</v>
      </c>
      <c r="B39" s="212" t="str">
        <f>'1. ALL DATA'!C40</f>
        <v>Delivering the SMART Borough Agenda</v>
      </c>
      <c r="C39" s="213" t="str">
        <f>'1. ALL DATA'!D40</f>
        <v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v>
      </c>
      <c r="D39" s="214" t="str">
        <f>'1. ALL DATA'!I40</f>
        <v>Not yet due</v>
      </c>
      <c r="E39" s="429" t="s">
        <v>49</v>
      </c>
      <c r="F39" s="214" t="str">
        <f>'1. ALL DATA'!N40</f>
        <v>On Track to be Achieved</v>
      </c>
      <c r="G39" s="226" t="s">
        <v>261</v>
      </c>
      <c r="H39" s="149" t="str">
        <f>'1. ALL DATA'!S40</f>
        <v>In Danger of Falling Behind Target</v>
      </c>
      <c r="I39" s="227" t="s">
        <v>263</v>
      </c>
      <c r="J39" s="149" t="str">
        <f>'1. ALL DATA'!W40</f>
        <v>Target Partially Met</v>
      </c>
    </row>
    <row r="40" spans="1:10" ht="99.75" customHeight="1">
      <c r="A40" s="211" t="str">
        <f>'1. ALL DATA'!A41</f>
        <v>VFM37</v>
      </c>
      <c r="B40" s="212" t="str">
        <f>'1. ALL DATA'!C41</f>
        <v>Continuing to improve the value for money of council services</v>
      </c>
      <c r="C40" s="213" t="str">
        <f>'1. ALL DATA'!D41</f>
        <v>Carry out a review of the Shopmobility Service (December 2016)</v>
      </c>
      <c r="D40" s="214" t="str">
        <f>'1. ALL DATA'!I41</f>
        <v>Not yet due</v>
      </c>
      <c r="E40" s="429" t="s">
        <v>49</v>
      </c>
      <c r="F40" s="214" t="str">
        <f>'1. ALL DATA'!N41</f>
        <v>On Track to be Achieved</v>
      </c>
      <c r="G40" s="227" t="s">
        <v>263</v>
      </c>
      <c r="H40" s="149" t="str">
        <f>'1. ALL DATA'!S41</f>
        <v>Fully Achieved</v>
      </c>
      <c r="I40" s="227" t="s">
        <v>263</v>
      </c>
      <c r="J40" s="149" t="str">
        <f>'1. ALL DATA'!W41</f>
        <v>Fully Achieved</v>
      </c>
    </row>
    <row r="41" spans="1:10" ht="99.75" customHeight="1">
      <c r="A41" s="211" t="str">
        <f>'1. ALL DATA'!A42</f>
        <v>VFM38</v>
      </c>
      <c r="B41" s="212" t="str">
        <f>'1. ALL DATA'!C42</f>
        <v>To continually improve the value for money of council services</v>
      </c>
      <c r="C41" s="213" t="str">
        <f>'1. ALL DATA'!D42</f>
        <v>90% satisfaction with the corporate contribution to the strategic leisure appraisal (March 2017)</v>
      </c>
      <c r="D41" s="214" t="str">
        <f>'1. ALL DATA'!I42</f>
        <v>Not yet due</v>
      </c>
      <c r="E41" s="429" t="s">
        <v>49</v>
      </c>
      <c r="F41" s="214" t="str">
        <f>'1. ALL DATA'!N42</f>
        <v>Not yet due</v>
      </c>
      <c r="G41" s="429" t="s">
        <v>49</v>
      </c>
      <c r="H41" s="149" t="str">
        <f>'1. ALL DATA'!S42</f>
        <v>Not yet due</v>
      </c>
      <c r="I41" s="429" t="s">
        <v>49</v>
      </c>
      <c r="J41" s="149" t="str">
        <f>'1. ALL DATA'!W42</f>
        <v>Fully Achieved</v>
      </c>
    </row>
    <row r="42" spans="1:10" ht="99.75" customHeight="1">
      <c r="A42" s="211" t="str">
        <f>'1. ALL DATA'!A43</f>
        <v>VFM39</v>
      </c>
      <c r="B42" s="212" t="str">
        <f>'1. ALL DATA'!C43</f>
        <v>To continually improve the value for money of council services</v>
      </c>
      <c r="C42" s="213" t="str">
        <f>'1. ALL DATA'!D43</f>
        <v>Revised Corporate Procurement Strategy approved (April 2016)</v>
      </c>
      <c r="D42" s="214" t="str">
        <f>'1. ALL DATA'!I43</f>
        <v>Fully Achieved</v>
      </c>
      <c r="E42" s="227" t="s">
        <v>263</v>
      </c>
      <c r="F42" s="214" t="str">
        <f>'1. ALL DATA'!N43</f>
        <v>Fully Achieved</v>
      </c>
      <c r="G42" s="227" t="s">
        <v>263</v>
      </c>
      <c r="H42" s="149" t="str">
        <f>'1. ALL DATA'!S43</f>
        <v>Fully Achieved</v>
      </c>
      <c r="I42" s="227" t="s">
        <v>263</v>
      </c>
      <c r="J42" s="149" t="str">
        <f>'1. ALL DATA'!W43</f>
        <v>Fully Achieved</v>
      </c>
    </row>
    <row r="43" spans="1:10" ht="99.75" customHeight="1">
      <c r="A43" s="211" t="str">
        <f>'1. ALL DATA'!A44</f>
        <v>VFM40</v>
      </c>
      <c r="B43" s="212" t="str">
        <f>'1. ALL DATA'!C44</f>
        <v>Increasing staffing availability through reduced sickness</v>
      </c>
      <c r="C43" s="213" t="str">
        <f>'1. ALL DATA'!D44</f>
        <v>Short term sickness days average under 3 days</v>
      </c>
      <c r="D43" s="214" t="str">
        <f>'1. ALL DATA'!I44</f>
        <v>On Track to be Achieved</v>
      </c>
      <c r="E43" s="227" t="s">
        <v>263</v>
      </c>
      <c r="F43" s="214" t="str">
        <f>'1. ALL DATA'!N44</f>
        <v>On Track to be Achieved</v>
      </c>
      <c r="G43" s="227" t="s">
        <v>263</v>
      </c>
      <c r="H43" s="149" t="str">
        <f>'1. ALL DATA'!S44</f>
        <v>On Track to be Achieved</v>
      </c>
      <c r="I43" s="227" t="s">
        <v>263</v>
      </c>
      <c r="J43" s="149" t="str">
        <f>'1. ALL DATA'!W44</f>
        <v>Fully Achieved</v>
      </c>
    </row>
    <row r="44" spans="1:10" ht="99.75" customHeight="1">
      <c r="A44" s="211" t="str">
        <f>'1. ALL DATA'!A45</f>
        <v>VFM41</v>
      </c>
      <c r="B44" s="212" t="str">
        <f>'1. ALL DATA'!C45</f>
        <v>Staff appraisals completed by end of May</v>
      </c>
      <c r="C44" s="213" t="str">
        <f>'1. ALL DATA'!D45</f>
        <v>At least 98%</v>
      </c>
      <c r="D44" s="214" t="str">
        <f>'1. ALL DATA'!I45</f>
        <v>Fully Achieved</v>
      </c>
      <c r="E44" s="227" t="s">
        <v>263</v>
      </c>
      <c r="F44" s="214" t="str">
        <f>'1. ALL DATA'!N45</f>
        <v>Fully Achieved</v>
      </c>
      <c r="G44" s="227" t="s">
        <v>263</v>
      </c>
      <c r="H44" s="149" t="str">
        <f>'1. ALL DATA'!S45</f>
        <v>Fully Achieved</v>
      </c>
      <c r="I44" s="227" t="s">
        <v>263</v>
      </c>
      <c r="J44" s="149" t="str">
        <f>'1. ALL DATA'!W45</f>
        <v>Fully Achieved</v>
      </c>
    </row>
    <row r="45" spans="1:10" ht="99.75" customHeight="1">
      <c r="A45" s="211" t="str">
        <f>'1. ALL DATA'!A46</f>
        <v>VFM42</v>
      </c>
      <c r="B45" s="212" t="str">
        <f>'1. ALL DATA'!C46</f>
        <v xml:space="preserve">Improve on the average time to pay Creditors </v>
      </c>
      <c r="C45" s="213" t="str">
        <f>'1. ALL DATA'!D46</f>
        <v>13 days</v>
      </c>
      <c r="D45" s="214" t="str">
        <f>'1. ALL DATA'!I46</f>
        <v>On Track to be Achieved</v>
      </c>
      <c r="E45" s="227" t="s">
        <v>263</v>
      </c>
      <c r="F45" s="214" t="str">
        <f>'1. ALL DATA'!N46</f>
        <v>On Track to be Achieved</v>
      </c>
      <c r="G45" s="227" t="s">
        <v>263</v>
      </c>
      <c r="H45" s="149" t="str">
        <f>'1. ALL DATA'!S46</f>
        <v>On Track to be Achieved</v>
      </c>
      <c r="I45" s="227" t="s">
        <v>263</v>
      </c>
      <c r="J45" s="149" t="str">
        <f>'1. ALL DATA'!W46</f>
        <v>Fully Achieved</v>
      </c>
    </row>
    <row r="46" spans="1:10" ht="99.75" customHeight="1">
      <c r="A46" s="211" t="str">
        <f>'1. ALL DATA'!A47</f>
        <v>VFM43</v>
      </c>
      <c r="B46" s="212" t="str">
        <f>'1. ALL DATA'!C47</f>
        <v>Implementation of new HMRC rules for Members allowances; consolidation of new electronic process (improved efficiency and accuracy).</v>
      </c>
      <c r="C46" s="213" t="str">
        <f>'1. ALL DATA'!D47</f>
        <v>95% claim forms received electronically</v>
      </c>
      <c r="D46" s="214" t="str">
        <f>'1. ALL DATA'!I47</f>
        <v>On Track to be Achieved</v>
      </c>
      <c r="E46" s="227" t="s">
        <v>263</v>
      </c>
      <c r="F46" s="214" t="str">
        <f>'1. ALL DATA'!N47</f>
        <v>On Track to be Achieved</v>
      </c>
      <c r="G46" s="227" t="s">
        <v>263</v>
      </c>
      <c r="H46" s="149" t="str">
        <f>'1. ALL DATA'!S47</f>
        <v>On Track to be Achieved</v>
      </c>
      <c r="I46" s="227" t="s">
        <v>263</v>
      </c>
      <c r="J46" s="149" t="str">
        <f>'1. ALL DATA'!W47</f>
        <v>Fully Achieved</v>
      </c>
    </row>
    <row r="47" spans="1:10" ht="99.75" customHeight="1">
      <c r="A47" s="211" t="str">
        <f>'1. ALL DATA'!A48</f>
        <v>VFM44</v>
      </c>
      <c r="B47" s="212" t="str">
        <f>'1. ALL DATA'!C48</f>
        <v>Set up Member and Officer Steering group to consider the Council’s future corporate accommodation needs, beyond the mid 2018 Maltsters lease ‘break point’</v>
      </c>
      <c r="C47" s="213" t="str">
        <f>'1. ALL DATA'!D48</f>
        <v>January 2017</v>
      </c>
      <c r="D47" s="214" t="str">
        <f>'1. ALL DATA'!I48</f>
        <v>Not yet due</v>
      </c>
      <c r="E47" s="429" t="s">
        <v>49</v>
      </c>
      <c r="F47" s="214" t="str">
        <f>'1. ALL DATA'!N48</f>
        <v>Not yet due</v>
      </c>
      <c r="G47" s="429" t="s">
        <v>49</v>
      </c>
      <c r="H47" s="149" t="str">
        <f>'1. ALL DATA'!S48</f>
        <v>On Track to be Achieved</v>
      </c>
      <c r="I47" s="227" t="s">
        <v>263</v>
      </c>
      <c r="J47" s="149" t="str">
        <f>'1. ALL DATA'!W48</f>
        <v>Fully Achieved</v>
      </c>
    </row>
    <row r="48" spans="1:10" ht="99.75" customHeight="1">
      <c r="A48" s="211" t="str">
        <f>'1. ALL DATA'!A49</f>
        <v>VFM45</v>
      </c>
      <c r="B48" s="212" t="str">
        <f>'1. ALL DATA'!C49</f>
        <v>Working to become a SMARTER Planning Authority</v>
      </c>
      <c r="C48" s="213" t="str">
        <f>'1. ALL DATA'!D49</f>
        <v>Introduce E-Consultations (September 2016)</v>
      </c>
      <c r="D48" s="214" t="str">
        <f>'1. ALL DATA'!I49</f>
        <v>On Track to be Achieved</v>
      </c>
      <c r="E48" s="227" t="s">
        <v>263</v>
      </c>
      <c r="F48" s="214" t="str">
        <f>'1. ALL DATA'!N49</f>
        <v>Fully Achieved</v>
      </c>
      <c r="G48" s="227" t="s">
        <v>263</v>
      </c>
      <c r="H48" s="149" t="str">
        <f>'1. ALL DATA'!S49</f>
        <v>Fully Achieved</v>
      </c>
      <c r="I48" s="227" t="s">
        <v>263</v>
      </c>
      <c r="J48" s="149" t="str">
        <f>'1. ALL DATA'!W49</f>
        <v>Fully Achieved</v>
      </c>
    </row>
    <row r="49" spans="1:47" ht="99.75" customHeight="1">
      <c r="A49" s="211" t="str">
        <f>'1. ALL DATA'!A50</f>
        <v>VFM46</v>
      </c>
      <c r="B49" s="212" t="str">
        <f>'1. ALL DATA'!C50</f>
        <v>Working to become a SMARTER Planning Authority</v>
      </c>
      <c r="C49" s="213" t="str">
        <f>'1. ALL DATA'!D50</f>
        <v>Planning Portal is the approved entry point for all Planning Applications (December 2016)</v>
      </c>
      <c r="D49" s="214" t="str">
        <f>'1. ALL DATA'!I50</f>
        <v>On Track to be Achieved</v>
      </c>
      <c r="E49" s="227" t="s">
        <v>263</v>
      </c>
      <c r="F49" s="214" t="str">
        <f>'1. ALL DATA'!N50</f>
        <v>Fully Achieved</v>
      </c>
      <c r="G49" s="227" t="s">
        <v>263</v>
      </c>
      <c r="H49" s="149" t="str">
        <f>'1. ALL DATA'!S50</f>
        <v>Fully Achieved</v>
      </c>
      <c r="I49" s="227" t="s">
        <v>263</v>
      </c>
      <c r="J49" s="149" t="str">
        <f>'1. ALL DATA'!W50</f>
        <v>Fully Achieved</v>
      </c>
    </row>
    <row r="50" spans="1:47" ht="99.75" customHeight="1">
      <c r="A50" s="211" t="str">
        <f>'1. ALL DATA'!A51</f>
        <v>VFM47</v>
      </c>
      <c r="B50" s="212" t="str">
        <f>'1. ALL DATA'!C51</f>
        <v>Working to become a SMARTER Planning Authority</v>
      </c>
      <c r="C50" s="213" t="str">
        <f>'1. ALL DATA'!D51</f>
        <v>SMARTER Planning Authority Status achieved (March 2017)</v>
      </c>
      <c r="D50" s="214" t="str">
        <f>'1. ALL DATA'!I51</f>
        <v>On Track to be Achieved</v>
      </c>
      <c r="E50" s="227" t="s">
        <v>263</v>
      </c>
      <c r="F50" s="214" t="str">
        <f>'1. ALL DATA'!N51</f>
        <v>Fully Achieved</v>
      </c>
      <c r="G50" s="227" t="s">
        <v>263</v>
      </c>
      <c r="H50" s="149" t="str">
        <f>'1. ALL DATA'!S51</f>
        <v>Fully Achieved</v>
      </c>
      <c r="I50" s="227" t="s">
        <v>263</v>
      </c>
      <c r="J50" s="149" t="str">
        <f>'1. ALL DATA'!W51</f>
        <v>Fully Achieved</v>
      </c>
    </row>
    <row r="51" spans="1:47" ht="99.75" customHeight="1">
      <c r="A51" s="211" t="str">
        <f>'1. ALL DATA'!A52</f>
        <v>VFM48</v>
      </c>
      <c r="B51" s="212" t="str">
        <f>'1. ALL DATA'!C52</f>
        <v>Keeping Members informed about relevant Planning matters</v>
      </c>
      <c r="C51" s="213" t="str">
        <f>'1. ALL DATA'!D52</f>
        <v>At least four All-Member Briefing Sessions within the financial year (Quarterly)</v>
      </c>
      <c r="D51" s="214" t="str">
        <f>'1. ALL DATA'!I52</f>
        <v>On Track to be Achieved</v>
      </c>
      <c r="E51" s="227" t="s">
        <v>263</v>
      </c>
      <c r="F51" s="214" t="str">
        <f>'1. ALL DATA'!N52</f>
        <v>On Track to be Achieved</v>
      </c>
      <c r="G51" s="227" t="s">
        <v>263</v>
      </c>
      <c r="H51" s="149" t="str">
        <f>'1. ALL DATA'!S52</f>
        <v>On Track to be Achieved</v>
      </c>
      <c r="I51" s="227" t="s">
        <v>263</v>
      </c>
      <c r="J51" s="149" t="str">
        <f>'1. ALL DATA'!W52</f>
        <v>Fully Achieved</v>
      </c>
    </row>
    <row r="52" spans="1:47" ht="99.75" customHeight="1">
      <c r="A52" s="211" t="str">
        <f>'1. ALL DATA'!A53</f>
        <v>VFM49</v>
      </c>
      <c r="B52" s="212" t="str">
        <f>'1. ALL DATA'!C53</f>
        <v>Improve the efficiency of our community and civil enforcement operation</v>
      </c>
      <c r="C52" s="213" t="str">
        <f>'1. ALL DATA'!D53</f>
        <v>Produce an options report for the future of the service (September 2016)</v>
      </c>
      <c r="D52" s="214" t="str">
        <f>'1. ALL DATA'!I53</f>
        <v>On Track to be Achieved</v>
      </c>
      <c r="E52" s="227" t="s">
        <v>263</v>
      </c>
      <c r="F52" s="214" t="str">
        <f>'1. ALL DATA'!N53</f>
        <v>Fully Achieved</v>
      </c>
      <c r="G52" s="227" t="s">
        <v>263</v>
      </c>
      <c r="H52" s="149" t="str">
        <f>'1. ALL DATA'!S53</f>
        <v>Fully Achieved</v>
      </c>
      <c r="I52" s="227" t="s">
        <v>263</v>
      </c>
      <c r="J52" s="149" t="str">
        <f>'1. ALL DATA'!W53</f>
        <v>Fully Achieved</v>
      </c>
    </row>
    <row r="53" spans="1:47" ht="99.75" customHeight="1">
      <c r="A53" s="211" t="str">
        <f>'1. ALL DATA'!A54</f>
        <v>VFM50</v>
      </c>
      <c r="B53" s="212" t="str">
        <f>'1. ALL DATA'!C54</f>
        <v>Review parking orders at our most used car parks</v>
      </c>
      <c r="C53" s="213" t="str">
        <f>'1. ALL DATA'!D54</f>
        <v>Complete an appraisal and options report for facilities serving our parks and green spaces (November 2016)</v>
      </c>
      <c r="D53" s="214" t="str">
        <f>'1. ALL DATA'!I54</f>
        <v>On Track to be Achieved</v>
      </c>
      <c r="E53" s="227" t="s">
        <v>263</v>
      </c>
      <c r="F53" s="214" t="str">
        <f>'1. ALL DATA'!N54</f>
        <v>On Track to be Achieved</v>
      </c>
      <c r="G53" s="227" t="s">
        <v>263</v>
      </c>
      <c r="H53" s="149" t="str">
        <f>'1. ALL DATA'!S54</f>
        <v>Fully Achieved</v>
      </c>
      <c r="I53" s="227" t="s">
        <v>263</v>
      </c>
      <c r="J53" s="149" t="str">
        <f>'1. ALL DATA'!W54</f>
        <v>Fully Achieved</v>
      </c>
    </row>
    <row r="54" spans="1:47" ht="99.75" customHeight="1">
      <c r="A54" s="311" t="str">
        <f>'1. ALL DATA'!A55</f>
        <v>VFM51</v>
      </c>
      <c r="B54" s="308" t="str">
        <f>'1. ALL DATA'!C55</f>
        <v>Working with the Police and Crime Commissioner (PCC), agree a collaborative CCTV operation that would reduce cost burden to East Staffordshire residents</v>
      </c>
      <c r="C54" s="309" t="str">
        <f>'1. ALL DATA'!D55</f>
        <v>Lobby the PCC to implement a county-wide operation, that offers better value (March 2017)</v>
      </c>
      <c r="D54" s="310" t="str">
        <f>'1. ALL DATA'!I55</f>
        <v>On Track to be Achieved</v>
      </c>
      <c r="E54" s="227" t="s">
        <v>263</v>
      </c>
      <c r="F54" s="310" t="str">
        <f>'1. ALL DATA'!N55</f>
        <v>On Track to be Achieved</v>
      </c>
      <c r="G54" s="227" t="s">
        <v>263</v>
      </c>
      <c r="H54" s="218" t="str">
        <f>'1. ALL DATA'!S55</f>
        <v>Fully Achieved</v>
      </c>
      <c r="I54" s="227" t="s">
        <v>263</v>
      </c>
      <c r="J54" s="218" t="str">
        <f>'1. ALL DATA'!W55</f>
        <v>Fully Achieved</v>
      </c>
    </row>
    <row r="55" spans="1:47" ht="26.25" hidden="1" customHeight="1">
      <c r="A55" s="215" t="str">
        <f>'1. ALL DATA'!A56</f>
        <v>Promoting Local Economic Growth - To Benefit Local People by Turning Aspiration into Reality</v>
      </c>
      <c r="B55" s="228"/>
      <c r="C55" s="228"/>
      <c r="D55" s="228"/>
      <c r="E55" s="228"/>
      <c r="F55" s="228"/>
      <c r="G55" s="228"/>
      <c r="H55" s="228"/>
      <c r="I55" s="228"/>
      <c r="J55" s="229"/>
    </row>
    <row r="56" spans="1:47" ht="99.75" hidden="1" customHeight="1">
      <c r="A56" s="211" t="str">
        <f>'1. ALL DATA'!A57</f>
        <v>PLEG01</v>
      </c>
      <c r="B56" s="212" t="str">
        <f>'1. ALL DATA'!C57</f>
        <v>Market Hall-Business Development Initiatives</v>
      </c>
      <c r="C56" s="213" t="str">
        <f>'1. ALL DATA'!D57</f>
        <v>Establish the Market Hall as a venue for sporting and cultural activities and hold five of these types of events (March 2017)</v>
      </c>
      <c r="D56" s="214" t="str">
        <f>'1. ALL DATA'!I57</f>
        <v>On Track to be Achieved</v>
      </c>
      <c r="E56" s="227" t="s">
        <v>263</v>
      </c>
      <c r="F56" s="214" t="str">
        <f>'1. ALL DATA'!N57</f>
        <v>Fully Achieved</v>
      </c>
      <c r="G56" s="227" t="s">
        <v>263</v>
      </c>
      <c r="H56" s="214" t="str">
        <f>'1. ALL DATA'!S57</f>
        <v>Fully Achieved</v>
      </c>
      <c r="I56" s="227" t="s">
        <v>263</v>
      </c>
      <c r="J56" s="214" t="str">
        <f>'1. ALL DATA'!W57</f>
        <v>Fully Achieved</v>
      </c>
    </row>
    <row r="57" spans="1:47" ht="99.75" hidden="1" customHeight="1">
      <c r="A57" s="211" t="str">
        <f>'1. ALL DATA'!A58</f>
        <v>PLEG02</v>
      </c>
      <c r="B57" s="212" t="str">
        <f>'1. ALL DATA'!C58</f>
        <v>Market Hall-Business Development Initiatives</v>
      </c>
      <c r="C57" s="213" t="str">
        <f>'1. ALL DATA'!D58</f>
        <v>Hold at least 15 commercial events during the year (March 2017)</v>
      </c>
      <c r="D57" s="214" t="str">
        <f>'1. ALL DATA'!I58</f>
        <v>On Track to be Achieved</v>
      </c>
      <c r="E57" s="227" t="s">
        <v>263</v>
      </c>
      <c r="F57" s="214" t="str">
        <f>'1. ALL DATA'!N58</f>
        <v>Fully Achieved</v>
      </c>
      <c r="G57" s="227" t="s">
        <v>263</v>
      </c>
      <c r="H57" s="149" t="str">
        <f>'1. ALL DATA'!S58</f>
        <v>Fully Achieved</v>
      </c>
      <c r="I57" s="227" t="s">
        <v>263</v>
      </c>
      <c r="J57" s="149" t="str">
        <f>'1. ALL DATA'!W58</f>
        <v>Fully Achieved</v>
      </c>
      <c r="AU57" s="35"/>
    </row>
    <row r="58" spans="1:47" s="165" customFormat="1" ht="87.75" hidden="1">
      <c r="A58" s="211" t="str">
        <f>'1. ALL DATA'!A59</f>
        <v>PLEG03</v>
      </c>
      <c r="B58" s="212" t="str">
        <f>'1. ALL DATA'!C59</f>
        <v>Market Hall-Business Development Initiatives</v>
      </c>
      <c r="C58" s="213" t="str">
        <f>'1. ALL DATA'!D59</f>
        <v>Achieve occupancy levels of 80% and above (March 2017)</v>
      </c>
      <c r="D58" s="214" t="str">
        <f>'1. ALL DATA'!I59</f>
        <v>On Track to be Achieved</v>
      </c>
      <c r="E58" s="227" t="s">
        <v>263</v>
      </c>
      <c r="F58" s="214" t="str">
        <f>'1. ALL DATA'!N59</f>
        <v>On Track to be Achieved</v>
      </c>
      <c r="G58" s="227" t="s">
        <v>263</v>
      </c>
      <c r="H58" s="149" t="str">
        <f>'1. ALL DATA'!S59</f>
        <v>On Track to be Achieved</v>
      </c>
      <c r="I58" s="227" t="s">
        <v>263</v>
      </c>
      <c r="J58" s="149" t="str">
        <f>'1. ALL DATA'!W59</f>
        <v>Fully Achieved</v>
      </c>
      <c r="K58" s="166"/>
      <c r="L58" s="166"/>
      <c r="M58" s="166"/>
      <c r="N58" s="167"/>
      <c r="O58" s="168"/>
      <c r="P58" s="168"/>
      <c r="Q58" s="168"/>
      <c r="R58" s="168"/>
      <c r="S58" s="169"/>
      <c r="T58" s="166"/>
      <c r="U58" s="166"/>
      <c r="V58" s="166"/>
      <c r="W58" s="166"/>
      <c r="X58" s="170"/>
      <c r="Y58" s="170"/>
      <c r="Z58" s="170"/>
      <c r="AA58" s="170"/>
      <c r="AB58" s="164"/>
      <c r="AC58" s="160"/>
      <c r="AD58" s="171"/>
      <c r="AE58" s="171"/>
      <c r="AF58" s="171"/>
      <c r="AG58" s="171"/>
      <c r="AH58" s="171"/>
      <c r="AI58" s="171"/>
      <c r="AJ58" s="171"/>
      <c r="AK58" s="171"/>
      <c r="AL58" s="171"/>
      <c r="AM58" s="171"/>
      <c r="AN58" s="171"/>
      <c r="AO58" s="171"/>
      <c r="AP58" s="171"/>
      <c r="AQ58" s="171"/>
      <c r="AR58" s="171"/>
      <c r="AS58" s="171"/>
      <c r="AT58" s="171"/>
      <c r="AU58" s="171"/>
    </row>
    <row r="59" spans="1:47" ht="99.75" hidden="1" customHeight="1">
      <c r="A59" s="211" t="str">
        <f>'1. ALL DATA'!A60</f>
        <v>PLEG04</v>
      </c>
      <c r="B59" s="212" t="str">
        <f>'1. ALL DATA'!C60</f>
        <v>Deliver a new employment park in Uttoxeter</v>
      </c>
      <c r="C59" s="213" t="str">
        <f>'1. ALL DATA'!D60</f>
        <v>Secure a developer to deliver the business park off Dove Way (February 2017)</v>
      </c>
      <c r="D59" s="214" t="str">
        <f>'1. ALL DATA'!I60</f>
        <v>On Track to be Achieved</v>
      </c>
      <c r="E59" s="227" t="s">
        <v>263</v>
      </c>
      <c r="F59" s="214" t="str">
        <f>'1. ALL DATA'!N60</f>
        <v>On Track to be Achieved</v>
      </c>
      <c r="G59" s="227" t="s">
        <v>263</v>
      </c>
      <c r="H59" s="149" t="str">
        <f>'1. ALL DATA'!S60</f>
        <v>On Track to be Achieved</v>
      </c>
      <c r="I59" s="227" t="s">
        <v>263</v>
      </c>
      <c r="J59" s="149" t="str">
        <f>'1. ALL DATA'!W60</f>
        <v>Fully Achieved</v>
      </c>
    </row>
    <row r="60" spans="1:47" ht="99.75" hidden="1" customHeight="1">
      <c r="A60" s="211" t="str">
        <f>'1. ALL DATA'!A61</f>
        <v>PLEG05</v>
      </c>
      <c r="B60" s="212" t="str">
        <f>'1. ALL DATA'!C61</f>
        <v>Deliver a new housing development in Uttoxeter</v>
      </c>
      <c r="C60" s="213" t="str">
        <f>'1. ALL DATA'!D61</f>
        <v>Secure a developer to deliver a new housing scheme off Pennycroft Lane (February 2017)</v>
      </c>
      <c r="D60" s="214" t="str">
        <f>'1. ALL DATA'!I61</f>
        <v>On Track to be Achieved</v>
      </c>
      <c r="E60" s="227" t="s">
        <v>263</v>
      </c>
      <c r="F60" s="214" t="str">
        <f>'1. ALL DATA'!N61</f>
        <v>On Track to be Achieved</v>
      </c>
      <c r="G60" s="227" t="s">
        <v>263</v>
      </c>
      <c r="H60" s="149" t="str">
        <f>'1. ALL DATA'!S61</f>
        <v>On Track to be Achieved</v>
      </c>
      <c r="I60" s="227" t="s">
        <v>263</v>
      </c>
      <c r="J60" s="149" t="str">
        <f>'1. ALL DATA'!W61</f>
        <v>Fully Achieved</v>
      </c>
    </row>
    <row r="61" spans="1:47" ht="99.75" hidden="1" customHeight="1">
      <c r="A61" s="211" t="str">
        <f>'1. ALL DATA'!A62</f>
        <v>PLEG06</v>
      </c>
      <c r="B61" s="212" t="str">
        <f>'1. ALL DATA'!C62</f>
        <v>Deliver development on redundant brownfield sites along the Derby Road corridor</v>
      </c>
      <c r="C61" s="213" t="str">
        <f>'1. ALL DATA'!D62</f>
        <v>Produce a plan that can deliver new housing and employment development on unused brownfield land (June 2016)</v>
      </c>
      <c r="D61" s="214" t="str">
        <f>'1. ALL DATA'!I62</f>
        <v>Fully Achieved</v>
      </c>
      <c r="E61" s="227" t="s">
        <v>263</v>
      </c>
      <c r="F61" s="214" t="str">
        <f>'1. ALL DATA'!N62</f>
        <v>Fully Achieved</v>
      </c>
      <c r="G61" s="227" t="s">
        <v>263</v>
      </c>
      <c r="H61" s="149" t="str">
        <f>'1. ALL DATA'!S62</f>
        <v>Fully Achieved</v>
      </c>
      <c r="I61" s="227" t="s">
        <v>263</v>
      </c>
      <c r="J61" s="149" t="str">
        <f>'1. ALL DATA'!W62</f>
        <v>Fully Achieved</v>
      </c>
    </row>
    <row r="62" spans="1:47" ht="99.75" hidden="1" customHeight="1">
      <c r="A62" s="211" t="str">
        <f>'1. ALL DATA'!A63</f>
        <v>PLEG07</v>
      </c>
      <c r="B62" s="212" t="str">
        <f>'1. ALL DATA'!C63</f>
        <v>Promote East Staffordshire as the place to do business</v>
      </c>
      <c r="C62" s="213" t="str">
        <f>'1. ALL DATA'!D63</f>
        <v>Support eight local business to apply for EU grant funding that would create new jobs in the Borough (March 2017)</v>
      </c>
      <c r="D62" s="214" t="str">
        <f>'1. ALL DATA'!I63</f>
        <v>On Track to be Achieved</v>
      </c>
      <c r="E62" s="227" t="s">
        <v>263</v>
      </c>
      <c r="F62" s="214" t="str">
        <f>'1. ALL DATA'!N63</f>
        <v>On Track to be Achieved</v>
      </c>
      <c r="G62" s="227" t="s">
        <v>263</v>
      </c>
      <c r="H62" s="149" t="str">
        <f>'1. ALL DATA'!S63</f>
        <v>Fully Achieved</v>
      </c>
      <c r="I62" s="227" t="s">
        <v>263</v>
      </c>
      <c r="J62" s="149" t="str">
        <f>'1. ALL DATA'!W63</f>
        <v>Fully Achieved</v>
      </c>
    </row>
    <row r="63" spans="1:47" ht="99.75" hidden="1" customHeight="1">
      <c r="A63" s="211" t="str">
        <f>'1. ALL DATA'!A64</f>
        <v>PLEG08</v>
      </c>
      <c r="B63" s="212" t="str">
        <f>'1. ALL DATA'!C64</f>
        <v>Deliver self-built plots in Burton upon Trent</v>
      </c>
      <c r="C63" s="213" t="str">
        <f>'1. ALL DATA'!D64</f>
        <v>Produce a detailed business plan and methodology for the delivery of self-built dwellings on Lynwood Avenue, Branston (October 2016)</v>
      </c>
      <c r="D63" s="214" t="str">
        <f>'1. ALL DATA'!I64</f>
        <v>On Track to be Achieved</v>
      </c>
      <c r="E63" s="227" t="s">
        <v>263</v>
      </c>
      <c r="F63" s="214" t="str">
        <f>'1. ALL DATA'!N64</f>
        <v>Fully Achieved</v>
      </c>
      <c r="G63" s="227" t="s">
        <v>263</v>
      </c>
      <c r="H63" s="149" t="str">
        <f>'1. ALL DATA'!S64</f>
        <v>Fully Achieved</v>
      </c>
      <c r="I63" s="227" t="s">
        <v>263</v>
      </c>
      <c r="J63" s="149" t="str">
        <f>'1. ALL DATA'!W64</f>
        <v>Fully Achieved</v>
      </c>
    </row>
    <row r="64" spans="1:47" ht="99.75" hidden="1" customHeight="1">
      <c r="A64" s="211" t="str">
        <f>'1. ALL DATA'!A65</f>
        <v>PLEG09</v>
      </c>
      <c r="B64" s="212" t="str">
        <f>'1. ALL DATA'!C65</f>
        <v>Deliver self-built plots in Burton upon Trent</v>
      </c>
      <c r="C64" s="213" t="str">
        <f>'1. ALL DATA'!D65</f>
        <v>Release plots for sale (January 2017)</v>
      </c>
      <c r="D64" s="214" t="str">
        <f>'1. ALL DATA'!I65</f>
        <v>On Track to be Achieved</v>
      </c>
      <c r="E64" s="227" t="s">
        <v>263</v>
      </c>
      <c r="F64" s="214" t="str">
        <f>'1. ALL DATA'!N65</f>
        <v>On Track to be Achieved</v>
      </c>
      <c r="G64" s="227" t="s">
        <v>263</v>
      </c>
      <c r="H64" s="149" t="str">
        <f>'1. ALL DATA'!S65</f>
        <v>On Track to be Achieved</v>
      </c>
      <c r="I64" s="227" t="s">
        <v>263</v>
      </c>
      <c r="J64" s="149" t="str">
        <f>'1. ALL DATA'!W65</f>
        <v>Fully Achieved</v>
      </c>
    </row>
    <row r="65" spans="1:10" ht="99.75" hidden="1" customHeight="1">
      <c r="A65" s="211" t="str">
        <f>'1. ALL DATA'!A66</f>
        <v>PLEG10</v>
      </c>
      <c r="B65" s="212" t="str">
        <f>'1. ALL DATA'!C66</f>
        <v>Deliver sustainable development at Bargates</v>
      </c>
      <c r="C65" s="213" t="str">
        <f>'1. ALL DATA'!D66</f>
        <v>To facilitate the preferred developer in their submission of a planning application in accordance with relevant supplementary planning document 
(February 2017)</v>
      </c>
      <c r="D65" s="214" t="str">
        <f>'1. ALL DATA'!I66</f>
        <v>Not yet due</v>
      </c>
      <c r="E65" s="429" t="s">
        <v>49</v>
      </c>
      <c r="F65" s="214" t="str">
        <f>'1. ALL DATA'!N66</f>
        <v>Not yet due</v>
      </c>
      <c r="G65" s="429" t="s">
        <v>49</v>
      </c>
      <c r="H65" s="149" t="str">
        <f>'1. ALL DATA'!S66</f>
        <v>On Track to be Achieved</v>
      </c>
      <c r="I65" s="226" t="s">
        <v>261</v>
      </c>
      <c r="J65" s="149" t="str">
        <f>'1. ALL DATA'!W66</f>
        <v>Target Partially Met</v>
      </c>
    </row>
    <row r="66" spans="1:10" ht="99.75" hidden="1" customHeight="1">
      <c r="A66" s="211" t="str">
        <f>'1. ALL DATA'!A67</f>
        <v>PLEG11</v>
      </c>
      <c r="B66" s="212" t="str">
        <f>'1. ALL DATA'!C67</f>
        <v>Percentage of clients satisfied with the Legal Service provided (against quality standards)</v>
      </c>
      <c r="C66" s="213">
        <f>'1. ALL DATA'!D67</f>
        <v>0.99</v>
      </c>
      <c r="D66" s="214" t="str">
        <f>'1. ALL DATA'!I67</f>
        <v>On Track to be Achieved</v>
      </c>
      <c r="E66" s="227" t="s">
        <v>263</v>
      </c>
      <c r="F66" s="214" t="str">
        <f>'1. ALL DATA'!N67</f>
        <v>On Track to be Achieved</v>
      </c>
      <c r="G66" s="227" t="s">
        <v>263</v>
      </c>
      <c r="H66" s="149" t="str">
        <f>'1. ALL DATA'!S67</f>
        <v>On Track to be Achieved</v>
      </c>
      <c r="I66" s="227" t="s">
        <v>263</v>
      </c>
      <c r="J66" s="149" t="str">
        <f>'1. ALL DATA'!W67</f>
        <v>Fully Achieved</v>
      </c>
    </row>
    <row r="67" spans="1:10" ht="99.75" hidden="1" customHeight="1">
      <c r="A67" s="211" t="str">
        <f>'1. ALL DATA'!A68</f>
        <v>PLEG12</v>
      </c>
      <c r="B67" s="212" t="str">
        <f>'1. ALL DATA'!C68</f>
        <v xml:space="preserve">Developing the Market Square </v>
      </c>
      <c r="C67" s="213" t="str">
        <f>'1. ALL DATA'!D68</f>
        <v>In conjunction with Staffordshire CC, consider options for the improvement and development of the market square area (January 2017)</v>
      </c>
      <c r="D67" s="214" t="str">
        <f>'1. ALL DATA'!I68</f>
        <v>Not yet due</v>
      </c>
      <c r="E67" s="429" t="s">
        <v>49</v>
      </c>
      <c r="F67" s="214" t="str">
        <f>'1. ALL DATA'!N68</f>
        <v>On Track to be Achieved</v>
      </c>
      <c r="G67" s="227" t="s">
        <v>263</v>
      </c>
      <c r="H67" s="149" t="str">
        <f>'1. ALL DATA'!S68</f>
        <v>Fully Achieved</v>
      </c>
      <c r="I67" s="227" t="s">
        <v>263</v>
      </c>
      <c r="J67" s="149" t="str">
        <f>'1. ALL DATA'!W68</f>
        <v>Fully Achieved</v>
      </c>
    </row>
    <row r="68" spans="1:10" ht="99.75" hidden="1" customHeight="1">
      <c r="A68" s="211" t="str">
        <f>'1. ALL DATA'!A69</f>
        <v>PLEG13</v>
      </c>
      <c r="B68" s="212" t="str">
        <f>'1. ALL DATA'!C69</f>
        <v xml:space="preserve">Developing the Market Square </v>
      </c>
      <c r="C68" s="213" t="str">
        <f>'1. ALL DATA'!D69</f>
        <v>Consider options for improving street furniture on Station Street (December 2016)</v>
      </c>
      <c r="D68" s="214" t="str">
        <f>'1. ALL DATA'!I69</f>
        <v>Not yet due</v>
      </c>
      <c r="E68" s="429" t="s">
        <v>49</v>
      </c>
      <c r="F68" s="214" t="str">
        <f>'1. ALL DATA'!N69</f>
        <v>On Track to be Achieved</v>
      </c>
      <c r="G68" s="227" t="s">
        <v>263</v>
      </c>
      <c r="H68" s="149" t="str">
        <f>'1. ALL DATA'!S69</f>
        <v>Fully Achieved</v>
      </c>
      <c r="I68" s="227" t="s">
        <v>263</v>
      </c>
      <c r="J68" s="149" t="str">
        <f>'1. ALL DATA'!W69</f>
        <v>Fully Achieved</v>
      </c>
    </row>
    <row r="69" spans="1:10" ht="99.75" hidden="1" customHeight="1">
      <c r="A69" s="211" t="str">
        <f>'1. ALL DATA'!A70</f>
        <v>PLEG14</v>
      </c>
      <c r="B69" s="212" t="str">
        <f>'1. ALL DATA'!C70</f>
        <v>Improving Town Hall car parking</v>
      </c>
      <c r="C69" s="213" t="str">
        <f>'1. ALL DATA'!D70</f>
        <v>In conjunction Staffordshire CC, investigate the options for improving car parking around the Town Hall (March 2017)</v>
      </c>
      <c r="D69" s="214" t="str">
        <f>'1. ALL DATA'!I70</f>
        <v>Fully Achieved</v>
      </c>
      <c r="E69" s="227" t="s">
        <v>263</v>
      </c>
      <c r="F69" s="214" t="str">
        <f>'1. ALL DATA'!N70</f>
        <v>Fully Achieved</v>
      </c>
      <c r="G69" s="227" t="s">
        <v>263</v>
      </c>
      <c r="H69" s="149" t="str">
        <f>'1. ALL DATA'!S70</f>
        <v>Fully Achieved</v>
      </c>
      <c r="I69" s="227" t="s">
        <v>263</v>
      </c>
      <c r="J69" s="149" t="str">
        <f>'1. ALL DATA'!W70</f>
        <v>Fully Achieved</v>
      </c>
    </row>
    <row r="70" spans="1:10" ht="99.75" hidden="1" customHeight="1">
      <c r="A70" s="211" t="str">
        <f>'1. ALL DATA'!A71</f>
        <v>PLEG15</v>
      </c>
      <c r="B70" s="212" t="str">
        <f>'1. ALL DATA'!C71</f>
        <v xml:space="preserve">Deliver Neighbourhood Planning Referenda </v>
      </c>
      <c r="C70" s="213" t="str">
        <f>'1. ALL DATA'!D71</f>
        <v>Complete in accordance with statutory requirements</v>
      </c>
      <c r="D70" s="214" t="str">
        <f>'1. ALL DATA'!I71</f>
        <v>On Track to be Achieved</v>
      </c>
      <c r="E70" s="227" t="s">
        <v>263</v>
      </c>
      <c r="F70" s="214" t="str">
        <f>'1. ALL DATA'!N71</f>
        <v>On Track to be Achieved</v>
      </c>
      <c r="G70" s="227" t="s">
        <v>263</v>
      </c>
      <c r="H70" s="149" t="str">
        <f>'1. ALL DATA'!S71</f>
        <v>On Track to be Achieved</v>
      </c>
      <c r="I70" s="227" t="s">
        <v>263</v>
      </c>
      <c r="J70" s="149" t="str">
        <f>'1. ALL DATA'!W71</f>
        <v>Fully Achieved</v>
      </c>
    </row>
    <row r="71" spans="1:10" ht="99.75" hidden="1" customHeight="1">
      <c r="A71" s="211" t="str">
        <f>'1. ALL DATA'!A72</f>
        <v>PLEG16</v>
      </c>
      <c r="B71" s="212" t="str">
        <f>'1. ALL DATA'!C72</f>
        <v>Major Planning Applications determined within 13 weeks
(Previously NI157a)</v>
      </c>
      <c r="C71" s="213" t="str">
        <f>'1. ALL DATA'!D72</f>
        <v>Top Quartile as measured against relevant DCLG figures</v>
      </c>
      <c r="D71" s="214" t="str">
        <f>'1. ALL DATA'!I72</f>
        <v>On Track to be Achieved</v>
      </c>
      <c r="E71" s="227" t="s">
        <v>263</v>
      </c>
      <c r="F71" s="214" t="str">
        <f>'1. ALL DATA'!N72</f>
        <v>On Track to be Achieved</v>
      </c>
      <c r="G71" s="227" t="s">
        <v>263</v>
      </c>
      <c r="H71" s="149" t="str">
        <f>'1. ALL DATA'!S72</f>
        <v>On Track to be Achieved</v>
      </c>
      <c r="I71" s="227" t="s">
        <v>263</v>
      </c>
      <c r="J71" s="149" t="str">
        <f>'1. ALL DATA'!W72</f>
        <v>Fully Achieved</v>
      </c>
    </row>
    <row r="72" spans="1:10" ht="99.75" hidden="1" customHeight="1">
      <c r="A72" s="211" t="str">
        <f>'1. ALL DATA'!A73</f>
        <v>PLEG17</v>
      </c>
      <c r="B72" s="212" t="str">
        <f>'1. ALL DATA'!C73</f>
        <v>Minor Planning Applications determined within 8 weeks
(Previously NI157b)</v>
      </c>
      <c r="C72" s="213" t="str">
        <f>'1. ALL DATA'!D73</f>
        <v>Top Quartile as measured against relevant DCLG figures</v>
      </c>
      <c r="D72" s="214" t="str">
        <f>'1. ALL DATA'!I73</f>
        <v>On Track to be Achieved</v>
      </c>
      <c r="E72" s="227" t="s">
        <v>263</v>
      </c>
      <c r="F72" s="214" t="str">
        <f>'1. ALL DATA'!N73</f>
        <v>On Track to be Achieved</v>
      </c>
      <c r="G72" s="227" t="s">
        <v>263</v>
      </c>
      <c r="H72" s="149" t="str">
        <f>'1. ALL DATA'!S73</f>
        <v>On Track to be Achieved</v>
      </c>
      <c r="I72" s="227" t="s">
        <v>263</v>
      </c>
      <c r="J72" s="149" t="str">
        <f>'1. ALL DATA'!W73</f>
        <v>Fully Achieved</v>
      </c>
    </row>
    <row r="73" spans="1:10" ht="99.75" hidden="1" customHeight="1">
      <c r="A73" s="211" t="str">
        <f>'1. ALL DATA'!A74</f>
        <v>PLEG18</v>
      </c>
      <c r="B73" s="212" t="str">
        <f>'1. ALL DATA'!C74</f>
        <v>Other planning applications determined in 8 weeks
(Previously NI157c)</v>
      </c>
      <c r="C73" s="213" t="str">
        <f>'1. ALL DATA'!D74</f>
        <v>Top Quartile as measured against relevant DCLG figures</v>
      </c>
      <c r="D73" s="214" t="str">
        <f>'1. ALL DATA'!I74</f>
        <v>On Track to be Achieved</v>
      </c>
      <c r="E73" s="227" t="s">
        <v>263</v>
      </c>
      <c r="F73" s="214" t="str">
        <f>'1. ALL DATA'!N74</f>
        <v>On Track to be Achieved</v>
      </c>
      <c r="G73" s="227" t="s">
        <v>263</v>
      </c>
      <c r="H73" s="149" t="str">
        <f>'1. ALL DATA'!S74</f>
        <v>On Track to be Achieved</v>
      </c>
      <c r="I73" s="227" t="s">
        <v>263</v>
      </c>
      <c r="J73" s="149" t="str">
        <f>'1. ALL DATA'!W74</f>
        <v>Fully Achieved</v>
      </c>
    </row>
    <row r="74" spans="1:10" ht="99.75" hidden="1" customHeight="1">
      <c r="A74" s="211" t="str">
        <f>'1. ALL DATA'!A75</f>
        <v>PLEG19</v>
      </c>
      <c r="B74" s="212" t="str">
        <f>'1. ALL DATA'!C75</f>
        <v>Monitor Section 106 Performance</v>
      </c>
      <c r="C74" s="213" t="str">
        <f>'1. ALL DATA'!D75</f>
        <v>Dashboard created and quarterly reporting mechanism established (September 2016)</v>
      </c>
      <c r="D74" s="214" t="str">
        <f>'1. ALL DATA'!I75</f>
        <v>On Track to be Achieved</v>
      </c>
      <c r="E74" s="227" t="s">
        <v>263</v>
      </c>
      <c r="F74" s="214" t="str">
        <f>'1. ALL DATA'!N75</f>
        <v>Fully Achieved</v>
      </c>
      <c r="G74" s="227" t="s">
        <v>263</v>
      </c>
      <c r="H74" s="149" t="str">
        <f>'1. ALL DATA'!S75</f>
        <v>Fully Achieved</v>
      </c>
      <c r="I74" s="227" t="s">
        <v>263</v>
      </c>
      <c r="J74" s="149" t="str">
        <f>'1. ALL DATA'!W75</f>
        <v>Fully Achieved</v>
      </c>
    </row>
    <row r="75" spans="1:10" ht="99.75" hidden="1" customHeight="1">
      <c r="A75" s="211" t="str">
        <f>'1. ALL DATA'!A76</f>
        <v>PLEG20</v>
      </c>
      <c r="B75" s="212" t="str">
        <f>'1. ALL DATA'!C76</f>
        <v>Decision to proceed on the development of Community  Infrastructure Levy</v>
      </c>
      <c r="C75" s="213" t="str">
        <f>'1. ALL DATA'!D76</f>
        <v>Decision by September 2016</v>
      </c>
      <c r="D75" s="214" t="str">
        <f>'1. ALL DATA'!I76</f>
        <v>Fully Achieved</v>
      </c>
      <c r="E75" s="227" t="s">
        <v>263</v>
      </c>
      <c r="F75" s="214" t="str">
        <f>'1. ALL DATA'!N76</f>
        <v>Fully Achieved</v>
      </c>
      <c r="G75" s="227" t="s">
        <v>263</v>
      </c>
      <c r="H75" s="149" t="str">
        <f>'1. ALL DATA'!S76</f>
        <v>Fully Achieved</v>
      </c>
      <c r="I75" s="227" t="s">
        <v>263</v>
      </c>
      <c r="J75" s="149" t="str">
        <f>'1. ALL DATA'!W76</f>
        <v>Fully Achieved</v>
      </c>
    </row>
    <row r="76" spans="1:10" ht="99.75" hidden="1" customHeight="1">
      <c r="A76" s="211" t="str">
        <f>'1. ALL DATA'!A77</f>
        <v>PLEG21</v>
      </c>
      <c r="B76" s="212" t="str">
        <f>'1. ALL DATA'!C77</f>
        <v>Support  the preparation of Neighbourhood Plans</v>
      </c>
      <c r="C76" s="213" t="str">
        <f>'1. ALL DATA'!D77</f>
        <v>Minimum of 5 new Neighbourhood Plans “made” (March 2017)</v>
      </c>
      <c r="D76" s="214" t="str">
        <f>'1. ALL DATA'!I77</f>
        <v>On Track to be Achieved</v>
      </c>
      <c r="E76" s="227" t="s">
        <v>263</v>
      </c>
      <c r="F76" s="214" t="str">
        <f>'1. ALL DATA'!N77</f>
        <v>On Track to be Achieved</v>
      </c>
      <c r="G76" s="227" t="s">
        <v>263</v>
      </c>
      <c r="H76" s="149" t="str">
        <f>'1. ALL DATA'!S77</f>
        <v>On Track to be Achieved</v>
      </c>
      <c r="I76" s="227" t="s">
        <v>263</v>
      </c>
      <c r="J76" s="149" t="str">
        <f>'1. ALL DATA'!W77</f>
        <v>Fully Achieved</v>
      </c>
    </row>
    <row r="77" spans="1:10" ht="99.75" hidden="1" customHeight="1">
      <c r="A77" s="211" t="str">
        <f>'1. ALL DATA'!A78</f>
        <v>PLEG22</v>
      </c>
      <c r="B77" s="212" t="str">
        <f>'1. ALL DATA'!C78</f>
        <v xml:space="preserve">Review Supplementary Planning Documents </v>
      </c>
      <c r="C77" s="213" t="str">
        <f>'1. ALL DATA'!D78</f>
        <v>New Housing Choice SPD approved (April 2016)</v>
      </c>
      <c r="D77" s="214" t="str">
        <f>'1. ALL DATA'!I78</f>
        <v>Fully Achieved</v>
      </c>
      <c r="E77" s="227" t="s">
        <v>263</v>
      </c>
      <c r="F77" s="214" t="str">
        <f>'1. ALL DATA'!N78</f>
        <v>Fully Achieved</v>
      </c>
      <c r="G77" s="227" t="s">
        <v>263</v>
      </c>
      <c r="H77" s="149" t="str">
        <f>'1. ALL DATA'!S78</f>
        <v>Fully Achieved</v>
      </c>
      <c r="I77" s="227" t="s">
        <v>263</v>
      </c>
      <c r="J77" s="149" t="str">
        <f>'1. ALL DATA'!W78</f>
        <v>Fully Achieved</v>
      </c>
    </row>
    <row r="78" spans="1:10" ht="99.75" hidden="1" customHeight="1">
      <c r="A78" s="211" t="str">
        <f>'1. ALL DATA'!A79</f>
        <v>PLEG23</v>
      </c>
      <c r="B78" s="212" t="str">
        <f>'1. ALL DATA'!C79</f>
        <v>Review Supplementary Planning Documents</v>
      </c>
      <c r="C78" s="213" t="str">
        <f>'1. ALL DATA'!D79</f>
        <v>Agree areas for development, with programme and timescale (June 2016)</v>
      </c>
      <c r="D78" s="214" t="str">
        <f>'1. ALL DATA'!I79</f>
        <v>Fully Achieved</v>
      </c>
      <c r="E78" s="227" t="s">
        <v>263</v>
      </c>
      <c r="F78" s="214" t="str">
        <f>'1. ALL DATA'!N79</f>
        <v>Fully Achieved</v>
      </c>
      <c r="G78" s="227" t="s">
        <v>263</v>
      </c>
      <c r="H78" s="149" t="str">
        <f>'1. ALL DATA'!S79</f>
        <v>Fully Achieved</v>
      </c>
      <c r="I78" s="227" t="s">
        <v>263</v>
      </c>
      <c r="J78" s="149" t="str">
        <f>'1. ALL DATA'!W79</f>
        <v>Fully Achieved</v>
      </c>
    </row>
    <row r="79" spans="1:10" ht="99.75" hidden="1" customHeight="1">
      <c r="A79" s="311" t="str">
        <f>'1. ALL DATA'!A80</f>
        <v>PLEG24</v>
      </c>
      <c r="B79" s="308" t="str">
        <f>'1. ALL DATA'!C80</f>
        <v xml:space="preserve">To carry out necessary work with reference to the transfer of the Local Land Charges Register to the Land Registry </v>
      </c>
      <c r="C79" s="309" t="str">
        <f>'1. ALL DATA'!D80</f>
        <v>Completed in accordance with any legislative requirements (March 2017)</v>
      </c>
      <c r="D79" s="310" t="str">
        <f>'1. ALL DATA'!I80</f>
        <v>On Track to be Achieved</v>
      </c>
      <c r="E79" s="227" t="s">
        <v>263</v>
      </c>
      <c r="F79" s="310" t="str">
        <f>'1. ALL DATA'!N80</f>
        <v>On Track to be Achieved</v>
      </c>
      <c r="G79" s="227" t="s">
        <v>263</v>
      </c>
      <c r="H79" s="218" t="str">
        <f>'1. ALL DATA'!S80</f>
        <v>On Track to be Achieved</v>
      </c>
      <c r="I79" s="227" t="s">
        <v>263</v>
      </c>
      <c r="J79" s="218" t="str">
        <f>'1. ALL DATA'!W80</f>
        <v>Fully Achieved</v>
      </c>
    </row>
    <row r="80" spans="1:10" ht="26.25" hidden="1" customHeight="1">
      <c r="A80" s="215" t="str">
        <f>'1. ALL DATA'!A81</f>
        <v>Protecting and Strengthening Communities - Love Where you Live</v>
      </c>
      <c r="B80" s="228"/>
      <c r="C80" s="228"/>
      <c r="D80" s="228"/>
      <c r="E80" s="228"/>
      <c r="F80" s="228"/>
      <c r="G80" s="228"/>
      <c r="H80" s="228"/>
      <c r="I80" s="228"/>
      <c r="J80" s="229"/>
    </row>
    <row r="81" spans="1:46" ht="99.75" hidden="1" customHeight="1">
      <c r="A81" s="211" t="str">
        <f>'1. ALL DATA'!A82</f>
        <v>PSC01</v>
      </c>
      <c r="B81" s="212" t="str">
        <f>'1. ALL DATA'!C82</f>
        <v>Traffic Island and Town Centre landscaping</v>
      </c>
      <c r="C81" s="213" t="str">
        <f>'1. ALL DATA'!D82</f>
        <v>Complete the Swan bed art installation in Stapenhill (pilot project) (July 2016)</v>
      </c>
      <c r="D81" s="214" t="str">
        <f>'1. ALL DATA'!I82</f>
        <v>Fully Achieved</v>
      </c>
      <c r="E81" s="227" t="s">
        <v>263</v>
      </c>
      <c r="F81" s="214" t="str">
        <f>'1. ALL DATA'!N82</f>
        <v>Fully Achieved</v>
      </c>
      <c r="G81" s="227" t="s">
        <v>263</v>
      </c>
      <c r="H81" s="214" t="str">
        <f>'1. ALL DATA'!S82</f>
        <v>Fully Achieved</v>
      </c>
      <c r="I81" s="227" t="s">
        <v>263</v>
      </c>
      <c r="J81" s="214" t="str">
        <f>'1. ALL DATA'!W82</f>
        <v>Fully Achieved</v>
      </c>
    </row>
    <row r="82" spans="1:46" ht="99.75" hidden="1" customHeight="1">
      <c r="A82" s="211" t="str">
        <f>'1. ALL DATA'!A83</f>
        <v>PSC02</v>
      </c>
      <c r="B82" s="212" t="str">
        <f>'1. ALL DATA'!C83</f>
        <v>Traffic Island and Town Centre landscaping</v>
      </c>
      <c r="C82" s="213" t="str">
        <f>'1. ALL DATA'!D83</f>
        <v>Develop a project brief to set out key requirements and milestones for delivery (October 2016)</v>
      </c>
      <c r="D82" s="214" t="str">
        <f>'1. ALL DATA'!I83</f>
        <v>Not yet due</v>
      </c>
      <c r="E82" s="429" t="s">
        <v>49</v>
      </c>
      <c r="F82" s="214" t="str">
        <f>'1. ALL DATA'!N83</f>
        <v>Fully Achieved</v>
      </c>
      <c r="G82" s="227" t="s">
        <v>263</v>
      </c>
      <c r="H82" s="149" t="str">
        <f>'1. ALL DATA'!S83</f>
        <v>Fully Achieved</v>
      </c>
      <c r="I82" s="227" t="s">
        <v>263</v>
      </c>
      <c r="J82" s="149" t="str">
        <f>'1. ALL DATA'!W83</f>
        <v>Fully Achieved</v>
      </c>
    </row>
    <row r="83" spans="1:46" ht="99.75" hidden="1" customHeight="1">
      <c r="A83" s="211" t="str">
        <f>'1. ALL DATA'!A84</f>
        <v>PSC03</v>
      </c>
      <c r="B83" s="212" t="str">
        <f>'1. ALL DATA'!C84</f>
        <v>Traffic Island and Town Centre landscaping</v>
      </c>
      <c r="C83" s="213" t="str">
        <f>'1. ALL DATA'!D84</f>
        <v>Installation commencement (March 2017)</v>
      </c>
      <c r="D83" s="214" t="str">
        <f>'1. ALL DATA'!I84</f>
        <v>Not yet due</v>
      </c>
      <c r="E83" s="429" t="s">
        <v>49</v>
      </c>
      <c r="F83" s="214" t="str">
        <f>'1. ALL DATA'!N84</f>
        <v>Not yet due</v>
      </c>
      <c r="G83" s="429" t="s">
        <v>49</v>
      </c>
      <c r="H83" s="149" t="str">
        <f>'1. ALL DATA'!S84</f>
        <v>Deleted</v>
      </c>
      <c r="I83" s="429" t="s">
        <v>49</v>
      </c>
      <c r="J83" s="149" t="str">
        <f>'1. ALL DATA'!W84</f>
        <v>Deleted</v>
      </c>
    </row>
    <row r="84" spans="1:46" ht="99.75" hidden="1" customHeight="1">
      <c r="A84" s="211" t="str">
        <f>'1. ALL DATA'!A85</f>
        <v>PSC04</v>
      </c>
      <c r="B84" s="212" t="str">
        <f>'1. ALL DATA'!C85</f>
        <v>Outdoor Sports Hubs</v>
      </c>
      <c r="C84" s="213" t="str">
        <f>'1. ALL DATA'!D85</f>
        <v>To continue to work with partners to assist in facilitating the development of plans for the Tatenhill site (March 2017)</v>
      </c>
      <c r="D84" s="214" t="str">
        <f>'1. ALL DATA'!I85</f>
        <v>On Track to be Achieved</v>
      </c>
      <c r="E84" s="227" t="s">
        <v>263</v>
      </c>
      <c r="F84" s="214" t="str">
        <f>'1. ALL DATA'!N85</f>
        <v>On Track to be Achieved</v>
      </c>
      <c r="G84" s="227" t="s">
        <v>263</v>
      </c>
      <c r="H84" s="149" t="str">
        <f>'1. ALL DATA'!S85</f>
        <v>On Track to be Achieved</v>
      </c>
      <c r="I84" s="227" t="s">
        <v>263</v>
      </c>
      <c r="J84" s="149" t="str">
        <f>'1. ALL DATA'!W85</f>
        <v>Fully Achieved</v>
      </c>
    </row>
    <row r="85" spans="1:46" s="165" customFormat="1" ht="94.5" hidden="1">
      <c r="A85" s="211" t="str">
        <f>'1. ALL DATA'!A86</f>
        <v>PSC05</v>
      </c>
      <c r="B85" s="212" t="str">
        <f>'1. ALL DATA'!C86</f>
        <v>Outdoor Sports Hubs</v>
      </c>
      <c r="C85" s="213" t="str">
        <f>'1. ALL DATA'!D86</f>
        <v>To continue to work with partners to assist in facilitating the development of plans for the Uttoxeter Quarry Site (March 2017)</v>
      </c>
      <c r="D85" s="214" t="str">
        <f>'1. ALL DATA'!I86</f>
        <v>On Track to be Achieved</v>
      </c>
      <c r="E85" s="227" t="s">
        <v>263</v>
      </c>
      <c r="F85" s="214" t="str">
        <f>'1. ALL DATA'!N86</f>
        <v>On Track to be Achieved</v>
      </c>
      <c r="G85" s="227" t="s">
        <v>263</v>
      </c>
      <c r="H85" s="149" t="str">
        <f>'1. ALL DATA'!S86</f>
        <v>On Track to be Achieved</v>
      </c>
      <c r="I85" s="227" t="s">
        <v>263</v>
      </c>
      <c r="J85" s="149" t="str">
        <f>'1. ALL DATA'!W86</f>
        <v>Fully Achieved</v>
      </c>
      <c r="K85" s="172"/>
      <c r="L85" s="172"/>
      <c r="M85" s="173"/>
      <c r="N85" s="174"/>
      <c r="O85" s="175"/>
      <c r="P85" s="175"/>
      <c r="Q85" s="175"/>
      <c r="R85" s="173"/>
      <c r="S85" s="176"/>
      <c r="T85" s="172"/>
      <c r="U85" s="172"/>
      <c r="V85" s="177"/>
      <c r="W85" s="172"/>
      <c r="X85" s="173"/>
      <c r="Y85" s="173"/>
      <c r="Z85" s="173"/>
      <c r="AA85" s="173"/>
      <c r="AB85" s="164"/>
      <c r="AC85" s="160"/>
      <c r="AD85" s="171"/>
      <c r="AE85" s="171"/>
      <c r="AF85" s="171"/>
      <c r="AG85" s="171"/>
      <c r="AH85" s="171"/>
      <c r="AI85" s="171"/>
      <c r="AJ85" s="171"/>
      <c r="AK85" s="171"/>
      <c r="AL85" s="171"/>
      <c r="AM85" s="171"/>
      <c r="AN85" s="171"/>
      <c r="AO85" s="171"/>
      <c r="AP85" s="171"/>
      <c r="AQ85" s="171"/>
      <c r="AR85" s="171"/>
      <c r="AS85" s="171"/>
      <c r="AT85" s="171"/>
    </row>
    <row r="86" spans="1:46" ht="99.75" hidden="1" customHeight="1">
      <c r="A86" s="211" t="str">
        <f>'1. ALL DATA'!A87</f>
        <v>PSC06</v>
      </c>
      <c r="B86" s="212" t="str">
        <f>'1. ALL DATA'!C87</f>
        <v>Developing Health Related Initiatives</v>
      </c>
      <c r="C86" s="213" t="str">
        <f>'1. ALL DATA'!D87</f>
        <v>Deliver a range of Health Promotion Activity including initiatives based around phase VI of the Healthy City Network work programme, covering; 
a) Nutrition and obesity (1)
b) Mental health and well being (1)
c) Physical activity (1) 
d) Older people (1) 
(March 2017)</v>
      </c>
      <c r="D86" s="214" t="str">
        <f>'1. ALL DATA'!I87</f>
        <v>Not yet due</v>
      </c>
      <c r="E86" s="429" t="s">
        <v>49</v>
      </c>
      <c r="F86" s="214" t="str">
        <f>'1. ALL DATA'!N87</f>
        <v>On Track to be Achieved</v>
      </c>
      <c r="G86" s="227" t="s">
        <v>263</v>
      </c>
      <c r="H86" s="149" t="str">
        <f>'1. ALL DATA'!S87</f>
        <v>On Track to be Achieved</v>
      </c>
      <c r="I86" s="227" t="s">
        <v>263</v>
      </c>
      <c r="J86" s="149" t="str">
        <f>'1. ALL DATA'!W87</f>
        <v>Fully Achieved</v>
      </c>
    </row>
    <row r="87" spans="1:46" ht="99.75" hidden="1" customHeight="1">
      <c r="A87" s="211" t="str">
        <f>'1. ALL DATA'!A88</f>
        <v>PSC07</v>
      </c>
      <c r="B87" s="212" t="str">
        <f>'1. ALL DATA'!C88</f>
        <v>Sports Development Projects</v>
      </c>
      <c r="C87" s="213" t="str">
        <f>'1. ALL DATA'!D88</f>
        <v>Support the 'Raising Aspirations' project for the 'Heath Big Local' and deliver the Sports Leaders Playmaker award to at least 20 children (March 2017)</v>
      </c>
      <c r="D87" s="214" t="str">
        <f>'1. ALL DATA'!I88</f>
        <v>On Track to be Achieved</v>
      </c>
      <c r="E87" s="227" t="s">
        <v>263</v>
      </c>
      <c r="F87" s="214" t="str">
        <f>'1. ALL DATA'!N88</f>
        <v>On Track to be Achieved</v>
      </c>
      <c r="G87" s="227" t="s">
        <v>263</v>
      </c>
      <c r="H87" s="149" t="str">
        <f>'1. ALL DATA'!S88</f>
        <v>On Track to be Achieved</v>
      </c>
      <c r="I87" s="227" t="s">
        <v>263</v>
      </c>
      <c r="J87" s="149" t="str">
        <f>'1. ALL DATA'!W88</f>
        <v>Fully Achieved</v>
      </c>
    </row>
    <row r="88" spans="1:46" ht="99.75" hidden="1" customHeight="1">
      <c r="A88" s="211" t="str">
        <f>'1. ALL DATA'!A89</f>
        <v>PSC08</v>
      </c>
      <c r="B88" s="212" t="str">
        <f>'1. ALL DATA'!C89</f>
        <v>Sports Development Projects</v>
      </c>
      <c r="C88" s="213" t="str">
        <f>'1. ALL DATA'!D89</f>
        <v>Develop a number of cycling projects in support of the Borough's Cycling Strategy including; 
a) 6 family cycle days
b) 6 Bikeability  
c) 6 Balance Ability Sessions 
d) The introduction of a new 'Steady' cycle ride route in and around Uttoxeter
(March 2017)</v>
      </c>
      <c r="D88" s="214" t="str">
        <f>'1. ALL DATA'!I89</f>
        <v>On Track to be Achieved</v>
      </c>
      <c r="E88" s="227" t="s">
        <v>263</v>
      </c>
      <c r="F88" s="214" t="str">
        <f>'1. ALL DATA'!N89</f>
        <v>On Track to be Achieved</v>
      </c>
      <c r="G88" s="227" t="s">
        <v>263</v>
      </c>
      <c r="H88" s="149" t="str">
        <f>'1. ALL DATA'!S89</f>
        <v>On Track to be Achieved</v>
      </c>
      <c r="I88" s="227" t="s">
        <v>263</v>
      </c>
      <c r="J88" s="149" t="str">
        <f>'1. ALL DATA'!W89</f>
        <v>Fully Achieved</v>
      </c>
    </row>
    <row r="89" spans="1:46" ht="99.75" hidden="1" customHeight="1">
      <c r="A89" s="211" t="str">
        <f>'1. ALL DATA'!A90</f>
        <v>PSC09</v>
      </c>
      <c r="B89" s="212" t="str">
        <f>'1. ALL DATA'!C90</f>
        <v>Open Spaces-Service Development Initiatives</v>
      </c>
      <c r="C89" s="213" t="str">
        <f>'1. ALL DATA'!D90</f>
        <v>Achieve three in Bloom awards in: 
a) Burton 
b) Uttoxeter 
c) Winshill 
(September 2016)</v>
      </c>
      <c r="D89" s="214" t="str">
        <f>'1. ALL DATA'!I90</f>
        <v>Not yet due</v>
      </c>
      <c r="E89" s="429" t="s">
        <v>49</v>
      </c>
      <c r="F89" s="214" t="str">
        <f>'1. ALL DATA'!N90</f>
        <v>Fully Achieved</v>
      </c>
      <c r="G89" s="227" t="s">
        <v>263</v>
      </c>
      <c r="H89" s="149" t="str">
        <f>'1. ALL DATA'!S90</f>
        <v>Fully Achieved</v>
      </c>
      <c r="I89" s="227" t="s">
        <v>263</v>
      </c>
      <c r="J89" s="149" t="str">
        <f>'1. ALL DATA'!W90</f>
        <v>Fully Achieved</v>
      </c>
    </row>
    <row r="90" spans="1:46" ht="99.75" hidden="1" customHeight="1">
      <c r="A90" s="211" t="str">
        <f>'1. ALL DATA'!A91</f>
        <v>PSC10</v>
      </c>
      <c r="B90" s="212" t="str">
        <f>'1. ALL DATA'!C91</f>
        <v>Open Spaces-Service Development Initiatives</v>
      </c>
      <c r="C90" s="213" t="str">
        <f>'1. ALL DATA'!D91</f>
        <v>Achieve four Green Flags for: 
a) Bramshall  
b) Branston Water Park
c)Stapenhill Gardens 
d) The Kingfisher Trail 
(December 2016)</v>
      </c>
      <c r="D90" s="214" t="str">
        <f>'1. ALL DATA'!I91</f>
        <v>Not yet due</v>
      </c>
      <c r="E90" s="429" t="s">
        <v>49</v>
      </c>
      <c r="F90" s="214" t="str">
        <f>'1. ALL DATA'!N91</f>
        <v>Not yet due</v>
      </c>
      <c r="G90" s="429" t="s">
        <v>49</v>
      </c>
      <c r="H90" s="149" t="str">
        <f>'1. ALL DATA'!S91</f>
        <v>In Danger of Falling Behind Target</v>
      </c>
      <c r="I90" s="227" t="s">
        <v>263</v>
      </c>
      <c r="J90" s="149" t="str">
        <f>'1. ALL DATA'!W91</f>
        <v>Target Partially Met</v>
      </c>
    </row>
    <row r="91" spans="1:46" ht="99.75" hidden="1" customHeight="1">
      <c r="A91" s="211" t="str">
        <f>'1. ALL DATA'!A92</f>
        <v>PSC11</v>
      </c>
      <c r="B91" s="212" t="str">
        <f>'1. ALL DATA'!C92</f>
        <v>Open Spaces-Service Development Initiatives</v>
      </c>
      <c r="C91" s="213" t="str">
        <f>'1. ALL DATA'!D92</f>
        <v>Develop a “Digital Parks” scheme to promote the use of parks and open spaces using multi media and modern IT platforms (December 2016)</v>
      </c>
      <c r="D91" s="214" t="str">
        <f>'1. ALL DATA'!I92</f>
        <v>Not yet due</v>
      </c>
      <c r="E91" s="429" t="s">
        <v>49</v>
      </c>
      <c r="F91" s="214" t="str">
        <f>'1. ALL DATA'!N92</f>
        <v>Not yet due</v>
      </c>
      <c r="G91" s="429" t="s">
        <v>49</v>
      </c>
      <c r="H91" s="149" t="str">
        <f>'1. ALL DATA'!S92</f>
        <v>Fully Achieved</v>
      </c>
      <c r="I91" s="227" t="s">
        <v>263</v>
      </c>
      <c r="J91" s="149" t="str">
        <f>'1. ALL DATA'!W92</f>
        <v>Fully Achieved</v>
      </c>
    </row>
    <row r="92" spans="1:46" ht="99.75" hidden="1" customHeight="1">
      <c r="A92" s="211" t="str">
        <f>'1. ALL DATA'!A93</f>
        <v>PSC12</v>
      </c>
      <c r="B92" s="212" t="str">
        <f>'1. ALL DATA'!C93</f>
        <v>Strengthen the pedestrian use of the Washlands between Bargates and the Town Centre</v>
      </c>
      <c r="C92" s="213" t="str">
        <f>'1. ALL DATA'!D93</f>
        <v>Produce a cost plan for installing lighting along the Washlands walkway (October 2016)</v>
      </c>
      <c r="D92" s="214" t="str">
        <f>'1. ALL DATA'!I93</f>
        <v>On Track to be Achieved</v>
      </c>
      <c r="E92" s="227" t="s">
        <v>263</v>
      </c>
      <c r="F92" s="214" t="str">
        <f>'1. ALL DATA'!N93</f>
        <v>Fully Achieved</v>
      </c>
      <c r="G92" s="227" t="s">
        <v>263</v>
      </c>
      <c r="H92" s="149" t="str">
        <f>'1. ALL DATA'!S93</f>
        <v>Fully Achieved</v>
      </c>
      <c r="I92" s="227" t="s">
        <v>263</v>
      </c>
      <c r="J92" s="149" t="str">
        <f>'1. ALL DATA'!W93</f>
        <v>Fully Achieved</v>
      </c>
    </row>
    <row r="93" spans="1:46" ht="99.75" hidden="1" customHeight="1">
      <c r="A93" s="211" t="str">
        <f>'1. ALL DATA'!A94</f>
        <v>PSC13</v>
      </c>
      <c r="B93" s="212" t="str">
        <f>'1. ALL DATA'!C94</f>
        <v>Complete the Council’s public convenience improvement plan</v>
      </c>
      <c r="C93" s="213" t="str">
        <f>'1. ALL DATA'!D94</f>
        <v>Complete the refurbishment of the public toilets at: 
a) Bradley Street, Uttoxeter 
b) Newton Road, Burton
c) Crowberry Lane, Barton 
(March 2017)</v>
      </c>
      <c r="D93" s="214" t="str">
        <f>'1. ALL DATA'!I94</f>
        <v>On Track to be Achieved</v>
      </c>
      <c r="E93" s="227" t="s">
        <v>263</v>
      </c>
      <c r="F93" s="214" t="str">
        <f>'1. ALL DATA'!N94</f>
        <v>On Track to be Achieved</v>
      </c>
      <c r="G93" s="227" t="s">
        <v>263</v>
      </c>
      <c r="H93" s="149" t="str">
        <f>'1. ALL DATA'!S94</f>
        <v>Fully Achieved</v>
      </c>
      <c r="I93" s="227" t="s">
        <v>263</v>
      </c>
      <c r="J93" s="149" t="str">
        <f>'1. ALL DATA'!W94</f>
        <v>Fully Achieved</v>
      </c>
    </row>
    <row r="94" spans="1:46" ht="99.75" hidden="1" customHeight="1">
      <c r="A94" s="211" t="str">
        <f>'1. ALL DATA'!A95</f>
        <v>PSC14</v>
      </c>
      <c r="B94" s="212" t="str">
        <f>'1. ALL DATA'!C95</f>
        <v>Delivery a programme of projects to tackle homelessness in East Staffordshire, and deliver more affordable homes</v>
      </c>
      <c r="C94" s="213" t="str">
        <f>'1. ALL DATA'!D95</f>
        <v xml:space="preserve">Produce a programme plan to deliver new and improved affordable accommodation for residents, using Section 106 capital (July 2016) </v>
      </c>
      <c r="D94" s="214" t="str">
        <f>'1. ALL DATA'!I95</f>
        <v>On Track to be Achieved</v>
      </c>
      <c r="E94" s="227" t="s">
        <v>263</v>
      </c>
      <c r="F94" s="214" t="str">
        <f>'1. ALL DATA'!N95</f>
        <v>Fully Achieved</v>
      </c>
      <c r="G94" s="227" t="s">
        <v>263</v>
      </c>
      <c r="H94" s="149" t="str">
        <f>'1. ALL DATA'!S95</f>
        <v>Fully Achieved</v>
      </c>
      <c r="I94" s="227" t="s">
        <v>263</v>
      </c>
      <c r="J94" s="149" t="str">
        <f>'1. ALL DATA'!W95</f>
        <v>Fully Achieved</v>
      </c>
    </row>
    <row r="95" spans="1:46" ht="99.75" hidden="1" customHeight="1">
      <c r="A95" s="211" t="str">
        <f>'1. ALL DATA'!A96</f>
        <v>PSC15</v>
      </c>
      <c r="B95" s="212" t="str">
        <f>'1. ALL DATA'!C96</f>
        <v>Residual household waste per household 
(Previously NI 191)</v>
      </c>
      <c r="C95" s="213" t="str">
        <f>'1. ALL DATA'!D96</f>
        <v>450kg</v>
      </c>
      <c r="D95" s="214" t="str">
        <f>'1. ALL DATA'!I96</f>
        <v>On Track to be Achieved</v>
      </c>
      <c r="E95" s="227" t="s">
        <v>263</v>
      </c>
      <c r="F95" s="214" t="str">
        <f>'1. ALL DATA'!N96</f>
        <v>On Track to be Achieved</v>
      </c>
      <c r="G95" s="227" t="s">
        <v>263</v>
      </c>
      <c r="H95" s="149" t="str">
        <f>'1. ALL DATA'!S96</f>
        <v>On Track to be Achieved</v>
      </c>
      <c r="I95" s="227" t="s">
        <v>263</v>
      </c>
      <c r="J95" s="149" t="str">
        <f>'1. ALL DATA'!W96</f>
        <v>Numerical Outturn Within 5% Tolerance</v>
      </c>
    </row>
    <row r="96" spans="1:46" ht="99.75" hidden="1" customHeight="1">
      <c r="A96" s="211" t="str">
        <f>'1. ALL DATA'!A97</f>
        <v>PSC16</v>
      </c>
      <c r="B96" s="212" t="str">
        <f>'1. ALL DATA'!C97</f>
        <v>Household waste recycled and composted 
(Previously NI 192)</v>
      </c>
      <c r="C96" s="213">
        <f>'1. ALL DATA'!D97</f>
        <v>0.52</v>
      </c>
      <c r="D96" s="214" t="str">
        <f>'1. ALL DATA'!I97</f>
        <v>On Track to be Achieved</v>
      </c>
      <c r="E96" s="227" t="s">
        <v>263</v>
      </c>
      <c r="F96" s="214" t="str">
        <f>'1. ALL DATA'!N97</f>
        <v>On Track to be Achieved</v>
      </c>
      <c r="G96" s="227" t="s">
        <v>263</v>
      </c>
      <c r="H96" s="149" t="str">
        <f>'1. ALL DATA'!S97</f>
        <v>On Track to be Achieved</v>
      </c>
      <c r="I96" s="227" t="s">
        <v>263</v>
      </c>
      <c r="J96" s="149" t="str">
        <f>'1. ALL DATA'!W97</f>
        <v>Numerical Outturn Within 5% Tolerance</v>
      </c>
    </row>
    <row r="97" spans="1:10" ht="99.75" hidden="1" customHeight="1">
      <c r="A97" s="211" t="str">
        <f>'1. ALL DATA'!A98</f>
        <v>PSC17</v>
      </c>
      <c r="B97" s="212" t="str">
        <f>'1. ALL DATA'!C98</f>
        <v>Improved levels of environmental cleanliness (levels of litter) 
(Previously NI195a)</v>
      </c>
      <c r="C97" s="213">
        <f>'1. ALL DATA'!D98</f>
        <v>0</v>
      </c>
      <c r="D97" s="214" t="str">
        <f>'1. ALL DATA'!I98</f>
        <v>Not yet due</v>
      </c>
      <c r="E97" s="429" t="s">
        <v>49</v>
      </c>
      <c r="F97" s="214" t="str">
        <f>'1. ALL DATA'!N98</f>
        <v>On Track to be Achieved</v>
      </c>
      <c r="G97" s="227" t="s">
        <v>263</v>
      </c>
      <c r="H97" s="149" t="str">
        <f>'1. ALL DATA'!S98</f>
        <v>On Track to be Achieved</v>
      </c>
      <c r="I97" s="227" t="s">
        <v>263</v>
      </c>
      <c r="J97" s="149" t="str">
        <f>'1. ALL DATA'!W98</f>
        <v>Fully Achieved</v>
      </c>
    </row>
    <row r="98" spans="1:10" ht="99.75" hidden="1" customHeight="1">
      <c r="A98" s="211" t="str">
        <f>'1. ALL DATA'!A99</f>
        <v>PSC18</v>
      </c>
      <c r="B98" s="212" t="str">
        <f>'1. ALL DATA'!C99</f>
        <v>Improved levels of environmental cleanliness (levels of detritus) (Previously NI195b)</v>
      </c>
      <c r="C98" s="213">
        <f>'1. ALL DATA'!D99</f>
        <v>0.01</v>
      </c>
      <c r="D98" s="214" t="str">
        <f>'1. ALL DATA'!I99</f>
        <v>Not yet due</v>
      </c>
      <c r="E98" s="429" t="s">
        <v>49</v>
      </c>
      <c r="F98" s="214" t="str">
        <f>'1. ALL DATA'!N99</f>
        <v>On Track to be Achieved</v>
      </c>
      <c r="G98" s="227" t="s">
        <v>263</v>
      </c>
      <c r="H98" s="149" t="str">
        <f>'1. ALL DATA'!S99</f>
        <v>On Track to be Achieved</v>
      </c>
      <c r="I98" s="227" t="s">
        <v>263</v>
      </c>
      <c r="J98" s="149" t="str">
        <f>'1. ALL DATA'!W99</f>
        <v>Fully Achieved</v>
      </c>
    </row>
    <row r="99" spans="1:10" ht="99.75" hidden="1" customHeight="1">
      <c r="A99" s="211" t="str">
        <f>'1. ALL DATA'!A100</f>
        <v>PSC19</v>
      </c>
      <c r="B99" s="212" t="str">
        <f>'1. ALL DATA'!C100</f>
        <v>Improved levels of environmental cleanliness (levels of graffiti) 
(Previously NI195c)</v>
      </c>
      <c r="C99" s="213">
        <f>'1. ALL DATA'!D100</f>
        <v>0</v>
      </c>
      <c r="D99" s="214" t="str">
        <f>'1. ALL DATA'!I100</f>
        <v>Not yet due</v>
      </c>
      <c r="E99" s="429" t="s">
        <v>49</v>
      </c>
      <c r="F99" s="214" t="str">
        <f>'1. ALL DATA'!N100</f>
        <v>On Track to be Achieved</v>
      </c>
      <c r="G99" s="227" t="s">
        <v>263</v>
      </c>
      <c r="H99" s="149" t="str">
        <f>'1. ALL DATA'!S100</f>
        <v>On Track to be Achieved</v>
      </c>
      <c r="I99" s="227" t="s">
        <v>263</v>
      </c>
      <c r="J99" s="149" t="str">
        <f>'1. ALL DATA'!W100</f>
        <v>Fully Achieved</v>
      </c>
    </row>
    <row r="100" spans="1:10" ht="99.75" hidden="1" customHeight="1">
      <c r="A100" s="211" t="str">
        <f>'1. ALL DATA'!A101</f>
        <v>PSC20</v>
      </c>
      <c r="B100" s="212" t="str">
        <f>'1. ALL DATA'!C101</f>
        <v>Improved levels of environmental cleanliness (levels of fly-posting) (Previously NI195d)</v>
      </c>
      <c r="C100" s="213">
        <f>'1. ALL DATA'!D101</f>
        <v>0</v>
      </c>
      <c r="D100" s="214" t="str">
        <f>'1. ALL DATA'!I101</f>
        <v>Not yet due</v>
      </c>
      <c r="E100" s="429" t="s">
        <v>49</v>
      </c>
      <c r="F100" s="214" t="str">
        <f>'1. ALL DATA'!N101</f>
        <v>On Track to be Achieved</v>
      </c>
      <c r="G100" s="227" t="s">
        <v>263</v>
      </c>
      <c r="H100" s="149" t="str">
        <f>'1. ALL DATA'!S101</f>
        <v>On Track to be Achieved</v>
      </c>
      <c r="I100" s="227" t="s">
        <v>263</v>
      </c>
      <c r="J100" s="149" t="str">
        <f>'1. ALL DATA'!W101</f>
        <v>Fully Achieved</v>
      </c>
    </row>
    <row r="101" spans="1:10" ht="99.75" hidden="1" customHeight="1">
      <c r="A101" s="211" t="str">
        <f>'1. ALL DATA'!A102</f>
        <v>PSC21</v>
      </c>
      <c r="B101" s="212" t="str">
        <f>'1. ALL DATA'!C102</f>
        <v>Number of missed bins per 10,000 collections</v>
      </c>
      <c r="C101" s="213" t="str">
        <f>'1. ALL DATA'!D102</f>
        <v>1.5 missed bins per 10,000 collections</v>
      </c>
      <c r="D101" s="214" t="str">
        <f>'1. ALL DATA'!I102</f>
        <v>In Danger of Falling Behind Target</v>
      </c>
      <c r="E101" s="227" t="s">
        <v>263</v>
      </c>
      <c r="F101" s="214" t="str">
        <f>'1. ALL DATA'!N102</f>
        <v>In Danger of Falling Behind Target</v>
      </c>
      <c r="G101" s="227" t="s">
        <v>263</v>
      </c>
      <c r="H101" s="149" t="str">
        <f>'1. ALL DATA'!S102</f>
        <v>In Danger of Falling Behind Target</v>
      </c>
      <c r="I101" s="226" t="s">
        <v>262</v>
      </c>
      <c r="J101" s="149" t="str">
        <f>'1. ALL DATA'!W102</f>
        <v>Fully Achieved</v>
      </c>
    </row>
    <row r="102" spans="1:10" ht="99.75" hidden="1" customHeight="1">
      <c r="A102" s="211" t="str">
        <f>'1. ALL DATA'!A103</f>
        <v>PSC22</v>
      </c>
      <c r="B102" s="212" t="str">
        <f>'1. ALL DATA'!C103</f>
        <v>Deliver the Police and Crime Commissioner Election</v>
      </c>
      <c r="C102" s="213" t="str">
        <f>'1. ALL DATA'!D103</f>
        <v>Complete in accordance with statutory requirements</v>
      </c>
      <c r="D102" s="214" t="str">
        <f>'1. ALL DATA'!I103</f>
        <v>Fully Achieved</v>
      </c>
      <c r="E102" s="227" t="s">
        <v>263</v>
      </c>
      <c r="F102" s="214" t="str">
        <f>'1. ALL DATA'!N103</f>
        <v>Fully Achieved</v>
      </c>
      <c r="G102" s="227" t="s">
        <v>263</v>
      </c>
      <c r="H102" s="149" t="str">
        <f>'1. ALL DATA'!S103</f>
        <v>Fully Achieved</v>
      </c>
      <c r="I102" s="227" t="s">
        <v>263</v>
      </c>
      <c r="J102" s="149" t="str">
        <f>'1. ALL DATA'!W103</f>
        <v>Fully Achieved</v>
      </c>
    </row>
    <row r="103" spans="1:10" ht="99.75" hidden="1" customHeight="1">
      <c r="A103" s="211" t="str">
        <f>'1. ALL DATA'!A104</f>
        <v>PSC23</v>
      </c>
      <c r="B103" s="212" t="str">
        <f>'1. ALL DATA'!C104</f>
        <v>Prepare for the European Union referendum</v>
      </c>
      <c r="C103" s="213" t="str">
        <f>'1. ALL DATA'!D104</f>
        <v>Prepare in accordance with statutory requirements</v>
      </c>
      <c r="D103" s="214" t="str">
        <f>'1. ALL DATA'!I104</f>
        <v>Fully Achieved</v>
      </c>
      <c r="E103" s="227" t="s">
        <v>263</v>
      </c>
      <c r="F103" s="214" t="str">
        <f>'1. ALL DATA'!N104</f>
        <v>Fully Achieved</v>
      </c>
      <c r="G103" s="227" t="s">
        <v>263</v>
      </c>
      <c r="H103" s="149" t="str">
        <f>'1. ALL DATA'!S104</f>
        <v>Fully Achieved</v>
      </c>
      <c r="I103" s="227" t="s">
        <v>263</v>
      </c>
      <c r="J103" s="149" t="str">
        <f>'1. ALL DATA'!W104</f>
        <v>Fully Achieved</v>
      </c>
    </row>
    <row r="104" spans="1:10" ht="99.75" hidden="1" customHeight="1">
      <c r="A104" s="211" t="str">
        <f>'1. ALL DATA'!A105</f>
        <v>PSC24</v>
      </c>
      <c r="B104" s="212" t="str">
        <f>'1. ALL DATA'!C105</f>
        <v>Complete the Annual Canvass of Electors</v>
      </c>
      <c r="C104" s="213" t="str">
        <f>'1. ALL DATA'!D105</f>
        <v>Complete and submit Canvass by December 2016</v>
      </c>
      <c r="D104" s="214" t="str">
        <f>'1. ALL DATA'!I105</f>
        <v>Not yet due</v>
      </c>
      <c r="E104" s="430" t="s">
        <v>49</v>
      </c>
      <c r="F104" s="214" t="str">
        <f>'1. ALL DATA'!N105</f>
        <v>On Track to be Achieved</v>
      </c>
      <c r="G104" s="227" t="s">
        <v>263</v>
      </c>
      <c r="H104" s="149" t="str">
        <f>'1. ALL DATA'!S105</f>
        <v>Fully Achieved</v>
      </c>
      <c r="I104" s="227" t="s">
        <v>263</v>
      </c>
      <c r="J104" s="149" t="str">
        <f>'1. ALL DATA'!W105</f>
        <v>Fully Achieved</v>
      </c>
    </row>
    <row r="105" spans="1:10" ht="99.75" hidden="1" customHeight="1">
      <c r="A105" s="211" t="str">
        <f>'1. ALL DATA'!A106</f>
        <v>PSC25</v>
      </c>
      <c r="B105" s="212" t="str">
        <f>'1. ALL DATA'!C106</f>
        <v>An effective Business Continuity arrangement</v>
      </c>
      <c r="C105" s="213" t="str">
        <f>'1. ALL DATA'!D106</f>
        <v>Agree new approach to Business Continuity Planning (June 2016)</v>
      </c>
      <c r="D105" s="214" t="str">
        <f>'1. ALL DATA'!I106</f>
        <v>Fully Achieved</v>
      </c>
      <c r="E105" s="227" t="s">
        <v>263</v>
      </c>
      <c r="F105" s="214" t="str">
        <f>'1. ALL DATA'!N106</f>
        <v>Fully Achieved</v>
      </c>
      <c r="G105" s="227" t="s">
        <v>263</v>
      </c>
      <c r="H105" s="149" t="str">
        <f>'1. ALL DATA'!S106</f>
        <v>Fully Achieved</v>
      </c>
      <c r="I105" s="227" t="s">
        <v>263</v>
      </c>
      <c r="J105" s="149" t="str">
        <f>'1. ALL DATA'!W106</f>
        <v>Fully Achieved</v>
      </c>
    </row>
    <row r="106" spans="1:10" ht="99.75" hidden="1" customHeight="1">
      <c r="A106" s="211" t="str">
        <f>'1. ALL DATA'!A107</f>
        <v>PSC26</v>
      </c>
      <c r="B106" s="212" t="str">
        <f>'1. ALL DATA'!C107</f>
        <v>Be resilient to major incidents and threats</v>
      </c>
      <c r="C106" s="213" t="str">
        <f>'1. ALL DATA'!D107</f>
        <v>Undertake review of Major Incident Plan (June 2016)</v>
      </c>
      <c r="D106" s="214" t="str">
        <f>'1. ALL DATA'!I107</f>
        <v>Fully Achieved</v>
      </c>
      <c r="E106" s="227" t="s">
        <v>263</v>
      </c>
      <c r="F106" s="214" t="str">
        <f>'1. ALL DATA'!N107</f>
        <v>Fully Achieved</v>
      </c>
      <c r="G106" s="227" t="s">
        <v>263</v>
      </c>
      <c r="H106" s="149" t="str">
        <f>'1. ALL DATA'!S107</f>
        <v>Fully Achieved</v>
      </c>
      <c r="I106" s="227" t="s">
        <v>263</v>
      </c>
      <c r="J106" s="149" t="str">
        <f>'1. ALL DATA'!W107</f>
        <v>Fully Achieved</v>
      </c>
    </row>
    <row r="107" spans="1:10" ht="99.75" hidden="1" customHeight="1">
      <c r="A107" s="211" t="str">
        <f>'1. ALL DATA'!A108</f>
        <v>PSC27</v>
      </c>
      <c r="B107" s="212" t="str">
        <f>'1. ALL DATA'!C108</f>
        <v>To carry out necessary work with reference to the Housing and Planning Bill</v>
      </c>
      <c r="C107" s="213" t="str">
        <f>'1. ALL DATA'!D108</f>
        <v>Completed in accordance with any legislative changes and requirements (March 2017)</v>
      </c>
      <c r="D107" s="214" t="str">
        <f>'1. ALL DATA'!I108</f>
        <v>On Track to be Achieved</v>
      </c>
      <c r="E107" s="227" t="s">
        <v>263</v>
      </c>
      <c r="F107" s="214" t="str">
        <f>'1. ALL DATA'!N108</f>
        <v>On Track to be Achieved</v>
      </c>
      <c r="G107" s="227" t="s">
        <v>263</v>
      </c>
      <c r="H107" s="149" t="str">
        <f>'1. ALL DATA'!S108</f>
        <v>On Track to be Achieved</v>
      </c>
      <c r="I107" s="227" t="s">
        <v>263</v>
      </c>
      <c r="J107" s="149" t="str">
        <f>'1. ALL DATA'!W108</f>
        <v>Fully Achieved</v>
      </c>
    </row>
    <row r="108" spans="1:10" ht="99.75" hidden="1" customHeight="1">
      <c r="A108" s="211" t="str">
        <f>'1. ALL DATA'!A109</f>
        <v>PSC28</v>
      </c>
      <c r="B108" s="212" t="str">
        <f>'1. ALL DATA'!C109</f>
        <v xml:space="preserve">Monitor Local Plan Performance </v>
      </c>
      <c r="C108" s="213" t="str">
        <f>'1. ALL DATA'!D109</f>
        <v xml:space="preserve">2 Progress Reports during the year </v>
      </c>
      <c r="D108" s="214" t="str">
        <f>'1. ALL DATA'!I109</f>
        <v>On Track to be Achieved</v>
      </c>
      <c r="E108" s="227" t="s">
        <v>263</v>
      </c>
      <c r="F108" s="214" t="str">
        <f>'1. ALL DATA'!N109</f>
        <v>Fully Achieved</v>
      </c>
      <c r="G108" s="227" t="s">
        <v>263</v>
      </c>
      <c r="H108" s="149" t="str">
        <f>'1. ALL DATA'!S109</f>
        <v>Fully Achieved</v>
      </c>
      <c r="I108" s="227" t="s">
        <v>263</v>
      </c>
      <c r="J108" s="149" t="str">
        <f>'1. ALL DATA'!W109</f>
        <v>Fully Achieved</v>
      </c>
    </row>
    <row r="109" spans="1:10" ht="99.75" hidden="1" customHeight="1">
      <c r="A109" s="211" t="str">
        <f>'1. ALL DATA'!A110</f>
        <v>PSC29</v>
      </c>
      <c r="B109" s="212" t="str">
        <f>'1. ALL DATA'!C110</f>
        <v>Neighbourhood Working</v>
      </c>
      <c r="C109" s="213" t="str">
        <f>'1. ALL DATA'!D110</f>
        <v>Complete 85% of the agreed Neighbourhood Working Programme for 2016/17 (March 2017)</v>
      </c>
      <c r="D109" s="214" t="str">
        <f>'1. ALL DATA'!I110</f>
        <v>Not yet due</v>
      </c>
      <c r="E109" s="430" t="s">
        <v>49</v>
      </c>
      <c r="F109" s="214" t="str">
        <f>'1. ALL DATA'!N110</f>
        <v>On Track to be Achieved</v>
      </c>
      <c r="G109" s="227" t="s">
        <v>263</v>
      </c>
      <c r="H109" s="149" t="str">
        <f>'1. ALL DATA'!S110</f>
        <v>On Track to be Achieved</v>
      </c>
      <c r="I109" s="227" t="s">
        <v>263</v>
      </c>
      <c r="J109" s="149" t="str">
        <f>'1. ALL DATA'!W110</f>
        <v>Fully Achieved</v>
      </c>
    </row>
    <row r="110" spans="1:10" ht="99.75" hidden="1" customHeight="1">
      <c r="A110" s="211" t="str">
        <f>'1. ALL DATA'!A111</f>
        <v>PSC30</v>
      </c>
      <c r="B110" s="212" t="str">
        <f>'1. ALL DATA'!C111</f>
        <v>Neighbourhood Working</v>
      </c>
      <c r="C110" s="213" t="str">
        <f>'1. ALL DATA'!D111</f>
        <v>Review the current Neighbourhood Working Programme scheme with a view to implementing a new and improved scheme in 2017/18 (November 2016)</v>
      </c>
      <c r="D110" s="214" t="str">
        <f>'1. ALL DATA'!I111</f>
        <v>On Track to be Achieved</v>
      </c>
      <c r="E110" s="227" t="s">
        <v>263</v>
      </c>
      <c r="F110" s="214" t="str">
        <f>'1. ALL DATA'!N111</f>
        <v>Fully Achieved</v>
      </c>
      <c r="G110" s="227" t="s">
        <v>263</v>
      </c>
      <c r="H110" s="149" t="str">
        <f>'1. ALL DATA'!S111</f>
        <v>Fully Achieved</v>
      </c>
      <c r="I110" s="227" t="s">
        <v>263</v>
      </c>
      <c r="J110" s="149" t="str">
        <f>'1. ALL DATA'!W111</f>
        <v>Fully Achieved</v>
      </c>
    </row>
    <row r="111" spans="1:10" ht="99.75" hidden="1" customHeight="1">
      <c r="A111" s="211" t="str">
        <f>'1. ALL DATA'!A112</f>
        <v>PSC31</v>
      </c>
      <c r="B111" s="212" t="str">
        <f>'1. ALL DATA'!C112</f>
        <v>Improve housing conditions for residents living in rented accommodation</v>
      </c>
      <c r="C111" s="213" t="str">
        <f>'1. ALL DATA'!D112</f>
        <v>Complete an appraisal of a landlord accreditation scheme (August 2016)</v>
      </c>
      <c r="D111" s="214" t="str">
        <f>'1. ALL DATA'!I112</f>
        <v>On Track to be Achieved</v>
      </c>
      <c r="E111" s="227" t="s">
        <v>263</v>
      </c>
      <c r="F111" s="214" t="str">
        <f>'1. ALL DATA'!N112</f>
        <v>Fully Achieved</v>
      </c>
      <c r="G111" s="227" t="s">
        <v>263</v>
      </c>
      <c r="H111" s="149" t="str">
        <f>'1. ALL DATA'!S112</f>
        <v>Fully Achieved</v>
      </c>
      <c r="I111" s="227" t="s">
        <v>263</v>
      </c>
      <c r="J111" s="149" t="str">
        <f>'1. ALL DATA'!W112</f>
        <v>Fully Achieved</v>
      </c>
    </row>
    <row r="112" spans="1:10" ht="99.75" hidden="1" customHeight="1">
      <c r="A112" s="211" t="str">
        <f>'1. ALL DATA'!A113</f>
        <v>PSC32</v>
      </c>
      <c r="B112" s="212" t="str">
        <f>'1. ALL DATA'!C113</f>
        <v>Improve housing conditions for residents living in rented accommodation</v>
      </c>
      <c r="C112" s="213" t="str">
        <f>'1. ALL DATA'!D113</f>
        <v>Assess the viability of licencing Houses in Multiple Occupation (HMO) (October 2016)</v>
      </c>
      <c r="D112" s="214" t="str">
        <f>'1. ALL DATA'!I113</f>
        <v>On Track to be Achieved</v>
      </c>
      <c r="E112" s="227" t="s">
        <v>263</v>
      </c>
      <c r="F112" s="214" t="str">
        <f>'1. ALL DATA'!N113</f>
        <v>Fully Achieved</v>
      </c>
      <c r="G112" s="227" t="s">
        <v>263</v>
      </c>
      <c r="H112" s="149" t="str">
        <f>'1. ALL DATA'!S113</f>
        <v>Fully Achieved</v>
      </c>
      <c r="I112" s="227" t="s">
        <v>263</v>
      </c>
      <c r="J112" s="149" t="str">
        <f>'1. ALL DATA'!W113</f>
        <v>Fully Achieved</v>
      </c>
    </row>
    <row r="113" spans="1:10" ht="99.75" hidden="1" customHeight="1">
      <c r="A113" s="211" t="str">
        <f>'1. ALL DATA'!A114</f>
        <v>PSC33</v>
      </c>
      <c r="B113" s="212" t="str">
        <f>'1. ALL DATA'!C114</f>
        <v>Introduce measures to help tackle dog fouling</v>
      </c>
      <c r="C113" s="213" t="str">
        <f>'1. ALL DATA'!D114</f>
        <v>Carry out a pilot project in partnership with Keep Britain Tidy (March 2017)</v>
      </c>
      <c r="D113" s="214" t="str">
        <f>'1. ALL DATA'!I114</f>
        <v>Fully Achieved</v>
      </c>
      <c r="E113" s="227" t="s">
        <v>263</v>
      </c>
      <c r="F113" s="214" t="str">
        <f>'1. ALL DATA'!N114</f>
        <v>Fully Achieved</v>
      </c>
      <c r="G113" s="227" t="s">
        <v>263</v>
      </c>
      <c r="H113" s="149" t="str">
        <f>'1. ALL DATA'!S114</f>
        <v>Fully Achieved</v>
      </c>
      <c r="I113" s="227" t="s">
        <v>263</v>
      </c>
      <c r="J113" s="149" t="str">
        <f>'1. ALL DATA'!W114</f>
        <v>Fully Achieved</v>
      </c>
    </row>
    <row r="114" spans="1:10" ht="99.75" hidden="1" customHeight="1">
      <c r="A114" s="211" t="str">
        <f>'1. ALL DATA'!A115</f>
        <v>PSC34</v>
      </c>
      <c r="B114" s="212" t="str">
        <f>'1. ALL DATA'!C115</f>
        <v>Introduce measures to help tackle dog fouling</v>
      </c>
      <c r="C114" s="213" t="str">
        <f>'1. ALL DATA'!D115</f>
        <v>Produce a programme of activities on Council owned land to reduce the number of dog fouling incidents (May 2016)</v>
      </c>
      <c r="D114" s="214" t="str">
        <f>'1. ALL DATA'!I115</f>
        <v>Fully Achieved</v>
      </c>
      <c r="E114" s="227" t="s">
        <v>263</v>
      </c>
      <c r="F114" s="214" t="str">
        <f>'1. ALL DATA'!N115</f>
        <v>Fully Achieved</v>
      </c>
      <c r="G114" s="227" t="s">
        <v>263</v>
      </c>
      <c r="H114" s="149" t="str">
        <f>'1. ALL DATA'!S115</f>
        <v>Fully Achieved</v>
      </c>
      <c r="I114" s="227" t="s">
        <v>263</v>
      </c>
      <c r="J114" s="149" t="str">
        <f>'1. ALL DATA'!W115</f>
        <v>Fully Achieved</v>
      </c>
    </row>
    <row r="115" spans="1:10" ht="99.75" hidden="1" customHeight="1">
      <c r="A115" s="211" t="str">
        <f>'1. ALL DATA'!A116</f>
        <v>PSC35</v>
      </c>
      <c r="B115" s="212" t="str">
        <f>'1. ALL DATA'!C116</f>
        <v>Investigate introducing electric car charging points to Burton and Uttoxeter</v>
      </c>
      <c r="C115" s="213" t="str">
        <f>'1. ALL DATA'!D116</f>
        <v>Produce a business plan and viability study (March 2017)</v>
      </c>
      <c r="D115" s="214" t="str">
        <f>'1. ALL DATA'!I116</f>
        <v>On Track to be Achieved</v>
      </c>
      <c r="E115" s="227" t="s">
        <v>263</v>
      </c>
      <c r="F115" s="214" t="str">
        <f>'1. ALL DATA'!N116</f>
        <v>On Track to be Achieved</v>
      </c>
      <c r="G115" s="227" t="s">
        <v>263</v>
      </c>
      <c r="H115" s="149" t="str">
        <f>'1. ALL DATA'!S116</f>
        <v>On Track to be Achieved</v>
      </c>
      <c r="I115" s="227" t="s">
        <v>263</v>
      </c>
      <c r="J115" s="149" t="str">
        <f>'1. ALL DATA'!W116</f>
        <v>Fully Achieved</v>
      </c>
    </row>
    <row r="116" spans="1:10" s="35" customFormat="1">
      <c r="C116" s="45"/>
    </row>
    <row r="117" spans="1:10" s="35" customFormat="1">
      <c r="C117" s="45"/>
    </row>
    <row r="118" spans="1:10" s="35" customFormat="1">
      <c r="C118" s="45"/>
    </row>
    <row r="119" spans="1:10" s="35" customFormat="1">
      <c r="C119" s="45"/>
    </row>
    <row r="120" spans="1:10" s="35" customFormat="1">
      <c r="C120" s="45"/>
    </row>
    <row r="121" spans="1:10" s="35" customFormat="1">
      <c r="C121" s="45"/>
    </row>
    <row r="122" spans="1:10" s="35" customFormat="1">
      <c r="C122" s="45"/>
    </row>
    <row r="123" spans="1:10" s="35" customFormat="1" hidden="1">
      <c r="A123" s="32"/>
      <c r="C123" s="45"/>
    </row>
    <row r="124" spans="1:10" s="35" customFormat="1" hidden="1">
      <c r="A124" s="32"/>
      <c r="C124" s="45"/>
    </row>
    <row r="125" spans="1:10" s="35" customFormat="1" hidden="1">
      <c r="A125" s="32"/>
      <c r="C125" s="45"/>
    </row>
    <row r="126" spans="1:10" s="35" customFormat="1" hidden="1">
      <c r="A126" s="32"/>
      <c r="C126" s="45"/>
    </row>
    <row r="127" spans="1:10" s="35" customFormat="1" hidden="1">
      <c r="A127" s="32"/>
      <c r="C127" s="45"/>
    </row>
    <row r="128" spans="1:10" s="35" customFormat="1" hidden="1">
      <c r="A128" s="32"/>
      <c r="C128" s="45"/>
    </row>
    <row r="129" spans="1:3" s="35" customFormat="1" hidden="1">
      <c r="A129" s="32"/>
      <c r="C129" s="45"/>
    </row>
    <row r="130" spans="1:3" s="35" customFormat="1">
      <c r="C130" s="45"/>
    </row>
    <row r="131" spans="1:3" s="35" customFormat="1">
      <c r="C131" s="45"/>
    </row>
    <row r="132" spans="1:3" s="35" customFormat="1">
      <c r="C132" s="45"/>
    </row>
    <row r="133" spans="1:3" s="35" customFormat="1">
      <c r="C133" s="45"/>
    </row>
    <row r="134" spans="1:3" s="35" customFormat="1">
      <c r="C134" s="45"/>
    </row>
    <row r="135" spans="1:3" s="35" customFormat="1">
      <c r="C135" s="45"/>
    </row>
    <row r="136" spans="1:3" s="35" customFormat="1">
      <c r="C136" s="45"/>
    </row>
    <row r="137" spans="1:3" s="35" customFormat="1">
      <c r="C137" s="45"/>
    </row>
    <row r="138" spans="1:3" s="35" customFormat="1">
      <c r="C138" s="45"/>
    </row>
    <row r="139" spans="1:3" s="35" customFormat="1">
      <c r="C139" s="45"/>
    </row>
    <row r="140" spans="1:3" s="35" customFormat="1">
      <c r="C140" s="45"/>
    </row>
    <row r="141" spans="1:3" s="35" customFormat="1">
      <c r="C141" s="45"/>
    </row>
    <row r="142" spans="1:3" s="35" customFormat="1">
      <c r="C142" s="45"/>
    </row>
    <row r="143" spans="1:3" s="35" customFormat="1">
      <c r="C143" s="45"/>
    </row>
    <row r="144" spans="1:3" s="35" customFormat="1">
      <c r="C144" s="45"/>
    </row>
    <row r="145" spans="3:3" s="35" customFormat="1">
      <c r="C145" s="45"/>
    </row>
    <row r="146" spans="3:3" s="35" customFormat="1">
      <c r="C146" s="45"/>
    </row>
    <row r="147" spans="3:3" s="35" customFormat="1">
      <c r="C147" s="45"/>
    </row>
    <row r="148" spans="3:3" s="35" customFormat="1">
      <c r="C148" s="45"/>
    </row>
    <row r="149" spans="3:3" s="35" customFormat="1">
      <c r="C149" s="45"/>
    </row>
    <row r="150" spans="3:3" s="35" customFormat="1">
      <c r="C150" s="45"/>
    </row>
    <row r="151" spans="3:3" s="35" customFormat="1">
      <c r="C151" s="45"/>
    </row>
    <row r="152" spans="3:3" s="35" customFormat="1">
      <c r="C152" s="45"/>
    </row>
    <row r="153" spans="3:3" s="35" customFormat="1">
      <c r="C153" s="45"/>
    </row>
    <row r="154" spans="3:3" s="35" customFormat="1">
      <c r="C154" s="45"/>
    </row>
    <row r="155" spans="3:3" s="35" customFormat="1">
      <c r="C155" s="45"/>
    </row>
    <row r="156" spans="3:3" s="35" customFormat="1">
      <c r="C156" s="45"/>
    </row>
    <row r="157" spans="3:3" s="35" customFormat="1">
      <c r="C157" s="45"/>
    </row>
    <row r="158" spans="3:3" s="35" customFormat="1">
      <c r="C158" s="45"/>
    </row>
    <row r="159" spans="3:3" s="35" customFormat="1">
      <c r="C159" s="45"/>
    </row>
    <row r="160" spans="3:3" s="35" customFormat="1">
      <c r="C160" s="45"/>
    </row>
    <row r="161" spans="3:3" s="35" customFormat="1">
      <c r="C161" s="45"/>
    </row>
    <row r="162" spans="3:3" s="35" customFormat="1">
      <c r="C162" s="45"/>
    </row>
    <row r="163" spans="3:3" s="35" customFormat="1">
      <c r="C163" s="45"/>
    </row>
    <row r="164" spans="3:3" s="35" customFormat="1">
      <c r="C164" s="45"/>
    </row>
    <row r="165" spans="3:3" s="35" customFormat="1">
      <c r="C165" s="45"/>
    </row>
    <row r="166" spans="3:3" s="35" customFormat="1">
      <c r="C166" s="45"/>
    </row>
    <row r="167" spans="3:3" s="35" customFormat="1">
      <c r="C167" s="45"/>
    </row>
    <row r="168" spans="3:3" s="35" customFormat="1">
      <c r="C168" s="45"/>
    </row>
    <row r="169" spans="3:3" s="35" customFormat="1">
      <c r="C169" s="45"/>
    </row>
    <row r="170" spans="3:3" s="35" customFormat="1">
      <c r="C170" s="45"/>
    </row>
    <row r="171" spans="3:3">
      <c r="C171" s="45"/>
    </row>
  </sheetData>
  <sheetProtection autoFilter="0"/>
  <autoFilter ref="A2:J115"/>
  <conditionalFormatting sqref="H58">
    <cfRule type="containsText" dxfId="2872" priority="2924" operator="containsText" text="Fully Achieved">
      <formula>NOT(ISERROR(SEARCH("Fully Achieved",H58)))</formula>
    </cfRule>
    <cfRule type="containsText" dxfId="2871" priority="2925" operator="containsText" text="Fully Achieved">
      <formula>NOT(ISERROR(SEARCH("Fully Achieved",H58)))</formula>
    </cfRule>
  </conditionalFormatting>
  <conditionalFormatting sqref="H58">
    <cfRule type="containsText" dxfId="2870" priority="2917" operator="containsText" text="Update not Provided">
      <formula>NOT(ISERROR(SEARCH("Update not Provided",H58)))</formula>
    </cfRule>
    <cfRule type="containsText" dxfId="2869" priority="2918" operator="containsText" text="Not yet due">
      <formula>NOT(ISERROR(SEARCH("Not yet due",H58)))</formula>
    </cfRule>
    <cfRule type="containsText" dxfId="2868" priority="2919" operator="containsText" text="Completed Behind Schedule">
      <formula>NOT(ISERROR(SEARCH("Completed Behind Schedule",H58)))</formula>
    </cfRule>
    <cfRule type="containsText" dxfId="2867" priority="2920" operator="containsText" text="Off Target">
      <formula>NOT(ISERROR(SEARCH("Off Target",H58)))</formula>
    </cfRule>
    <cfRule type="containsText" dxfId="2866" priority="2921" operator="containsText" text="In Danger of Falling Behind Target">
      <formula>NOT(ISERROR(SEARCH("In Danger of Falling Behind Target",H58)))</formula>
    </cfRule>
    <cfRule type="containsText" dxfId="2865" priority="2922" operator="containsText" text="On Track to be Achieved">
      <formula>NOT(ISERROR(SEARCH("On Track to be Achieved",H58)))</formula>
    </cfRule>
    <cfRule type="containsText" dxfId="2864" priority="2923" operator="containsText" text="Fully Achieved">
      <formula>NOT(ISERROR(SEARCH("Fully Achieved",H58)))</formula>
    </cfRule>
  </conditionalFormatting>
  <conditionalFormatting sqref="H58">
    <cfRule type="containsText" dxfId="2863" priority="2902" operator="containsText" text="Not Yet Due">
      <formula>NOT(ISERROR(SEARCH("Not Yet Due",H58)))</formula>
    </cfRule>
    <cfRule type="containsText" dxfId="2862" priority="2903" operator="containsText" text="Deferred">
      <formula>NOT(ISERROR(SEARCH("Deferred",H58)))</formula>
    </cfRule>
    <cfRule type="containsText" dxfId="2861" priority="2904" operator="containsText" text="Deleted">
      <formula>NOT(ISERROR(SEARCH("Deleted",H58)))</formula>
    </cfRule>
    <cfRule type="containsText" dxfId="2860" priority="2905" operator="containsText" text="In Danger of Falling Behind Target">
      <formula>NOT(ISERROR(SEARCH("In Danger of Falling Behind Target",H58)))</formula>
    </cfRule>
    <cfRule type="containsText" dxfId="2859" priority="2906" operator="containsText" text="Not yet due">
      <formula>NOT(ISERROR(SEARCH("Not yet due",H58)))</formula>
    </cfRule>
  </conditionalFormatting>
  <conditionalFormatting sqref="H58">
    <cfRule type="containsText" dxfId="2858" priority="2901" operator="containsText" text="Not yet due">
      <formula>NOT(ISERROR(SEARCH("Not yet due",H58)))</formula>
    </cfRule>
  </conditionalFormatting>
  <conditionalFormatting sqref="H58">
    <cfRule type="containsText" dxfId="2857" priority="2896" operator="containsText" text="Not yet due">
      <formula>NOT(ISERROR(SEARCH("Not yet due",H58)))</formula>
    </cfRule>
    <cfRule type="containsText" dxfId="2856" priority="2897" operator="containsText" text="Completed Behind Schedule">
      <formula>NOT(ISERROR(SEARCH("Completed Behind Schedule",H58)))</formula>
    </cfRule>
    <cfRule type="containsText" dxfId="2855" priority="2898" operator="containsText" text="Off Target">
      <formula>NOT(ISERROR(SEARCH("Off Target",H58)))</formula>
    </cfRule>
    <cfRule type="containsText" dxfId="2854" priority="2899" operator="containsText" text="On Track to be Achieved">
      <formula>NOT(ISERROR(SEARCH("On Track to be Achieved",H58)))</formula>
    </cfRule>
    <cfRule type="containsText" dxfId="2853" priority="2900" operator="containsText" text="Fully Achieved">
      <formula>NOT(ISERROR(SEARCH("Fully Achieved",H58)))</formula>
    </cfRule>
  </conditionalFormatting>
  <conditionalFormatting sqref="V85">
    <cfRule type="containsText" dxfId="2852" priority="2858" operator="containsText" text="Numerical Outturn Within 10% Tolerance">
      <formula>NOT(ISERROR(SEARCH("Numerical Outturn Within 10% Tolerance",V85)))</formula>
    </cfRule>
    <cfRule type="containsText" dxfId="2851" priority="2859" operator="containsText" text="Numerical Outturn Within 5% Tolerance">
      <formula>NOT(ISERROR(SEARCH("Numerical Outturn Within 5% Tolerance",V85)))</formula>
    </cfRule>
    <cfRule type="containsText" dxfId="2850" priority="2860" operator="containsText" text="Target Achieved / Exceeded">
      <formula>NOT(ISERROR(SEARCH("Target Achieved / Exceeded",V85)))</formula>
    </cfRule>
    <cfRule type="containsText" dxfId="2849" priority="2861" operator="containsText" text="Full Update Not Yet Available">
      <formula>NOT(ISERROR(SEARCH("Full Update Not Yet Available",V85)))</formula>
    </cfRule>
    <cfRule type="containsText" dxfId="2848" priority="2862" operator="containsText" text="Full Update Not Yet Available">
      <formula>NOT(ISERROR(SEARCH("Full Update Not Yet Available",V85)))</formula>
    </cfRule>
  </conditionalFormatting>
  <conditionalFormatting sqref="H85">
    <cfRule type="containsText" dxfId="2847" priority="2842" operator="containsText" text="Update not Provided">
      <formula>NOT(ISERROR(SEARCH("Update not Provided",H85)))</formula>
    </cfRule>
  </conditionalFormatting>
  <conditionalFormatting sqref="M85 R85">
    <cfRule type="containsText" dxfId="2846" priority="2829" operator="containsText" text="Deferred">
      <formula>NOT(ISERROR(SEARCH("Deferred",M85)))</formula>
    </cfRule>
  </conditionalFormatting>
  <conditionalFormatting sqref="D4:F54 G4:G20 G22:G27 G29:G38 G40:G54 I81:I100 H4:H54 J4:J54 D81:H115 J81:J115 I22:I54 I4:I20 I102:I115 D56:H79 J56:J79 I56:I64 I66:I79">
    <cfRule type="containsText" dxfId="2845" priority="2811" operator="containsText" text="On track to be achieved">
      <formula>NOT(ISERROR(SEARCH("On track to be achieved",D4)))</formula>
    </cfRule>
    <cfRule type="containsText" dxfId="2844" priority="2824" operator="containsText" text="Deferred">
      <formula>NOT(ISERROR(SEARCH("Deferred",D4)))</formula>
    </cfRule>
    <cfRule type="containsText" dxfId="2843" priority="2825" operator="containsText" text="Deleted">
      <formula>NOT(ISERROR(SEARCH("Deleted",D4)))</formula>
    </cfRule>
    <cfRule type="containsText" dxfId="2842" priority="2826" operator="containsText" text="In Danger of Falling Behind Target">
      <formula>NOT(ISERROR(SEARCH("In Danger of Falling Behind Target",D4)))</formula>
    </cfRule>
    <cfRule type="containsText" dxfId="2841" priority="2827" operator="containsText" text="Not yet due">
      <formula>NOT(ISERROR(SEARCH("Not yet due",D4)))</formula>
    </cfRule>
    <cfRule type="containsText" dxfId="2840" priority="2830" operator="containsText" text="Update not Provided">
      <formula>NOT(ISERROR(SEARCH("Update not Provided",D4)))</formula>
    </cfRule>
    <cfRule type="containsText" dxfId="2839" priority="2831" operator="containsText" text="Not yet due">
      <formula>NOT(ISERROR(SEARCH("Not yet due",D4)))</formula>
    </cfRule>
    <cfRule type="containsText" dxfId="2838" priority="2832" operator="containsText" text="Completed Behind Schedule">
      <formula>NOT(ISERROR(SEARCH("Completed Behind Schedule",D4)))</formula>
    </cfRule>
    <cfRule type="containsText" dxfId="2837" priority="2833" operator="containsText" text="Off Target">
      <formula>NOT(ISERROR(SEARCH("Off Target",D4)))</formula>
    </cfRule>
    <cfRule type="containsText" dxfId="2836" priority="2834" operator="containsText" text="On Track to be Achieved">
      <formula>NOT(ISERROR(SEARCH("On Track to be Achieved",D4)))</formula>
    </cfRule>
    <cfRule type="containsText" dxfId="2835" priority="2835" operator="containsText" text="Fully Achieved">
      <formula>NOT(ISERROR(SEARCH("Fully Achieved",D4)))</formula>
    </cfRule>
    <cfRule type="containsText" dxfId="2834" priority="2836" operator="containsText" text="Not yet due">
      <formula>NOT(ISERROR(SEARCH("Not yet due",D4)))</formula>
    </cfRule>
    <cfRule type="containsText" dxfId="2833" priority="2837" operator="containsText" text="Not Yet Due">
      <formula>NOT(ISERROR(SEARCH("Not Yet Due",D4)))</formula>
    </cfRule>
    <cfRule type="containsText" dxfId="2832" priority="2838" operator="containsText" text="Deferred">
      <formula>NOT(ISERROR(SEARCH("Deferred",D4)))</formula>
    </cfRule>
    <cfRule type="containsText" dxfId="2831" priority="2839" operator="containsText" text="Deleted">
      <formula>NOT(ISERROR(SEARCH("Deleted",D4)))</formula>
    </cfRule>
    <cfRule type="containsText" dxfId="2830" priority="2840" operator="containsText" text="In Danger of Falling Behind Target">
      <formula>NOT(ISERROR(SEARCH("In Danger of Falling Behind Target",D4)))</formula>
    </cfRule>
    <cfRule type="containsText" dxfId="2829" priority="2841" operator="containsText" text="Not yet due">
      <formula>NOT(ISERROR(SEARCH("Not yet due",D4)))</formula>
    </cfRule>
    <cfRule type="containsText" dxfId="2828" priority="2843" operator="containsText" text="Completed Behind Schedule">
      <formula>NOT(ISERROR(SEARCH("Completed Behind Schedule",D4)))</formula>
    </cfRule>
    <cfRule type="containsText" dxfId="2827" priority="2844" operator="containsText" text="Off Target">
      <formula>NOT(ISERROR(SEARCH("Off Target",D4)))</formula>
    </cfRule>
    <cfRule type="containsText" dxfId="2826" priority="2845" operator="containsText" text="In Danger of Falling Behind Target">
      <formula>NOT(ISERROR(SEARCH("In Danger of Falling Behind Target",D4)))</formula>
    </cfRule>
    <cfRule type="containsText" dxfId="2825" priority="2846" operator="containsText" text="On Track to be Achieved">
      <formula>NOT(ISERROR(SEARCH("On Track to be Achieved",D4)))</formula>
    </cfRule>
    <cfRule type="containsText" dxfId="2824" priority="2847" operator="containsText" text="Fully Achieved">
      <formula>NOT(ISERROR(SEARCH("Fully Achieved",D4)))</formula>
    </cfRule>
    <cfRule type="containsText" dxfId="2823" priority="2863" operator="containsText" text="Update not Provided">
      <formula>NOT(ISERROR(SEARCH("Update not Provided",D4)))</formula>
    </cfRule>
    <cfRule type="containsText" dxfId="2822" priority="2864" operator="containsText" text="Not yet due">
      <formula>NOT(ISERROR(SEARCH("Not yet due",D4)))</formula>
    </cfRule>
    <cfRule type="containsText" dxfId="2821" priority="2865" operator="containsText" text="Completed Behind Schedule">
      <formula>NOT(ISERROR(SEARCH("Completed Behind Schedule",D4)))</formula>
    </cfRule>
    <cfRule type="containsText" dxfId="2820" priority="2866" operator="containsText" text="Off Target">
      <formula>NOT(ISERROR(SEARCH("Off Target",D4)))</formula>
    </cfRule>
    <cfRule type="containsText" dxfId="2819" priority="2867" operator="containsText" text="In Danger of Falling Behind Target">
      <formula>NOT(ISERROR(SEARCH("In Danger of Falling Behind Target",D4)))</formula>
    </cfRule>
    <cfRule type="containsText" dxfId="2818" priority="2868" operator="containsText" text="On Track to be Achieved">
      <formula>NOT(ISERROR(SEARCH("On Track to be Achieved",D4)))</formula>
    </cfRule>
    <cfRule type="containsText" dxfId="2817" priority="2869" operator="containsText" text="Fully Achieved">
      <formula>NOT(ISERROR(SEARCH("Fully Achieved",D4)))</formula>
    </cfRule>
    <cfRule type="containsText" dxfId="2816" priority="2870" operator="containsText" text="Fully Achieved">
      <formula>NOT(ISERROR(SEARCH("Fully Achieved",D4)))</formula>
    </cfRule>
    <cfRule type="containsText" dxfId="2815" priority="2871" operator="containsText" text="Fully Achieved">
      <formula>NOT(ISERROR(SEARCH("Fully Achieved",D4)))</formula>
    </cfRule>
    <cfRule type="containsText" dxfId="2814" priority="2891" operator="containsText" text="Deferred">
      <formula>NOT(ISERROR(SEARCH("Deferred",D4)))</formula>
    </cfRule>
    <cfRule type="containsText" dxfId="2813" priority="2892" operator="containsText" text="Deleted">
      <formula>NOT(ISERROR(SEARCH("Deleted",D4)))</formula>
    </cfRule>
    <cfRule type="containsText" dxfId="2812" priority="2893" operator="containsText" text="In Danger of Falling Behind Target">
      <formula>NOT(ISERROR(SEARCH("In Danger of Falling Behind Target",D4)))</formula>
    </cfRule>
    <cfRule type="containsText" dxfId="2811" priority="2894" operator="containsText" text="Not yet due">
      <formula>NOT(ISERROR(SEARCH("Not yet due",D4)))</formula>
    </cfRule>
    <cfRule type="containsText" dxfId="2810" priority="2895" operator="containsText" text="Update not Provided">
      <formula>NOT(ISERROR(SEARCH("Update not Provided",D4)))</formula>
    </cfRule>
  </conditionalFormatting>
  <conditionalFormatting sqref="Y5:Y6">
    <cfRule type="containsText" dxfId="2809" priority="2775" operator="containsText" text="On track to be achieved">
      <formula>NOT(ISERROR(SEARCH("On track to be achieved",Y5)))</formula>
    </cfRule>
    <cfRule type="containsText" dxfId="2808" priority="2776" operator="containsText" text="Deferred">
      <formula>NOT(ISERROR(SEARCH("Deferred",Y5)))</formula>
    </cfRule>
    <cfRule type="containsText" dxfId="2807" priority="2777" operator="containsText" text="Deleted">
      <formula>NOT(ISERROR(SEARCH("Deleted",Y5)))</formula>
    </cfRule>
    <cfRule type="containsText" dxfId="2806" priority="2778" operator="containsText" text="In Danger of Falling Behind Target">
      <formula>NOT(ISERROR(SEARCH("In Danger of Falling Behind Target",Y5)))</formula>
    </cfRule>
    <cfRule type="containsText" dxfId="2805" priority="2779" operator="containsText" text="Not yet due">
      <formula>NOT(ISERROR(SEARCH("Not yet due",Y5)))</formula>
    </cfRule>
    <cfRule type="containsText" dxfId="2804" priority="2780" operator="containsText" text="Update not Provided">
      <formula>NOT(ISERROR(SEARCH("Update not Provided",Y5)))</formula>
    </cfRule>
    <cfRule type="containsText" dxfId="2803" priority="2781" operator="containsText" text="Not yet due">
      <formula>NOT(ISERROR(SEARCH("Not yet due",Y5)))</formula>
    </cfRule>
    <cfRule type="containsText" dxfId="2802" priority="2782" operator="containsText" text="Completed Behind Schedule">
      <formula>NOT(ISERROR(SEARCH("Completed Behind Schedule",Y5)))</formula>
    </cfRule>
    <cfRule type="containsText" dxfId="2801" priority="2783" operator="containsText" text="Off Target">
      <formula>NOT(ISERROR(SEARCH("Off Target",Y5)))</formula>
    </cfRule>
    <cfRule type="containsText" dxfId="2800" priority="2784" operator="containsText" text="On Track to be Achieved">
      <formula>NOT(ISERROR(SEARCH("On Track to be Achieved",Y5)))</formula>
    </cfRule>
    <cfRule type="containsText" dxfId="2799" priority="2785" operator="containsText" text="Fully Achieved">
      <formula>NOT(ISERROR(SEARCH("Fully Achieved",Y5)))</formula>
    </cfRule>
    <cfRule type="containsText" dxfId="2798" priority="2786" operator="containsText" text="Not yet due">
      <formula>NOT(ISERROR(SEARCH("Not yet due",Y5)))</formula>
    </cfRule>
    <cfRule type="containsText" dxfId="2797" priority="2787" operator="containsText" text="Not Yet Due">
      <formula>NOT(ISERROR(SEARCH("Not Yet Due",Y5)))</formula>
    </cfRule>
    <cfRule type="containsText" dxfId="2796" priority="2788" operator="containsText" text="Deferred">
      <formula>NOT(ISERROR(SEARCH("Deferred",Y5)))</formula>
    </cfRule>
    <cfRule type="containsText" dxfId="2795" priority="2789" operator="containsText" text="Deleted">
      <formula>NOT(ISERROR(SEARCH("Deleted",Y5)))</formula>
    </cfRule>
    <cfRule type="containsText" dxfId="2794" priority="2790" operator="containsText" text="In Danger of Falling Behind Target">
      <formula>NOT(ISERROR(SEARCH("In Danger of Falling Behind Target",Y5)))</formula>
    </cfRule>
    <cfRule type="containsText" dxfId="2793" priority="2791" operator="containsText" text="Not yet due">
      <formula>NOT(ISERROR(SEARCH("Not yet due",Y5)))</formula>
    </cfRule>
    <cfRule type="containsText" dxfId="2792" priority="2792" operator="containsText" text="Completed Behind Schedule">
      <formula>NOT(ISERROR(SEARCH("Completed Behind Schedule",Y5)))</formula>
    </cfRule>
    <cfRule type="containsText" dxfId="2791" priority="2793" operator="containsText" text="Off Target">
      <formula>NOT(ISERROR(SEARCH("Off Target",Y5)))</formula>
    </cfRule>
    <cfRule type="containsText" dxfId="2790" priority="2794" operator="containsText" text="In Danger of Falling Behind Target">
      <formula>NOT(ISERROR(SEARCH("In Danger of Falling Behind Target",Y5)))</formula>
    </cfRule>
    <cfRule type="containsText" dxfId="2789" priority="2795" operator="containsText" text="On Track to be Achieved">
      <formula>NOT(ISERROR(SEARCH("On Track to be Achieved",Y5)))</formula>
    </cfRule>
    <cfRule type="containsText" dxfId="2788" priority="2796" operator="containsText" text="Fully Achieved">
      <formula>NOT(ISERROR(SEARCH("Fully Achieved",Y5)))</formula>
    </cfRule>
    <cfRule type="containsText" dxfId="2787" priority="2797" operator="containsText" text="Update not Provided">
      <formula>NOT(ISERROR(SEARCH("Update not Provided",Y5)))</formula>
    </cfRule>
    <cfRule type="containsText" dxfId="2786" priority="2798" operator="containsText" text="Not yet due">
      <formula>NOT(ISERROR(SEARCH("Not yet due",Y5)))</formula>
    </cfRule>
    <cfRule type="containsText" dxfId="2785" priority="2799" operator="containsText" text="Completed Behind Schedule">
      <formula>NOT(ISERROR(SEARCH("Completed Behind Schedule",Y5)))</formula>
    </cfRule>
    <cfRule type="containsText" dxfId="2784" priority="2800" operator="containsText" text="Off Target">
      <formula>NOT(ISERROR(SEARCH("Off Target",Y5)))</formula>
    </cfRule>
    <cfRule type="containsText" dxfId="2783" priority="2801" operator="containsText" text="In Danger of Falling Behind Target">
      <formula>NOT(ISERROR(SEARCH("In Danger of Falling Behind Target",Y5)))</formula>
    </cfRule>
    <cfRule type="containsText" dxfId="2782" priority="2802" operator="containsText" text="On Track to be Achieved">
      <formula>NOT(ISERROR(SEARCH("On Track to be Achieved",Y5)))</formula>
    </cfRule>
    <cfRule type="containsText" dxfId="2781" priority="2803" operator="containsText" text="Fully Achieved">
      <formula>NOT(ISERROR(SEARCH("Fully Achieved",Y5)))</formula>
    </cfRule>
    <cfRule type="containsText" dxfId="2780" priority="2804" operator="containsText" text="Fully Achieved">
      <formula>NOT(ISERROR(SEARCH("Fully Achieved",Y5)))</formula>
    </cfRule>
    <cfRule type="containsText" dxfId="2779" priority="2805" operator="containsText" text="Fully Achieved">
      <formula>NOT(ISERROR(SEARCH("Fully Achieved",Y5)))</formula>
    </cfRule>
    <cfRule type="containsText" dxfId="2778" priority="2806" operator="containsText" text="Deferred">
      <formula>NOT(ISERROR(SEARCH("Deferred",Y5)))</formula>
    </cfRule>
    <cfRule type="containsText" dxfId="2777" priority="2807" operator="containsText" text="Deleted">
      <formula>NOT(ISERROR(SEARCH("Deleted",Y5)))</formula>
    </cfRule>
    <cfRule type="containsText" dxfId="2776" priority="2808" operator="containsText" text="In Danger of Falling Behind Target">
      <formula>NOT(ISERROR(SEARCH("In Danger of Falling Behind Target",Y5)))</formula>
    </cfRule>
    <cfRule type="containsText" dxfId="2775" priority="2809" operator="containsText" text="Not yet due">
      <formula>NOT(ISERROR(SEARCH("Not yet due",Y5)))</formula>
    </cfRule>
    <cfRule type="containsText" dxfId="2774" priority="2810" operator="containsText" text="Update not Provided">
      <formula>NOT(ISERROR(SEARCH("Update not Provided",Y5)))</formula>
    </cfRule>
  </conditionalFormatting>
  <conditionalFormatting sqref="E4">
    <cfRule type="containsText" dxfId="2773" priority="2739" operator="containsText" text="On track to be achieved">
      <formula>NOT(ISERROR(SEARCH("On track to be achieved",E4)))</formula>
    </cfRule>
    <cfRule type="containsText" dxfId="2772" priority="2740" operator="containsText" text="Deferred">
      <formula>NOT(ISERROR(SEARCH("Deferred",E4)))</formula>
    </cfRule>
    <cfRule type="containsText" dxfId="2771" priority="2741" operator="containsText" text="Deleted">
      <formula>NOT(ISERROR(SEARCH("Deleted",E4)))</formula>
    </cfRule>
    <cfRule type="containsText" dxfId="2770" priority="2742" operator="containsText" text="In Danger of Falling Behind Target">
      <formula>NOT(ISERROR(SEARCH("In Danger of Falling Behind Target",E4)))</formula>
    </cfRule>
    <cfRule type="containsText" dxfId="2769" priority="2743" operator="containsText" text="Not yet due">
      <formula>NOT(ISERROR(SEARCH("Not yet due",E4)))</formula>
    </cfRule>
    <cfRule type="containsText" dxfId="2768" priority="2744" operator="containsText" text="Update not Provided">
      <formula>NOT(ISERROR(SEARCH("Update not Provided",E4)))</formula>
    </cfRule>
    <cfRule type="containsText" dxfId="2767" priority="2745" operator="containsText" text="Not yet due">
      <formula>NOT(ISERROR(SEARCH("Not yet due",E4)))</formula>
    </cfRule>
    <cfRule type="containsText" dxfId="2766" priority="2746" operator="containsText" text="Completed Behind Schedule">
      <formula>NOT(ISERROR(SEARCH("Completed Behind Schedule",E4)))</formula>
    </cfRule>
    <cfRule type="containsText" dxfId="2765" priority="2747" operator="containsText" text="Off Target">
      <formula>NOT(ISERROR(SEARCH("Off Target",E4)))</formula>
    </cfRule>
    <cfRule type="containsText" dxfId="2764" priority="2748" operator="containsText" text="On Track to be Achieved">
      <formula>NOT(ISERROR(SEARCH("On Track to be Achieved",E4)))</formula>
    </cfRule>
    <cfRule type="containsText" dxfId="2763" priority="2749" operator="containsText" text="Fully Achieved">
      <formula>NOT(ISERROR(SEARCH("Fully Achieved",E4)))</formula>
    </cfRule>
    <cfRule type="containsText" dxfId="2762" priority="2750" operator="containsText" text="Not yet due">
      <formula>NOT(ISERROR(SEARCH("Not yet due",E4)))</formula>
    </cfRule>
    <cfRule type="containsText" dxfId="2761" priority="2751" operator="containsText" text="Not Yet Due">
      <formula>NOT(ISERROR(SEARCH("Not Yet Due",E4)))</formula>
    </cfRule>
    <cfRule type="containsText" dxfId="2760" priority="2752" operator="containsText" text="Deferred">
      <formula>NOT(ISERROR(SEARCH("Deferred",E4)))</formula>
    </cfRule>
    <cfRule type="containsText" dxfId="2759" priority="2753" operator="containsText" text="Deleted">
      <formula>NOT(ISERROR(SEARCH("Deleted",E4)))</formula>
    </cfRule>
    <cfRule type="containsText" dxfId="2758" priority="2754" operator="containsText" text="In Danger of Falling Behind Target">
      <formula>NOT(ISERROR(SEARCH("In Danger of Falling Behind Target",E4)))</formula>
    </cfRule>
    <cfRule type="containsText" dxfId="2757" priority="2755" operator="containsText" text="Not yet due">
      <formula>NOT(ISERROR(SEARCH("Not yet due",E4)))</formula>
    </cfRule>
    <cfRule type="containsText" dxfId="2756" priority="2756" operator="containsText" text="Completed Behind Schedule">
      <formula>NOT(ISERROR(SEARCH("Completed Behind Schedule",E4)))</formula>
    </cfRule>
    <cfRule type="containsText" dxfId="2755" priority="2757" operator="containsText" text="Off Target">
      <formula>NOT(ISERROR(SEARCH("Off Target",E4)))</formula>
    </cfRule>
    <cfRule type="containsText" dxfId="2754" priority="2758" operator="containsText" text="In Danger of Falling Behind Target">
      <formula>NOT(ISERROR(SEARCH("In Danger of Falling Behind Target",E4)))</formula>
    </cfRule>
    <cfRule type="containsText" dxfId="2753" priority="2759" operator="containsText" text="On Track to be Achieved">
      <formula>NOT(ISERROR(SEARCH("On Track to be Achieved",E4)))</formula>
    </cfRule>
    <cfRule type="containsText" dxfId="2752" priority="2760" operator="containsText" text="Fully Achieved">
      <formula>NOT(ISERROR(SEARCH("Fully Achieved",E4)))</formula>
    </cfRule>
    <cfRule type="containsText" dxfId="2751" priority="2761" operator="containsText" text="Update not Provided">
      <formula>NOT(ISERROR(SEARCH("Update not Provided",E4)))</formula>
    </cfRule>
    <cfRule type="containsText" dxfId="2750" priority="2762" operator="containsText" text="Not yet due">
      <formula>NOT(ISERROR(SEARCH("Not yet due",E4)))</formula>
    </cfRule>
    <cfRule type="containsText" dxfId="2749" priority="2763" operator="containsText" text="Completed Behind Schedule">
      <formula>NOT(ISERROR(SEARCH("Completed Behind Schedule",E4)))</formula>
    </cfRule>
    <cfRule type="containsText" dxfId="2748" priority="2764" operator="containsText" text="Off Target">
      <formula>NOT(ISERROR(SEARCH("Off Target",E4)))</formula>
    </cfRule>
    <cfRule type="containsText" dxfId="2747" priority="2765" operator="containsText" text="In Danger of Falling Behind Target">
      <formula>NOT(ISERROR(SEARCH("In Danger of Falling Behind Target",E4)))</formula>
    </cfRule>
    <cfRule type="containsText" dxfId="2746" priority="2766" operator="containsText" text="On Track to be Achieved">
      <formula>NOT(ISERROR(SEARCH("On Track to be Achieved",E4)))</formula>
    </cfRule>
    <cfRule type="containsText" dxfId="2745" priority="2767" operator="containsText" text="Fully Achieved">
      <formula>NOT(ISERROR(SEARCH("Fully Achieved",E4)))</formula>
    </cfRule>
    <cfRule type="containsText" dxfId="2744" priority="2768" operator="containsText" text="Fully Achieved">
      <formula>NOT(ISERROR(SEARCH("Fully Achieved",E4)))</formula>
    </cfRule>
    <cfRule type="containsText" dxfId="2743" priority="2769" operator="containsText" text="Fully Achieved">
      <formula>NOT(ISERROR(SEARCH("Fully Achieved",E4)))</formula>
    </cfRule>
    <cfRule type="containsText" dxfId="2742" priority="2770" operator="containsText" text="Deferred">
      <formula>NOT(ISERROR(SEARCH("Deferred",E4)))</formula>
    </cfRule>
    <cfRule type="containsText" dxfId="2741" priority="2771" operator="containsText" text="Deleted">
      <formula>NOT(ISERROR(SEARCH("Deleted",E4)))</formula>
    </cfRule>
    <cfRule type="containsText" dxfId="2740" priority="2772" operator="containsText" text="In Danger of Falling Behind Target">
      <formula>NOT(ISERROR(SEARCH("In Danger of Falling Behind Target",E4)))</formula>
    </cfRule>
    <cfRule type="containsText" dxfId="2739" priority="2773" operator="containsText" text="Not yet due">
      <formula>NOT(ISERROR(SEARCH("Not yet due",E4)))</formula>
    </cfRule>
    <cfRule type="containsText" dxfId="2738" priority="2774" operator="containsText" text="Update not Provided">
      <formula>NOT(ISERROR(SEARCH("Update not Provided",E4)))</formula>
    </cfRule>
  </conditionalFormatting>
  <conditionalFormatting sqref="E7">
    <cfRule type="containsText" dxfId="2737" priority="2703" operator="containsText" text="On track to be achieved">
      <formula>NOT(ISERROR(SEARCH("On track to be achieved",E7)))</formula>
    </cfRule>
    <cfRule type="containsText" dxfId="2736" priority="2704" operator="containsText" text="Deferred">
      <formula>NOT(ISERROR(SEARCH("Deferred",E7)))</formula>
    </cfRule>
    <cfRule type="containsText" dxfId="2735" priority="2705" operator="containsText" text="Deleted">
      <formula>NOT(ISERROR(SEARCH("Deleted",E7)))</formula>
    </cfRule>
    <cfRule type="containsText" dxfId="2734" priority="2706" operator="containsText" text="In Danger of Falling Behind Target">
      <formula>NOT(ISERROR(SEARCH("In Danger of Falling Behind Target",E7)))</formula>
    </cfRule>
    <cfRule type="containsText" dxfId="2733" priority="2707" operator="containsText" text="Not yet due">
      <formula>NOT(ISERROR(SEARCH("Not yet due",E7)))</formula>
    </cfRule>
    <cfRule type="containsText" dxfId="2732" priority="2708" operator="containsText" text="Update not Provided">
      <formula>NOT(ISERROR(SEARCH("Update not Provided",E7)))</formula>
    </cfRule>
    <cfRule type="containsText" dxfId="2731" priority="2709" operator="containsText" text="Not yet due">
      <formula>NOT(ISERROR(SEARCH("Not yet due",E7)))</formula>
    </cfRule>
    <cfRule type="containsText" dxfId="2730" priority="2710" operator="containsText" text="Completed Behind Schedule">
      <formula>NOT(ISERROR(SEARCH("Completed Behind Schedule",E7)))</formula>
    </cfRule>
    <cfRule type="containsText" dxfId="2729" priority="2711" operator="containsText" text="Off Target">
      <formula>NOT(ISERROR(SEARCH("Off Target",E7)))</formula>
    </cfRule>
    <cfRule type="containsText" dxfId="2728" priority="2712" operator="containsText" text="On Track to be Achieved">
      <formula>NOT(ISERROR(SEARCH("On Track to be Achieved",E7)))</formula>
    </cfRule>
    <cfRule type="containsText" dxfId="2727" priority="2713" operator="containsText" text="Fully Achieved">
      <formula>NOT(ISERROR(SEARCH("Fully Achieved",E7)))</formula>
    </cfRule>
    <cfRule type="containsText" dxfId="2726" priority="2714" operator="containsText" text="Not yet due">
      <formula>NOT(ISERROR(SEARCH("Not yet due",E7)))</formula>
    </cfRule>
    <cfRule type="containsText" dxfId="2725" priority="2715" operator="containsText" text="Not Yet Due">
      <formula>NOT(ISERROR(SEARCH("Not Yet Due",E7)))</formula>
    </cfRule>
    <cfRule type="containsText" dxfId="2724" priority="2716" operator="containsText" text="Deferred">
      <formula>NOT(ISERROR(SEARCH("Deferred",E7)))</formula>
    </cfRule>
    <cfRule type="containsText" dxfId="2723" priority="2717" operator="containsText" text="Deleted">
      <formula>NOT(ISERROR(SEARCH("Deleted",E7)))</formula>
    </cfRule>
    <cfRule type="containsText" dxfId="2722" priority="2718" operator="containsText" text="In Danger of Falling Behind Target">
      <formula>NOT(ISERROR(SEARCH("In Danger of Falling Behind Target",E7)))</formula>
    </cfRule>
    <cfRule type="containsText" dxfId="2721" priority="2719" operator="containsText" text="Not yet due">
      <formula>NOT(ISERROR(SEARCH("Not yet due",E7)))</formula>
    </cfRule>
    <cfRule type="containsText" dxfId="2720" priority="2720" operator="containsText" text="Completed Behind Schedule">
      <formula>NOT(ISERROR(SEARCH("Completed Behind Schedule",E7)))</formula>
    </cfRule>
    <cfRule type="containsText" dxfId="2719" priority="2721" operator="containsText" text="Off Target">
      <formula>NOT(ISERROR(SEARCH("Off Target",E7)))</formula>
    </cfRule>
    <cfRule type="containsText" dxfId="2718" priority="2722" operator="containsText" text="In Danger of Falling Behind Target">
      <formula>NOT(ISERROR(SEARCH("In Danger of Falling Behind Target",E7)))</formula>
    </cfRule>
    <cfRule type="containsText" dxfId="2717" priority="2723" operator="containsText" text="On Track to be Achieved">
      <formula>NOT(ISERROR(SEARCH("On Track to be Achieved",E7)))</formula>
    </cfRule>
    <cfRule type="containsText" dxfId="2716" priority="2724" operator="containsText" text="Fully Achieved">
      <formula>NOT(ISERROR(SEARCH("Fully Achieved",E7)))</formula>
    </cfRule>
    <cfRule type="containsText" dxfId="2715" priority="2725" operator="containsText" text="Update not Provided">
      <formula>NOT(ISERROR(SEARCH("Update not Provided",E7)))</formula>
    </cfRule>
    <cfRule type="containsText" dxfId="2714" priority="2726" operator="containsText" text="Not yet due">
      <formula>NOT(ISERROR(SEARCH("Not yet due",E7)))</formula>
    </cfRule>
    <cfRule type="containsText" dxfId="2713" priority="2727" operator="containsText" text="Completed Behind Schedule">
      <formula>NOT(ISERROR(SEARCH("Completed Behind Schedule",E7)))</formula>
    </cfRule>
    <cfRule type="containsText" dxfId="2712" priority="2728" operator="containsText" text="Off Target">
      <formula>NOT(ISERROR(SEARCH("Off Target",E7)))</formula>
    </cfRule>
    <cfRule type="containsText" dxfId="2711" priority="2729" operator="containsText" text="In Danger of Falling Behind Target">
      <formula>NOT(ISERROR(SEARCH("In Danger of Falling Behind Target",E7)))</formula>
    </cfRule>
    <cfRule type="containsText" dxfId="2710" priority="2730" operator="containsText" text="On Track to be Achieved">
      <formula>NOT(ISERROR(SEARCH("On Track to be Achieved",E7)))</formula>
    </cfRule>
    <cfRule type="containsText" dxfId="2709" priority="2731" operator="containsText" text="Fully Achieved">
      <formula>NOT(ISERROR(SEARCH("Fully Achieved",E7)))</formula>
    </cfRule>
    <cfRule type="containsText" dxfId="2708" priority="2732" operator="containsText" text="Fully Achieved">
      <formula>NOT(ISERROR(SEARCH("Fully Achieved",E7)))</formula>
    </cfRule>
    <cfRule type="containsText" dxfId="2707" priority="2733" operator="containsText" text="Fully Achieved">
      <formula>NOT(ISERROR(SEARCH("Fully Achieved",E7)))</formula>
    </cfRule>
    <cfRule type="containsText" dxfId="2706" priority="2734" operator="containsText" text="Deferred">
      <formula>NOT(ISERROR(SEARCH("Deferred",E7)))</formula>
    </cfRule>
    <cfRule type="containsText" dxfId="2705" priority="2735" operator="containsText" text="Deleted">
      <formula>NOT(ISERROR(SEARCH("Deleted",E7)))</formula>
    </cfRule>
    <cfRule type="containsText" dxfId="2704" priority="2736" operator="containsText" text="In Danger of Falling Behind Target">
      <formula>NOT(ISERROR(SEARCH("In Danger of Falling Behind Target",E7)))</formula>
    </cfRule>
    <cfRule type="containsText" dxfId="2703" priority="2737" operator="containsText" text="Not yet due">
      <formula>NOT(ISERROR(SEARCH("Not yet due",E7)))</formula>
    </cfRule>
    <cfRule type="containsText" dxfId="2702" priority="2738" operator="containsText" text="Update not Provided">
      <formula>NOT(ISERROR(SEARCH("Update not Provided",E7)))</formula>
    </cfRule>
  </conditionalFormatting>
  <conditionalFormatting sqref="E8:E13">
    <cfRule type="containsText" dxfId="2701" priority="2667" operator="containsText" text="On track to be achieved">
      <formula>NOT(ISERROR(SEARCH("On track to be achieved",E8)))</formula>
    </cfRule>
    <cfRule type="containsText" dxfId="2700" priority="2668" operator="containsText" text="Deferred">
      <formula>NOT(ISERROR(SEARCH("Deferred",E8)))</formula>
    </cfRule>
    <cfRule type="containsText" dxfId="2699" priority="2669" operator="containsText" text="Deleted">
      <formula>NOT(ISERROR(SEARCH("Deleted",E8)))</formula>
    </cfRule>
    <cfRule type="containsText" dxfId="2698" priority="2670" operator="containsText" text="In Danger of Falling Behind Target">
      <formula>NOT(ISERROR(SEARCH("In Danger of Falling Behind Target",E8)))</formula>
    </cfRule>
    <cfRule type="containsText" dxfId="2697" priority="2671" operator="containsText" text="Not yet due">
      <formula>NOT(ISERROR(SEARCH("Not yet due",E8)))</formula>
    </cfRule>
    <cfRule type="containsText" dxfId="2696" priority="2672" operator="containsText" text="Update not Provided">
      <formula>NOT(ISERROR(SEARCH("Update not Provided",E8)))</formula>
    </cfRule>
    <cfRule type="containsText" dxfId="2695" priority="2673" operator="containsText" text="Not yet due">
      <formula>NOT(ISERROR(SEARCH("Not yet due",E8)))</formula>
    </cfRule>
    <cfRule type="containsText" dxfId="2694" priority="2674" operator="containsText" text="Completed Behind Schedule">
      <formula>NOT(ISERROR(SEARCH("Completed Behind Schedule",E8)))</formula>
    </cfRule>
    <cfRule type="containsText" dxfId="2693" priority="2675" operator="containsText" text="Off Target">
      <formula>NOT(ISERROR(SEARCH("Off Target",E8)))</formula>
    </cfRule>
    <cfRule type="containsText" dxfId="2692" priority="2676" operator="containsText" text="On Track to be Achieved">
      <formula>NOT(ISERROR(SEARCH("On Track to be Achieved",E8)))</formula>
    </cfRule>
    <cfRule type="containsText" dxfId="2691" priority="2677" operator="containsText" text="Fully Achieved">
      <formula>NOT(ISERROR(SEARCH("Fully Achieved",E8)))</formula>
    </cfRule>
    <cfRule type="containsText" dxfId="2690" priority="2678" operator="containsText" text="Not yet due">
      <formula>NOT(ISERROR(SEARCH("Not yet due",E8)))</formula>
    </cfRule>
    <cfRule type="containsText" dxfId="2689" priority="2679" operator="containsText" text="Not Yet Due">
      <formula>NOT(ISERROR(SEARCH("Not Yet Due",E8)))</formula>
    </cfRule>
    <cfRule type="containsText" dxfId="2688" priority="2680" operator="containsText" text="Deferred">
      <formula>NOT(ISERROR(SEARCH("Deferred",E8)))</formula>
    </cfRule>
    <cfRule type="containsText" dxfId="2687" priority="2681" operator="containsText" text="Deleted">
      <formula>NOT(ISERROR(SEARCH("Deleted",E8)))</formula>
    </cfRule>
    <cfRule type="containsText" dxfId="2686" priority="2682" operator="containsText" text="In Danger of Falling Behind Target">
      <formula>NOT(ISERROR(SEARCH("In Danger of Falling Behind Target",E8)))</formula>
    </cfRule>
    <cfRule type="containsText" dxfId="2685" priority="2683" operator="containsText" text="Not yet due">
      <formula>NOT(ISERROR(SEARCH("Not yet due",E8)))</formula>
    </cfRule>
    <cfRule type="containsText" dxfId="2684" priority="2684" operator="containsText" text="Completed Behind Schedule">
      <formula>NOT(ISERROR(SEARCH("Completed Behind Schedule",E8)))</formula>
    </cfRule>
    <cfRule type="containsText" dxfId="2683" priority="2685" operator="containsText" text="Off Target">
      <formula>NOT(ISERROR(SEARCH("Off Target",E8)))</formula>
    </cfRule>
    <cfRule type="containsText" dxfId="2682" priority="2686" operator="containsText" text="In Danger of Falling Behind Target">
      <formula>NOT(ISERROR(SEARCH("In Danger of Falling Behind Target",E8)))</formula>
    </cfRule>
    <cfRule type="containsText" dxfId="2681" priority="2687" operator="containsText" text="On Track to be Achieved">
      <formula>NOT(ISERROR(SEARCH("On Track to be Achieved",E8)))</formula>
    </cfRule>
    <cfRule type="containsText" dxfId="2680" priority="2688" operator="containsText" text="Fully Achieved">
      <formula>NOT(ISERROR(SEARCH("Fully Achieved",E8)))</formula>
    </cfRule>
    <cfRule type="containsText" dxfId="2679" priority="2689" operator="containsText" text="Update not Provided">
      <formula>NOT(ISERROR(SEARCH("Update not Provided",E8)))</formula>
    </cfRule>
    <cfRule type="containsText" dxfId="2678" priority="2690" operator="containsText" text="Not yet due">
      <formula>NOT(ISERROR(SEARCH("Not yet due",E8)))</formula>
    </cfRule>
    <cfRule type="containsText" dxfId="2677" priority="2691" operator="containsText" text="Completed Behind Schedule">
      <formula>NOT(ISERROR(SEARCH("Completed Behind Schedule",E8)))</formula>
    </cfRule>
    <cfRule type="containsText" dxfId="2676" priority="2692" operator="containsText" text="Off Target">
      <formula>NOT(ISERROR(SEARCH("Off Target",E8)))</formula>
    </cfRule>
    <cfRule type="containsText" dxfId="2675" priority="2693" operator="containsText" text="In Danger of Falling Behind Target">
      <formula>NOT(ISERROR(SEARCH("In Danger of Falling Behind Target",E8)))</formula>
    </cfRule>
    <cfRule type="containsText" dxfId="2674" priority="2694" operator="containsText" text="On Track to be Achieved">
      <formula>NOT(ISERROR(SEARCH("On Track to be Achieved",E8)))</formula>
    </cfRule>
    <cfRule type="containsText" dxfId="2673" priority="2695" operator="containsText" text="Fully Achieved">
      <formula>NOT(ISERROR(SEARCH("Fully Achieved",E8)))</formula>
    </cfRule>
    <cfRule type="containsText" dxfId="2672" priority="2696" operator="containsText" text="Fully Achieved">
      <formula>NOT(ISERROR(SEARCH("Fully Achieved",E8)))</formula>
    </cfRule>
    <cfRule type="containsText" dxfId="2671" priority="2697" operator="containsText" text="Fully Achieved">
      <formula>NOT(ISERROR(SEARCH("Fully Achieved",E8)))</formula>
    </cfRule>
    <cfRule type="containsText" dxfId="2670" priority="2698" operator="containsText" text="Deferred">
      <formula>NOT(ISERROR(SEARCH("Deferred",E8)))</formula>
    </cfRule>
    <cfRule type="containsText" dxfId="2669" priority="2699" operator="containsText" text="Deleted">
      <formula>NOT(ISERROR(SEARCH("Deleted",E8)))</formula>
    </cfRule>
    <cfRule type="containsText" dxfId="2668" priority="2700" operator="containsText" text="In Danger of Falling Behind Target">
      <formula>NOT(ISERROR(SEARCH("In Danger of Falling Behind Target",E8)))</formula>
    </cfRule>
    <cfRule type="containsText" dxfId="2667" priority="2701" operator="containsText" text="Not yet due">
      <formula>NOT(ISERROR(SEARCH("Not yet due",E8)))</formula>
    </cfRule>
    <cfRule type="containsText" dxfId="2666" priority="2702" operator="containsText" text="Update not Provided">
      <formula>NOT(ISERROR(SEARCH("Update not Provided",E8)))</formula>
    </cfRule>
  </conditionalFormatting>
  <conditionalFormatting sqref="E15:E23">
    <cfRule type="containsText" dxfId="2665" priority="2631" operator="containsText" text="On track to be achieved">
      <formula>NOT(ISERROR(SEARCH("On track to be achieved",E15)))</formula>
    </cfRule>
    <cfRule type="containsText" dxfId="2664" priority="2632" operator="containsText" text="Deferred">
      <formula>NOT(ISERROR(SEARCH("Deferred",E15)))</formula>
    </cfRule>
    <cfRule type="containsText" dxfId="2663" priority="2633" operator="containsText" text="Deleted">
      <formula>NOT(ISERROR(SEARCH("Deleted",E15)))</formula>
    </cfRule>
    <cfRule type="containsText" dxfId="2662" priority="2634" operator="containsText" text="In Danger of Falling Behind Target">
      <formula>NOT(ISERROR(SEARCH("In Danger of Falling Behind Target",E15)))</formula>
    </cfRule>
    <cfRule type="containsText" dxfId="2661" priority="2635" operator="containsText" text="Not yet due">
      <formula>NOT(ISERROR(SEARCH("Not yet due",E15)))</formula>
    </cfRule>
    <cfRule type="containsText" dxfId="2660" priority="2636" operator="containsText" text="Update not Provided">
      <formula>NOT(ISERROR(SEARCH("Update not Provided",E15)))</formula>
    </cfRule>
    <cfRule type="containsText" dxfId="2659" priority="2637" operator="containsText" text="Not yet due">
      <formula>NOT(ISERROR(SEARCH("Not yet due",E15)))</formula>
    </cfRule>
    <cfRule type="containsText" dxfId="2658" priority="2638" operator="containsText" text="Completed Behind Schedule">
      <formula>NOT(ISERROR(SEARCH("Completed Behind Schedule",E15)))</formula>
    </cfRule>
    <cfRule type="containsText" dxfId="2657" priority="2639" operator="containsText" text="Off Target">
      <formula>NOT(ISERROR(SEARCH("Off Target",E15)))</formula>
    </cfRule>
    <cfRule type="containsText" dxfId="2656" priority="2640" operator="containsText" text="On Track to be Achieved">
      <formula>NOT(ISERROR(SEARCH("On Track to be Achieved",E15)))</formula>
    </cfRule>
    <cfRule type="containsText" dxfId="2655" priority="2641" operator="containsText" text="Fully Achieved">
      <formula>NOT(ISERROR(SEARCH("Fully Achieved",E15)))</formula>
    </cfRule>
    <cfRule type="containsText" dxfId="2654" priority="2642" operator="containsText" text="Not yet due">
      <formula>NOT(ISERROR(SEARCH("Not yet due",E15)))</formula>
    </cfRule>
    <cfRule type="containsText" dxfId="2653" priority="2643" operator="containsText" text="Not Yet Due">
      <formula>NOT(ISERROR(SEARCH("Not Yet Due",E15)))</formula>
    </cfRule>
    <cfRule type="containsText" dxfId="2652" priority="2644" operator="containsText" text="Deferred">
      <formula>NOT(ISERROR(SEARCH("Deferred",E15)))</formula>
    </cfRule>
    <cfRule type="containsText" dxfId="2651" priority="2645" operator="containsText" text="Deleted">
      <formula>NOT(ISERROR(SEARCH("Deleted",E15)))</formula>
    </cfRule>
    <cfRule type="containsText" dxfId="2650" priority="2646" operator="containsText" text="In Danger of Falling Behind Target">
      <formula>NOT(ISERROR(SEARCH("In Danger of Falling Behind Target",E15)))</formula>
    </cfRule>
    <cfRule type="containsText" dxfId="2649" priority="2647" operator="containsText" text="Not yet due">
      <formula>NOT(ISERROR(SEARCH("Not yet due",E15)))</formula>
    </cfRule>
    <cfRule type="containsText" dxfId="2648" priority="2648" operator="containsText" text="Completed Behind Schedule">
      <formula>NOT(ISERROR(SEARCH("Completed Behind Schedule",E15)))</formula>
    </cfRule>
    <cfRule type="containsText" dxfId="2647" priority="2649" operator="containsText" text="Off Target">
      <formula>NOT(ISERROR(SEARCH("Off Target",E15)))</formula>
    </cfRule>
    <cfRule type="containsText" dxfId="2646" priority="2650" operator="containsText" text="In Danger of Falling Behind Target">
      <formula>NOT(ISERROR(SEARCH("In Danger of Falling Behind Target",E15)))</formula>
    </cfRule>
    <cfRule type="containsText" dxfId="2645" priority="2651" operator="containsText" text="On Track to be Achieved">
      <formula>NOT(ISERROR(SEARCH("On Track to be Achieved",E15)))</formula>
    </cfRule>
    <cfRule type="containsText" dxfId="2644" priority="2652" operator="containsText" text="Fully Achieved">
      <formula>NOT(ISERROR(SEARCH("Fully Achieved",E15)))</formula>
    </cfRule>
    <cfRule type="containsText" dxfId="2643" priority="2653" operator="containsText" text="Update not Provided">
      <formula>NOT(ISERROR(SEARCH("Update not Provided",E15)))</formula>
    </cfRule>
    <cfRule type="containsText" dxfId="2642" priority="2654" operator="containsText" text="Not yet due">
      <formula>NOT(ISERROR(SEARCH("Not yet due",E15)))</formula>
    </cfRule>
    <cfRule type="containsText" dxfId="2641" priority="2655" operator="containsText" text="Completed Behind Schedule">
      <formula>NOT(ISERROR(SEARCH("Completed Behind Schedule",E15)))</formula>
    </cfRule>
    <cfRule type="containsText" dxfId="2640" priority="2656" operator="containsText" text="Off Target">
      <formula>NOT(ISERROR(SEARCH("Off Target",E15)))</formula>
    </cfRule>
    <cfRule type="containsText" dxfId="2639" priority="2657" operator="containsText" text="In Danger of Falling Behind Target">
      <formula>NOT(ISERROR(SEARCH("In Danger of Falling Behind Target",E15)))</formula>
    </cfRule>
    <cfRule type="containsText" dxfId="2638" priority="2658" operator="containsText" text="On Track to be Achieved">
      <formula>NOT(ISERROR(SEARCH("On Track to be Achieved",E15)))</formula>
    </cfRule>
    <cfRule type="containsText" dxfId="2637" priority="2659" operator="containsText" text="Fully Achieved">
      <formula>NOT(ISERROR(SEARCH("Fully Achieved",E15)))</formula>
    </cfRule>
    <cfRule type="containsText" dxfId="2636" priority="2660" operator="containsText" text="Fully Achieved">
      <formula>NOT(ISERROR(SEARCH("Fully Achieved",E15)))</formula>
    </cfRule>
    <cfRule type="containsText" dxfId="2635" priority="2661" operator="containsText" text="Fully Achieved">
      <formula>NOT(ISERROR(SEARCH("Fully Achieved",E15)))</formula>
    </cfRule>
    <cfRule type="containsText" dxfId="2634" priority="2662" operator="containsText" text="Deferred">
      <formula>NOT(ISERROR(SEARCH("Deferred",E15)))</formula>
    </cfRule>
    <cfRule type="containsText" dxfId="2633" priority="2663" operator="containsText" text="Deleted">
      <formula>NOT(ISERROR(SEARCH("Deleted",E15)))</formula>
    </cfRule>
    <cfRule type="containsText" dxfId="2632" priority="2664" operator="containsText" text="In Danger of Falling Behind Target">
      <formula>NOT(ISERROR(SEARCH("In Danger of Falling Behind Target",E15)))</formula>
    </cfRule>
    <cfRule type="containsText" dxfId="2631" priority="2665" operator="containsText" text="Not yet due">
      <formula>NOT(ISERROR(SEARCH("Not yet due",E15)))</formula>
    </cfRule>
    <cfRule type="containsText" dxfId="2630" priority="2666" operator="containsText" text="Update not Provided">
      <formula>NOT(ISERROR(SEARCH("Update not Provided",E15)))</formula>
    </cfRule>
  </conditionalFormatting>
  <conditionalFormatting sqref="E26:E29">
    <cfRule type="containsText" dxfId="2629" priority="2595" operator="containsText" text="On track to be achieved">
      <formula>NOT(ISERROR(SEARCH("On track to be achieved",E26)))</formula>
    </cfRule>
    <cfRule type="containsText" dxfId="2628" priority="2596" operator="containsText" text="Deferred">
      <formula>NOT(ISERROR(SEARCH("Deferred",E26)))</formula>
    </cfRule>
    <cfRule type="containsText" dxfId="2627" priority="2597" operator="containsText" text="Deleted">
      <formula>NOT(ISERROR(SEARCH("Deleted",E26)))</formula>
    </cfRule>
    <cfRule type="containsText" dxfId="2626" priority="2598" operator="containsText" text="In Danger of Falling Behind Target">
      <formula>NOT(ISERROR(SEARCH("In Danger of Falling Behind Target",E26)))</formula>
    </cfRule>
    <cfRule type="containsText" dxfId="2625" priority="2599" operator="containsText" text="Not yet due">
      <formula>NOT(ISERROR(SEARCH("Not yet due",E26)))</formula>
    </cfRule>
    <cfRule type="containsText" dxfId="2624" priority="2600" operator="containsText" text="Update not Provided">
      <formula>NOT(ISERROR(SEARCH("Update not Provided",E26)))</formula>
    </cfRule>
    <cfRule type="containsText" dxfId="2623" priority="2601" operator="containsText" text="Not yet due">
      <formula>NOT(ISERROR(SEARCH("Not yet due",E26)))</formula>
    </cfRule>
    <cfRule type="containsText" dxfId="2622" priority="2602" operator="containsText" text="Completed Behind Schedule">
      <formula>NOT(ISERROR(SEARCH("Completed Behind Schedule",E26)))</formula>
    </cfRule>
    <cfRule type="containsText" dxfId="2621" priority="2603" operator="containsText" text="Off Target">
      <formula>NOT(ISERROR(SEARCH("Off Target",E26)))</formula>
    </cfRule>
    <cfRule type="containsText" dxfId="2620" priority="2604" operator="containsText" text="On Track to be Achieved">
      <formula>NOT(ISERROR(SEARCH("On Track to be Achieved",E26)))</formula>
    </cfRule>
    <cfRule type="containsText" dxfId="2619" priority="2605" operator="containsText" text="Fully Achieved">
      <formula>NOT(ISERROR(SEARCH("Fully Achieved",E26)))</formula>
    </cfRule>
    <cfRule type="containsText" dxfId="2618" priority="2606" operator="containsText" text="Not yet due">
      <formula>NOT(ISERROR(SEARCH("Not yet due",E26)))</formula>
    </cfRule>
    <cfRule type="containsText" dxfId="2617" priority="2607" operator="containsText" text="Not Yet Due">
      <formula>NOT(ISERROR(SEARCH("Not Yet Due",E26)))</formula>
    </cfRule>
    <cfRule type="containsText" dxfId="2616" priority="2608" operator="containsText" text="Deferred">
      <formula>NOT(ISERROR(SEARCH("Deferred",E26)))</formula>
    </cfRule>
    <cfRule type="containsText" dxfId="2615" priority="2609" operator="containsText" text="Deleted">
      <formula>NOT(ISERROR(SEARCH("Deleted",E26)))</formula>
    </cfRule>
    <cfRule type="containsText" dxfId="2614" priority="2610" operator="containsText" text="In Danger of Falling Behind Target">
      <formula>NOT(ISERROR(SEARCH("In Danger of Falling Behind Target",E26)))</formula>
    </cfRule>
    <cfRule type="containsText" dxfId="2613" priority="2611" operator="containsText" text="Not yet due">
      <formula>NOT(ISERROR(SEARCH("Not yet due",E26)))</formula>
    </cfRule>
    <cfRule type="containsText" dxfId="2612" priority="2612" operator="containsText" text="Completed Behind Schedule">
      <formula>NOT(ISERROR(SEARCH("Completed Behind Schedule",E26)))</formula>
    </cfRule>
    <cfRule type="containsText" dxfId="2611" priority="2613" operator="containsText" text="Off Target">
      <formula>NOT(ISERROR(SEARCH("Off Target",E26)))</formula>
    </cfRule>
    <cfRule type="containsText" dxfId="2610" priority="2614" operator="containsText" text="In Danger of Falling Behind Target">
      <formula>NOT(ISERROR(SEARCH("In Danger of Falling Behind Target",E26)))</formula>
    </cfRule>
    <cfRule type="containsText" dxfId="2609" priority="2615" operator="containsText" text="On Track to be Achieved">
      <formula>NOT(ISERROR(SEARCH("On Track to be Achieved",E26)))</formula>
    </cfRule>
    <cfRule type="containsText" dxfId="2608" priority="2616" operator="containsText" text="Fully Achieved">
      <formula>NOT(ISERROR(SEARCH("Fully Achieved",E26)))</formula>
    </cfRule>
    <cfRule type="containsText" dxfId="2607" priority="2617" operator="containsText" text="Update not Provided">
      <formula>NOT(ISERROR(SEARCH("Update not Provided",E26)))</formula>
    </cfRule>
    <cfRule type="containsText" dxfId="2606" priority="2618" operator="containsText" text="Not yet due">
      <formula>NOT(ISERROR(SEARCH("Not yet due",E26)))</formula>
    </cfRule>
    <cfRule type="containsText" dxfId="2605" priority="2619" operator="containsText" text="Completed Behind Schedule">
      <formula>NOT(ISERROR(SEARCH("Completed Behind Schedule",E26)))</formula>
    </cfRule>
    <cfRule type="containsText" dxfId="2604" priority="2620" operator="containsText" text="Off Target">
      <formula>NOT(ISERROR(SEARCH("Off Target",E26)))</formula>
    </cfRule>
    <cfRule type="containsText" dxfId="2603" priority="2621" operator="containsText" text="In Danger of Falling Behind Target">
      <formula>NOT(ISERROR(SEARCH("In Danger of Falling Behind Target",E26)))</formula>
    </cfRule>
    <cfRule type="containsText" dxfId="2602" priority="2622" operator="containsText" text="On Track to be Achieved">
      <formula>NOT(ISERROR(SEARCH("On Track to be Achieved",E26)))</formula>
    </cfRule>
    <cfRule type="containsText" dxfId="2601" priority="2623" operator="containsText" text="Fully Achieved">
      <formula>NOT(ISERROR(SEARCH("Fully Achieved",E26)))</formula>
    </cfRule>
    <cfRule type="containsText" dxfId="2600" priority="2624" operator="containsText" text="Fully Achieved">
      <formula>NOT(ISERROR(SEARCH("Fully Achieved",E26)))</formula>
    </cfRule>
    <cfRule type="containsText" dxfId="2599" priority="2625" operator="containsText" text="Fully Achieved">
      <formula>NOT(ISERROR(SEARCH("Fully Achieved",E26)))</formula>
    </cfRule>
    <cfRule type="containsText" dxfId="2598" priority="2626" operator="containsText" text="Deferred">
      <formula>NOT(ISERROR(SEARCH("Deferred",E26)))</formula>
    </cfRule>
    <cfRule type="containsText" dxfId="2597" priority="2627" operator="containsText" text="Deleted">
      <formula>NOT(ISERROR(SEARCH("Deleted",E26)))</formula>
    </cfRule>
    <cfRule type="containsText" dxfId="2596" priority="2628" operator="containsText" text="In Danger of Falling Behind Target">
      <formula>NOT(ISERROR(SEARCH("In Danger of Falling Behind Target",E26)))</formula>
    </cfRule>
    <cfRule type="containsText" dxfId="2595" priority="2629" operator="containsText" text="Not yet due">
      <formula>NOT(ISERROR(SEARCH("Not yet due",E26)))</formula>
    </cfRule>
    <cfRule type="containsText" dxfId="2594" priority="2630" operator="containsText" text="Update not Provided">
      <formula>NOT(ISERROR(SEARCH("Update not Provided",E26)))</formula>
    </cfRule>
  </conditionalFormatting>
  <conditionalFormatting sqref="E34">
    <cfRule type="containsText" dxfId="2593" priority="2559" operator="containsText" text="On track to be achieved">
      <formula>NOT(ISERROR(SEARCH("On track to be achieved",E34)))</formula>
    </cfRule>
    <cfRule type="containsText" dxfId="2592" priority="2560" operator="containsText" text="Deferred">
      <formula>NOT(ISERROR(SEARCH("Deferred",E34)))</formula>
    </cfRule>
    <cfRule type="containsText" dxfId="2591" priority="2561" operator="containsText" text="Deleted">
      <formula>NOT(ISERROR(SEARCH("Deleted",E34)))</formula>
    </cfRule>
    <cfRule type="containsText" dxfId="2590" priority="2562" operator="containsText" text="In Danger of Falling Behind Target">
      <formula>NOT(ISERROR(SEARCH("In Danger of Falling Behind Target",E34)))</formula>
    </cfRule>
    <cfRule type="containsText" dxfId="2589" priority="2563" operator="containsText" text="Not yet due">
      <formula>NOT(ISERROR(SEARCH("Not yet due",E34)))</formula>
    </cfRule>
    <cfRule type="containsText" dxfId="2588" priority="2564" operator="containsText" text="Update not Provided">
      <formula>NOT(ISERROR(SEARCH("Update not Provided",E34)))</formula>
    </cfRule>
    <cfRule type="containsText" dxfId="2587" priority="2565" operator="containsText" text="Not yet due">
      <formula>NOT(ISERROR(SEARCH("Not yet due",E34)))</formula>
    </cfRule>
    <cfRule type="containsText" dxfId="2586" priority="2566" operator="containsText" text="Completed Behind Schedule">
      <formula>NOT(ISERROR(SEARCH("Completed Behind Schedule",E34)))</formula>
    </cfRule>
    <cfRule type="containsText" dxfId="2585" priority="2567" operator="containsText" text="Off Target">
      <formula>NOT(ISERROR(SEARCH("Off Target",E34)))</formula>
    </cfRule>
    <cfRule type="containsText" dxfId="2584" priority="2568" operator="containsText" text="On Track to be Achieved">
      <formula>NOT(ISERROR(SEARCH("On Track to be Achieved",E34)))</formula>
    </cfRule>
    <cfRule type="containsText" dxfId="2583" priority="2569" operator="containsText" text="Fully Achieved">
      <formula>NOT(ISERROR(SEARCH("Fully Achieved",E34)))</formula>
    </cfRule>
    <cfRule type="containsText" dxfId="2582" priority="2570" operator="containsText" text="Not yet due">
      <formula>NOT(ISERROR(SEARCH("Not yet due",E34)))</formula>
    </cfRule>
    <cfRule type="containsText" dxfId="2581" priority="2571" operator="containsText" text="Not Yet Due">
      <formula>NOT(ISERROR(SEARCH("Not Yet Due",E34)))</formula>
    </cfRule>
    <cfRule type="containsText" dxfId="2580" priority="2572" operator="containsText" text="Deferred">
      <formula>NOT(ISERROR(SEARCH("Deferred",E34)))</formula>
    </cfRule>
    <cfRule type="containsText" dxfId="2579" priority="2573" operator="containsText" text="Deleted">
      <formula>NOT(ISERROR(SEARCH("Deleted",E34)))</formula>
    </cfRule>
    <cfRule type="containsText" dxfId="2578" priority="2574" operator="containsText" text="In Danger of Falling Behind Target">
      <formula>NOT(ISERROR(SEARCH("In Danger of Falling Behind Target",E34)))</formula>
    </cfRule>
    <cfRule type="containsText" dxfId="2577" priority="2575" operator="containsText" text="Not yet due">
      <formula>NOT(ISERROR(SEARCH("Not yet due",E34)))</formula>
    </cfRule>
    <cfRule type="containsText" dxfId="2576" priority="2576" operator="containsText" text="Completed Behind Schedule">
      <formula>NOT(ISERROR(SEARCH("Completed Behind Schedule",E34)))</formula>
    </cfRule>
    <cfRule type="containsText" dxfId="2575" priority="2577" operator="containsText" text="Off Target">
      <formula>NOT(ISERROR(SEARCH("Off Target",E34)))</formula>
    </cfRule>
    <cfRule type="containsText" dxfId="2574" priority="2578" operator="containsText" text="In Danger of Falling Behind Target">
      <formula>NOT(ISERROR(SEARCH("In Danger of Falling Behind Target",E34)))</formula>
    </cfRule>
    <cfRule type="containsText" dxfId="2573" priority="2579" operator="containsText" text="On Track to be Achieved">
      <formula>NOT(ISERROR(SEARCH("On Track to be Achieved",E34)))</formula>
    </cfRule>
    <cfRule type="containsText" dxfId="2572" priority="2580" operator="containsText" text="Fully Achieved">
      <formula>NOT(ISERROR(SEARCH("Fully Achieved",E34)))</formula>
    </cfRule>
    <cfRule type="containsText" dxfId="2571" priority="2581" operator="containsText" text="Update not Provided">
      <formula>NOT(ISERROR(SEARCH("Update not Provided",E34)))</formula>
    </cfRule>
    <cfRule type="containsText" dxfId="2570" priority="2582" operator="containsText" text="Not yet due">
      <formula>NOT(ISERROR(SEARCH("Not yet due",E34)))</formula>
    </cfRule>
    <cfRule type="containsText" dxfId="2569" priority="2583" operator="containsText" text="Completed Behind Schedule">
      <formula>NOT(ISERROR(SEARCH("Completed Behind Schedule",E34)))</formula>
    </cfRule>
    <cfRule type="containsText" dxfId="2568" priority="2584" operator="containsText" text="Off Target">
      <formula>NOT(ISERROR(SEARCH("Off Target",E34)))</formula>
    </cfRule>
    <cfRule type="containsText" dxfId="2567" priority="2585" operator="containsText" text="In Danger of Falling Behind Target">
      <formula>NOT(ISERROR(SEARCH("In Danger of Falling Behind Target",E34)))</formula>
    </cfRule>
    <cfRule type="containsText" dxfId="2566" priority="2586" operator="containsText" text="On Track to be Achieved">
      <formula>NOT(ISERROR(SEARCH("On Track to be Achieved",E34)))</formula>
    </cfRule>
    <cfRule type="containsText" dxfId="2565" priority="2587" operator="containsText" text="Fully Achieved">
      <formula>NOT(ISERROR(SEARCH("Fully Achieved",E34)))</formula>
    </cfRule>
    <cfRule type="containsText" dxfId="2564" priority="2588" operator="containsText" text="Fully Achieved">
      <formula>NOT(ISERROR(SEARCH("Fully Achieved",E34)))</formula>
    </cfRule>
    <cfRule type="containsText" dxfId="2563" priority="2589" operator="containsText" text="Fully Achieved">
      <formula>NOT(ISERROR(SEARCH("Fully Achieved",E34)))</formula>
    </cfRule>
    <cfRule type="containsText" dxfId="2562" priority="2590" operator="containsText" text="Deferred">
      <formula>NOT(ISERROR(SEARCH("Deferred",E34)))</formula>
    </cfRule>
    <cfRule type="containsText" dxfId="2561" priority="2591" operator="containsText" text="Deleted">
      <formula>NOT(ISERROR(SEARCH("Deleted",E34)))</formula>
    </cfRule>
    <cfRule type="containsText" dxfId="2560" priority="2592" operator="containsText" text="In Danger of Falling Behind Target">
      <formula>NOT(ISERROR(SEARCH("In Danger of Falling Behind Target",E34)))</formula>
    </cfRule>
    <cfRule type="containsText" dxfId="2559" priority="2593" operator="containsText" text="Not yet due">
      <formula>NOT(ISERROR(SEARCH("Not yet due",E34)))</formula>
    </cfRule>
    <cfRule type="containsText" dxfId="2558" priority="2594" operator="containsText" text="Update not Provided">
      <formula>NOT(ISERROR(SEARCH("Update not Provided",E34)))</formula>
    </cfRule>
  </conditionalFormatting>
  <conditionalFormatting sqref="E36">
    <cfRule type="containsText" dxfId="2557" priority="2523" operator="containsText" text="On track to be achieved">
      <formula>NOT(ISERROR(SEARCH("On track to be achieved",E36)))</formula>
    </cfRule>
    <cfRule type="containsText" dxfId="2556" priority="2524" operator="containsText" text="Deferred">
      <formula>NOT(ISERROR(SEARCH("Deferred",E36)))</formula>
    </cfRule>
    <cfRule type="containsText" dxfId="2555" priority="2525" operator="containsText" text="Deleted">
      <formula>NOT(ISERROR(SEARCH("Deleted",E36)))</formula>
    </cfRule>
    <cfRule type="containsText" dxfId="2554" priority="2526" operator="containsText" text="In Danger of Falling Behind Target">
      <formula>NOT(ISERROR(SEARCH("In Danger of Falling Behind Target",E36)))</formula>
    </cfRule>
    <cfRule type="containsText" dxfId="2553" priority="2527" operator="containsText" text="Not yet due">
      <formula>NOT(ISERROR(SEARCH("Not yet due",E36)))</formula>
    </cfRule>
    <cfRule type="containsText" dxfId="2552" priority="2528" operator="containsText" text="Update not Provided">
      <formula>NOT(ISERROR(SEARCH("Update not Provided",E36)))</formula>
    </cfRule>
    <cfRule type="containsText" dxfId="2551" priority="2529" operator="containsText" text="Not yet due">
      <formula>NOT(ISERROR(SEARCH("Not yet due",E36)))</formula>
    </cfRule>
    <cfRule type="containsText" dxfId="2550" priority="2530" operator="containsText" text="Completed Behind Schedule">
      <formula>NOT(ISERROR(SEARCH("Completed Behind Schedule",E36)))</formula>
    </cfRule>
    <cfRule type="containsText" dxfId="2549" priority="2531" operator="containsText" text="Off Target">
      <formula>NOT(ISERROR(SEARCH("Off Target",E36)))</formula>
    </cfRule>
    <cfRule type="containsText" dxfId="2548" priority="2532" operator="containsText" text="On Track to be Achieved">
      <formula>NOT(ISERROR(SEARCH("On Track to be Achieved",E36)))</formula>
    </cfRule>
    <cfRule type="containsText" dxfId="2547" priority="2533" operator="containsText" text="Fully Achieved">
      <formula>NOT(ISERROR(SEARCH("Fully Achieved",E36)))</formula>
    </cfRule>
    <cfRule type="containsText" dxfId="2546" priority="2534" operator="containsText" text="Not yet due">
      <formula>NOT(ISERROR(SEARCH("Not yet due",E36)))</formula>
    </cfRule>
    <cfRule type="containsText" dxfId="2545" priority="2535" operator="containsText" text="Not Yet Due">
      <formula>NOT(ISERROR(SEARCH("Not Yet Due",E36)))</formula>
    </cfRule>
    <cfRule type="containsText" dxfId="2544" priority="2536" operator="containsText" text="Deferred">
      <formula>NOT(ISERROR(SEARCH("Deferred",E36)))</formula>
    </cfRule>
    <cfRule type="containsText" dxfId="2543" priority="2537" operator="containsText" text="Deleted">
      <formula>NOT(ISERROR(SEARCH("Deleted",E36)))</formula>
    </cfRule>
    <cfRule type="containsText" dxfId="2542" priority="2538" operator="containsText" text="In Danger of Falling Behind Target">
      <formula>NOT(ISERROR(SEARCH("In Danger of Falling Behind Target",E36)))</formula>
    </cfRule>
    <cfRule type="containsText" dxfId="2541" priority="2539" operator="containsText" text="Not yet due">
      <formula>NOT(ISERROR(SEARCH("Not yet due",E36)))</formula>
    </cfRule>
    <cfRule type="containsText" dxfId="2540" priority="2540" operator="containsText" text="Completed Behind Schedule">
      <formula>NOT(ISERROR(SEARCH("Completed Behind Schedule",E36)))</formula>
    </cfRule>
    <cfRule type="containsText" dxfId="2539" priority="2541" operator="containsText" text="Off Target">
      <formula>NOT(ISERROR(SEARCH("Off Target",E36)))</formula>
    </cfRule>
    <cfRule type="containsText" dxfId="2538" priority="2542" operator="containsText" text="In Danger of Falling Behind Target">
      <formula>NOT(ISERROR(SEARCH("In Danger of Falling Behind Target",E36)))</formula>
    </cfRule>
    <cfRule type="containsText" dxfId="2537" priority="2543" operator="containsText" text="On Track to be Achieved">
      <formula>NOT(ISERROR(SEARCH("On Track to be Achieved",E36)))</formula>
    </cfRule>
    <cfRule type="containsText" dxfId="2536" priority="2544" operator="containsText" text="Fully Achieved">
      <formula>NOT(ISERROR(SEARCH("Fully Achieved",E36)))</formula>
    </cfRule>
    <cfRule type="containsText" dxfId="2535" priority="2545" operator="containsText" text="Update not Provided">
      <formula>NOT(ISERROR(SEARCH("Update not Provided",E36)))</formula>
    </cfRule>
    <cfRule type="containsText" dxfId="2534" priority="2546" operator="containsText" text="Not yet due">
      <formula>NOT(ISERROR(SEARCH("Not yet due",E36)))</formula>
    </cfRule>
    <cfRule type="containsText" dxfId="2533" priority="2547" operator="containsText" text="Completed Behind Schedule">
      <formula>NOT(ISERROR(SEARCH("Completed Behind Schedule",E36)))</formula>
    </cfRule>
    <cfRule type="containsText" dxfId="2532" priority="2548" operator="containsText" text="Off Target">
      <formula>NOT(ISERROR(SEARCH("Off Target",E36)))</formula>
    </cfRule>
    <cfRule type="containsText" dxfId="2531" priority="2549" operator="containsText" text="In Danger of Falling Behind Target">
      <formula>NOT(ISERROR(SEARCH("In Danger of Falling Behind Target",E36)))</formula>
    </cfRule>
    <cfRule type="containsText" dxfId="2530" priority="2550" operator="containsText" text="On Track to be Achieved">
      <formula>NOT(ISERROR(SEARCH("On Track to be Achieved",E36)))</formula>
    </cfRule>
    <cfRule type="containsText" dxfId="2529" priority="2551" operator="containsText" text="Fully Achieved">
      <formula>NOT(ISERROR(SEARCH("Fully Achieved",E36)))</formula>
    </cfRule>
    <cfRule type="containsText" dxfId="2528" priority="2552" operator="containsText" text="Fully Achieved">
      <formula>NOT(ISERROR(SEARCH("Fully Achieved",E36)))</formula>
    </cfRule>
    <cfRule type="containsText" dxfId="2527" priority="2553" operator="containsText" text="Fully Achieved">
      <formula>NOT(ISERROR(SEARCH("Fully Achieved",E36)))</formula>
    </cfRule>
    <cfRule type="containsText" dxfId="2526" priority="2554" operator="containsText" text="Deferred">
      <formula>NOT(ISERROR(SEARCH("Deferred",E36)))</formula>
    </cfRule>
    <cfRule type="containsText" dxfId="2525" priority="2555" operator="containsText" text="Deleted">
      <formula>NOT(ISERROR(SEARCH("Deleted",E36)))</formula>
    </cfRule>
    <cfRule type="containsText" dxfId="2524" priority="2556" operator="containsText" text="In Danger of Falling Behind Target">
      <formula>NOT(ISERROR(SEARCH("In Danger of Falling Behind Target",E36)))</formula>
    </cfRule>
    <cfRule type="containsText" dxfId="2523" priority="2557" operator="containsText" text="Not yet due">
      <formula>NOT(ISERROR(SEARCH("Not yet due",E36)))</formula>
    </cfRule>
    <cfRule type="containsText" dxfId="2522" priority="2558" operator="containsText" text="Update not Provided">
      <formula>NOT(ISERROR(SEARCH("Update not Provided",E36)))</formula>
    </cfRule>
  </conditionalFormatting>
  <conditionalFormatting sqref="E38">
    <cfRule type="containsText" dxfId="2521" priority="2487" operator="containsText" text="On track to be achieved">
      <formula>NOT(ISERROR(SEARCH("On track to be achieved",E38)))</formula>
    </cfRule>
    <cfRule type="containsText" dxfId="2520" priority="2488" operator="containsText" text="Deferred">
      <formula>NOT(ISERROR(SEARCH("Deferred",E38)))</formula>
    </cfRule>
    <cfRule type="containsText" dxfId="2519" priority="2489" operator="containsText" text="Deleted">
      <formula>NOT(ISERROR(SEARCH("Deleted",E38)))</formula>
    </cfRule>
    <cfRule type="containsText" dxfId="2518" priority="2490" operator="containsText" text="In Danger of Falling Behind Target">
      <formula>NOT(ISERROR(SEARCH("In Danger of Falling Behind Target",E38)))</formula>
    </cfRule>
    <cfRule type="containsText" dxfId="2517" priority="2491" operator="containsText" text="Not yet due">
      <formula>NOT(ISERROR(SEARCH("Not yet due",E38)))</formula>
    </cfRule>
    <cfRule type="containsText" dxfId="2516" priority="2492" operator="containsText" text="Update not Provided">
      <formula>NOT(ISERROR(SEARCH("Update not Provided",E38)))</formula>
    </cfRule>
    <cfRule type="containsText" dxfId="2515" priority="2493" operator="containsText" text="Not yet due">
      <formula>NOT(ISERROR(SEARCH("Not yet due",E38)))</formula>
    </cfRule>
    <cfRule type="containsText" dxfId="2514" priority="2494" operator="containsText" text="Completed Behind Schedule">
      <formula>NOT(ISERROR(SEARCH("Completed Behind Schedule",E38)))</formula>
    </cfRule>
    <cfRule type="containsText" dxfId="2513" priority="2495" operator="containsText" text="Off Target">
      <formula>NOT(ISERROR(SEARCH("Off Target",E38)))</formula>
    </cfRule>
    <cfRule type="containsText" dxfId="2512" priority="2496" operator="containsText" text="On Track to be Achieved">
      <formula>NOT(ISERROR(SEARCH("On Track to be Achieved",E38)))</formula>
    </cfRule>
    <cfRule type="containsText" dxfId="2511" priority="2497" operator="containsText" text="Fully Achieved">
      <formula>NOT(ISERROR(SEARCH("Fully Achieved",E38)))</formula>
    </cfRule>
    <cfRule type="containsText" dxfId="2510" priority="2498" operator="containsText" text="Not yet due">
      <formula>NOT(ISERROR(SEARCH("Not yet due",E38)))</formula>
    </cfRule>
    <cfRule type="containsText" dxfId="2509" priority="2499" operator="containsText" text="Not Yet Due">
      <formula>NOT(ISERROR(SEARCH("Not Yet Due",E38)))</formula>
    </cfRule>
    <cfRule type="containsText" dxfId="2508" priority="2500" operator="containsText" text="Deferred">
      <formula>NOT(ISERROR(SEARCH("Deferred",E38)))</formula>
    </cfRule>
    <cfRule type="containsText" dxfId="2507" priority="2501" operator="containsText" text="Deleted">
      <formula>NOT(ISERROR(SEARCH("Deleted",E38)))</formula>
    </cfRule>
    <cfRule type="containsText" dxfId="2506" priority="2502" operator="containsText" text="In Danger of Falling Behind Target">
      <formula>NOT(ISERROR(SEARCH("In Danger of Falling Behind Target",E38)))</formula>
    </cfRule>
    <cfRule type="containsText" dxfId="2505" priority="2503" operator="containsText" text="Not yet due">
      <formula>NOT(ISERROR(SEARCH("Not yet due",E38)))</formula>
    </cfRule>
    <cfRule type="containsText" dxfId="2504" priority="2504" operator="containsText" text="Completed Behind Schedule">
      <formula>NOT(ISERROR(SEARCH("Completed Behind Schedule",E38)))</formula>
    </cfRule>
    <cfRule type="containsText" dxfId="2503" priority="2505" operator="containsText" text="Off Target">
      <formula>NOT(ISERROR(SEARCH("Off Target",E38)))</formula>
    </cfRule>
    <cfRule type="containsText" dxfId="2502" priority="2506" operator="containsText" text="In Danger of Falling Behind Target">
      <formula>NOT(ISERROR(SEARCH("In Danger of Falling Behind Target",E38)))</formula>
    </cfRule>
    <cfRule type="containsText" dxfId="2501" priority="2507" operator="containsText" text="On Track to be Achieved">
      <formula>NOT(ISERROR(SEARCH("On Track to be Achieved",E38)))</formula>
    </cfRule>
    <cfRule type="containsText" dxfId="2500" priority="2508" operator="containsText" text="Fully Achieved">
      <formula>NOT(ISERROR(SEARCH("Fully Achieved",E38)))</formula>
    </cfRule>
    <cfRule type="containsText" dxfId="2499" priority="2509" operator="containsText" text="Update not Provided">
      <formula>NOT(ISERROR(SEARCH("Update not Provided",E38)))</formula>
    </cfRule>
    <cfRule type="containsText" dxfId="2498" priority="2510" operator="containsText" text="Not yet due">
      <formula>NOT(ISERROR(SEARCH("Not yet due",E38)))</formula>
    </cfRule>
    <cfRule type="containsText" dxfId="2497" priority="2511" operator="containsText" text="Completed Behind Schedule">
      <formula>NOT(ISERROR(SEARCH("Completed Behind Schedule",E38)))</formula>
    </cfRule>
    <cfRule type="containsText" dxfId="2496" priority="2512" operator="containsText" text="Off Target">
      <formula>NOT(ISERROR(SEARCH("Off Target",E38)))</formula>
    </cfRule>
    <cfRule type="containsText" dxfId="2495" priority="2513" operator="containsText" text="In Danger of Falling Behind Target">
      <formula>NOT(ISERROR(SEARCH("In Danger of Falling Behind Target",E38)))</formula>
    </cfRule>
    <cfRule type="containsText" dxfId="2494" priority="2514" operator="containsText" text="On Track to be Achieved">
      <formula>NOT(ISERROR(SEARCH("On Track to be Achieved",E38)))</formula>
    </cfRule>
    <cfRule type="containsText" dxfId="2493" priority="2515" operator="containsText" text="Fully Achieved">
      <formula>NOT(ISERROR(SEARCH("Fully Achieved",E38)))</formula>
    </cfRule>
    <cfRule type="containsText" dxfId="2492" priority="2516" operator="containsText" text="Fully Achieved">
      <formula>NOT(ISERROR(SEARCH("Fully Achieved",E38)))</formula>
    </cfRule>
    <cfRule type="containsText" dxfId="2491" priority="2517" operator="containsText" text="Fully Achieved">
      <formula>NOT(ISERROR(SEARCH("Fully Achieved",E38)))</formula>
    </cfRule>
    <cfRule type="containsText" dxfId="2490" priority="2518" operator="containsText" text="Deferred">
      <formula>NOT(ISERROR(SEARCH("Deferred",E38)))</formula>
    </cfRule>
    <cfRule type="containsText" dxfId="2489" priority="2519" operator="containsText" text="Deleted">
      <formula>NOT(ISERROR(SEARCH("Deleted",E38)))</formula>
    </cfRule>
    <cfRule type="containsText" dxfId="2488" priority="2520" operator="containsText" text="In Danger of Falling Behind Target">
      <formula>NOT(ISERROR(SEARCH("In Danger of Falling Behind Target",E38)))</formula>
    </cfRule>
    <cfRule type="containsText" dxfId="2487" priority="2521" operator="containsText" text="Not yet due">
      <formula>NOT(ISERROR(SEARCH("Not yet due",E38)))</formula>
    </cfRule>
    <cfRule type="containsText" dxfId="2486" priority="2522" operator="containsText" text="Update not Provided">
      <formula>NOT(ISERROR(SEARCH("Update not Provided",E38)))</formula>
    </cfRule>
  </conditionalFormatting>
  <conditionalFormatting sqref="E42:E46">
    <cfRule type="containsText" dxfId="2485" priority="2451" operator="containsText" text="On track to be achieved">
      <formula>NOT(ISERROR(SEARCH("On track to be achieved",E42)))</formula>
    </cfRule>
    <cfRule type="containsText" dxfId="2484" priority="2452" operator="containsText" text="Deferred">
      <formula>NOT(ISERROR(SEARCH("Deferred",E42)))</formula>
    </cfRule>
    <cfRule type="containsText" dxfId="2483" priority="2453" operator="containsText" text="Deleted">
      <formula>NOT(ISERROR(SEARCH("Deleted",E42)))</formula>
    </cfRule>
    <cfRule type="containsText" dxfId="2482" priority="2454" operator="containsText" text="In Danger of Falling Behind Target">
      <formula>NOT(ISERROR(SEARCH("In Danger of Falling Behind Target",E42)))</formula>
    </cfRule>
    <cfRule type="containsText" dxfId="2481" priority="2455" operator="containsText" text="Not yet due">
      <formula>NOT(ISERROR(SEARCH("Not yet due",E42)))</formula>
    </cfRule>
    <cfRule type="containsText" dxfId="2480" priority="2456" operator="containsText" text="Update not Provided">
      <formula>NOT(ISERROR(SEARCH("Update not Provided",E42)))</formula>
    </cfRule>
    <cfRule type="containsText" dxfId="2479" priority="2457" operator="containsText" text="Not yet due">
      <formula>NOT(ISERROR(SEARCH("Not yet due",E42)))</formula>
    </cfRule>
    <cfRule type="containsText" dxfId="2478" priority="2458" operator="containsText" text="Completed Behind Schedule">
      <formula>NOT(ISERROR(SEARCH("Completed Behind Schedule",E42)))</formula>
    </cfRule>
    <cfRule type="containsText" dxfId="2477" priority="2459" operator="containsText" text="Off Target">
      <formula>NOT(ISERROR(SEARCH("Off Target",E42)))</formula>
    </cfRule>
    <cfRule type="containsText" dxfId="2476" priority="2460" operator="containsText" text="On Track to be Achieved">
      <formula>NOT(ISERROR(SEARCH("On Track to be Achieved",E42)))</formula>
    </cfRule>
    <cfRule type="containsText" dxfId="2475" priority="2461" operator="containsText" text="Fully Achieved">
      <formula>NOT(ISERROR(SEARCH("Fully Achieved",E42)))</formula>
    </cfRule>
    <cfRule type="containsText" dxfId="2474" priority="2462" operator="containsText" text="Not yet due">
      <formula>NOT(ISERROR(SEARCH("Not yet due",E42)))</formula>
    </cfRule>
    <cfRule type="containsText" dxfId="2473" priority="2463" operator="containsText" text="Not Yet Due">
      <formula>NOT(ISERROR(SEARCH("Not Yet Due",E42)))</formula>
    </cfRule>
    <cfRule type="containsText" dxfId="2472" priority="2464" operator="containsText" text="Deferred">
      <formula>NOT(ISERROR(SEARCH("Deferred",E42)))</formula>
    </cfRule>
    <cfRule type="containsText" dxfId="2471" priority="2465" operator="containsText" text="Deleted">
      <formula>NOT(ISERROR(SEARCH("Deleted",E42)))</formula>
    </cfRule>
    <cfRule type="containsText" dxfId="2470" priority="2466" operator="containsText" text="In Danger of Falling Behind Target">
      <formula>NOT(ISERROR(SEARCH("In Danger of Falling Behind Target",E42)))</formula>
    </cfRule>
    <cfRule type="containsText" dxfId="2469" priority="2467" operator="containsText" text="Not yet due">
      <formula>NOT(ISERROR(SEARCH("Not yet due",E42)))</formula>
    </cfRule>
    <cfRule type="containsText" dxfId="2468" priority="2468" operator="containsText" text="Completed Behind Schedule">
      <formula>NOT(ISERROR(SEARCH("Completed Behind Schedule",E42)))</formula>
    </cfRule>
    <cfRule type="containsText" dxfId="2467" priority="2469" operator="containsText" text="Off Target">
      <formula>NOT(ISERROR(SEARCH("Off Target",E42)))</formula>
    </cfRule>
    <cfRule type="containsText" dxfId="2466" priority="2470" operator="containsText" text="In Danger of Falling Behind Target">
      <formula>NOT(ISERROR(SEARCH("In Danger of Falling Behind Target",E42)))</formula>
    </cfRule>
    <cfRule type="containsText" dxfId="2465" priority="2471" operator="containsText" text="On Track to be Achieved">
      <formula>NOT(ISERROR(SEARCH("On Track to be Achieved",E42)))</formula>
    </cfRule>
    <cfRule type="containsText" dxfId="2464" priority="2472" operator="containsText" text="Fully Achieved">
      <formula>NOT(ISERROR(SEARCH("Fully Achieved",E42)))</formula>
    </cfRule>
    <cfRule type="containsText" dxfId="2463" priority="2473" operator="containsText" text="Update not Provided">
      <formula>NOT(ISERROR(SEARCH("Update not Provided",E42)))</formula>
    </cfRule>
    <cfRule type="containsText" dxfId="2462" priority="2474" operator="containsText" text="Not yet due">
      <formula>NOT(ISERROR(SEARCH("Not yet due",E42)))</formula>
    </cfRule>
    <cfRule type="containsText" dxfId="2461" priority="2475" operator="containsText" text="Completed Behind Schedule">
      <formula>NOT(ISERROR(SEARCH("Completed Behind Schedule",E42)))</formula>
    </cfRule>
    <cfRule type="containsText" dxfId="2460" priority="2476" operator="containsText" text="Off Target">
      <formula>NOT(ISERROR(SEARCH("Off Target",E42)))</formula>
    </cfRule>
    <cfRule type="containsText" dxfId="2459" priority="2477" operator="containsText" text="In Danger of Falling Behind Target">
      <formula>NOT(ISERROR(SEARCH("In Danger of Falling Behind Target",E42)))</formula>
    </cfRule>
    <cfRule type="containsText" dxfId="2458" priority="2478" operator="containsText" text="On Track to be Achieved">
      <formula>NOT(ISERROR(SEARCH("On Track to be Achieved",E42)))</formula>
    </cfRule>
    <cfRule type="containsText" dxfId="2457" priority="2479" operator="containsText" text="Fully Achieved">
      <formula>NOT(ISERROR(SEARCH("Fully Achieved",E42)))</formula>
    </cfRule>
    <cfRule type="containsText" dxfId="2456" priority="2480" operator="containsText" text="Fully Achieved">
      <formula>NOT(ISERROR(SEARCH("Fully Achieved",E42)))</formula>
    </cfRule>
    <cfRule type="containsText" dxfId="2455" priority="2481" operator="containsText" text="Fully Achieved">
      <formula>NOT(ISERROR(SEARCH("Fully Achieved",E42)))</formula>
    </cfRule>
    <cfRule type="containsText" dxfId="2454" priority="2482" operator="containsText" text="Deferred">
      <formula>NOT(ISERROR(SEARCH("Deferred",E42)))</formula>
    </cfRule>
    <cfRule type="containsText" dxfId="2453" priority="2483" operator="containsText" text="Deleted">
      <formula>NOT(ISERROR(SEARCH("Deleted",E42)))</formula>
    </cfRule>
    <cfRule type="containsText" dxfId="2452" priority="2484" operator="containsText" text="In Danger of Falling Behind Target">
      <formula>NOT(ISERROR(SEARCH("In Danger of Falling Behind Target",E42)))</formula>
    </cfRule>
    <cfRule type="containsText" dxfId="2451" priority="2485" operator="containsText" text="Not yet due">
      <formula>NOT(ISERROR(SEARCH("Not yet due",E42)))</formula>
    </cfRule>
    <cfRule type="containsText" dxfId="2450" priority="2486" operator="containsText" text="Update not Provided">
      <formula>NOT(ISERROR(SEARCH("Update not Provided",E42)))</formula>
    </cfRule>
  </conditionalFormatting>
  <conditionalFormatting sqref="E48:E54">
    <cfRule type="containsText" dxfId="2449" priority="2415" operator="containsText" text="On track to be achieved">
      <formula>NOT(ISERROR(SEARCH("On track to be achieved",E48)))</formula>
    </cfRule>
    <cfRule type="containsText" dxfId="2448" priority="2416" operator="containsText" text="Deferred">
      <formula>NOT(ISERROR(SEARCH("Deferred",E48)))</formula>
    </cfRule>
    <cfRule type="containsText" dxfId="2447" priority="2417" operator="containsText" text="Deleted">
      <formula>NOT(ISERROR(SEARCH("Deleted",E48)))</formula>
    </cfRule>
    <cfRule type="containsText" dxfId="2446" priority="2418" operator="containsText" text="In Danger of Falling Behind Target">
      <formula>NOT(ISERROR(SEARCH("In Danger of Falling Behind Target",E48)))</formula>
    </cfRule>
    <cfRule type="containsText" dxfId="2445" priority="2419" operator="containsText" text="Not yet due">
      <formula>NOT(ISERROR(SEARCH("Not yet due",E48)))</formula>
    </cfRule>
    <cfRule type="containsText" dxfId="2444" priority="2420" operator="containsText" text="Update not Provided">
      <formula>NOT(ISERROR(SEARCH("Update not Provided",E48)))</formula>
    </cfRule>
    <cfRule type="containsText" dxfId="2443" priority="2421" operator="containsText" text="Not yet due">
      <formula>NOT(ISERROR(SEARCH("Not yet due",E48)))</formula>
    </cfRule>
    <cfRule type="containsText" dxfId="2442" priority="2422" operator="containsText" text="Completed Behind Schedule">
      <formula>NOT(ISERROR(SEARCH("Completed Behind Schedule",E48)))</formula>
    </cfRule>
    <cfRule type="containsText" dxfId="2441" priority="2423" operator="containsText" text="Off Target">
      <formula>NOT(ISERROR(SEARCH("Off Target",E48)))</formula>
    </cfRule>
    <cfRule type="containsText" dxfId="2440" priority="2424" operator="containsText" text="On Track to be Achieved">
      <formula>NOT(ISERROR(SEARCH("On Track to be Achieved",E48)))</formula>
    </cfRule>
    <cfRule type="containsText" dxfId="2439" priority="2425" operator="containsText" text="Fully Achieved">
      <formula>NOT(ISERROR(SEARCH("Fully Achieved",E48)))</formula>
    </cfRule>
    <cfRule type="containsText" dxfId="2438" priority="2426" operator="containsText" text="Not yet due">
      <formula>NOT(ISERROR(SEARCH("Not yet due",E48)))</formula>
    </cfRule>
    <cfRule type="containsText" dxfId="2437" priority="2427" operator="containsText" text="Not Yet Due">
      <formula>NOT(ISERROR(SEARCH("Not Yet Due",E48)))</formula>
    </cfRule>
    <cfRule type="containsText" dxfId="2436" priority="2428" operator="containsText" text="Deferred">
      <formula>NOT(ISERROR(SEARCH("Deferred",E48)))</formula>
    </cfRule>
    <cfRule type="containsText" dxfId="2435" priority="2429" operator="containsText" text="Deleted">
      <formula>NOT(ISERROR(SEARCH("Deleted",E48)))</formula>
    </cfRule>
    <cfRule type="containsText" dxfId="2434" priority="2430" operator="containsText" text="In Danger of Falling Behind Target">
      <formula>NOT(ISERROR(SEARCH("In Danger of Falling Behind Target",E48)))</formula>
    </cfRule>
    <cfRule type="containsText" dxfId="2433" priority="2431" operator="containsText" text="Not yet due">
      <formula>NOT(ISERROR(SEARCH("Not yet due",E48)))</formula>
    </cfRule>
    <cfRule type="containsText" dxfId="2432" priority="2432" operator="containsText" text="Completed Behind Schedule">
      <formula>NOT(ISERROR(SEARCH("Completed Behind Schedule",E48)))</formula>
    </cfRule>
    <cfRule type="containsText" dxfId="2431" priority="2433" operator="containsText" text="Off Target">
      <formula>NOT(ISERROR(SEARCH("Off Target",E48)))</formula>
    </cfRule>
    <cfRule type="containsText" dxfId="2430" priority="2434" operator="containsText" text="In Danger of Falling Behind Target">
      <formula>NOT(ISERROR(SEARCH("In Danger of Falling Behind Target",E48)))</formula>
    </cfRule>
    <cfRule type="containsText" dxfId="2429" priority="2435" operator="containsText" text="On Track to be Achieved">
      <formula>NOT(ISERROR(SEARCH("On Track to be Achieved",E48)))</formula>
    </cfRule>
    <cfRule type="containsText" dxfId="2428" priority="2436" operator="containsText" text="Fully Achieved">
      <formula>NOT(ISERROR(SEARCH("Fully Achieved",E48)))</formula>
    </cfRule>
    <cfRule type="containsText" dxfId="2427" priority="2437" operator="containsText" text="Update not Provided">
      <formula>NOT(ISERROR(SEARCH("Update not Provided",E48)))</formula>
    </cfRule>
    <cfRule type="containsText" dxfId="2426" priority="2438" operator="containsText" text="Not yet due">
      <formula>NOT(ISERROR(SEARCH("Not yet due",E48)))</formula>
    </cfRule>
    <cfRule type="containsText" dxfId="2425" priority="2439" operator="containsText" text="Completed Behind Schedule">
      <formula>NOT(ISERROR(SEARCH("Completed Behind Schedule",E48)))</formula>
    </cfRule>
    <cfRule type="containsText" dxfId="2424" priority="2440" operator="containsText" text="Off Target">
      <formula>NOT(ISERROR(SEARCH("Off Target",E48)))</formula>
    </cfRule>
    <cfRule type="containsText" dxfId="2423" priority="2441" operator="containsText" text="In Danger of Falling Behind Target">
      <formula>NOT(ISERROR(SEARCH("In Danger of Falling Behind Target",E48)))</formula>
    </cfRule>
    <cfRule type="containsText" dxfId="2422" priority="2442" operator="containsText" text="On Track to be Achieved">
      <formula>NOT(ISERROR(SEARCH("On Track to be Achieved",E48)))</formula>
    </cfRule>
    <cfRule type="containsText" dxfId="2421" priority="2443" operator="containsText" text="Fully Achieved">
      <formula>NOT(ISERROR(SEARCH("Fully Achieved",E48)))</formula>
    </cfRule>
    <cfRule type="containsText" dxfId="2420" priority="2444" operator="containsText" text="Fully Achieved">
      <formula>NOT(ISERROR(SEARCH("Fully Achieved",E48)))</formula>
    </cfRule>
    <cfRule type="containsText" dxfId="2419" priority="2445" operator="containsText" text="Fully Achieved">
      <formula>NOT(ISERROR(SEARCH("Fully Achieved",E48)))</formula>
    </cfRule>
    <cfRule type="containsText" dxfId="2418" priority="2446" operator="containsText" text="Deferred">
      <formula>NOT(ISERROR(SEARCH("Deferred",E48)))</formula>
    </cfRule>
    <cfRule type="containsText" dxfId="2417" priority="2447" operator="containsText" text="Deleted">
      <formula>NOT(ISERROR(SEARCH("Deleted",E48)))</formula>
    </cfRule>
    <cfRule type="containsText" dxfId="2416" priority="2448" operator="containsText" text="In Danger of Falling Behind Target">
      <formula>NOT(ISERROR(SEARCH("In Danger of Falling Behind Target",E48)))</formula>
    </cfRule>
    <cfRule type="containsText" dxfId="2415" priority="2449" operator="containsText" text="Not yet due">
      <formula>NOT(ISERROR(SEARCH("Not yet due",E48)))</formula>
    </cfRule>
    <cfRule type="containsText" dxfId="2414" priority="2450" operator="containsText" text="Update not Provided">
      <formula>NOT(ISERROR(SEARCH("Update not Provided",E48)))</formula>
    </cfRule>
  </conditionalFormatting>
  <conditionalFormatting sqref="E56:E64">
    <cfRule type="containsText" dxfId="2413" priority="2379" operator="containsText" text="On track to be achieved">
      <formula>NOT(ISERROR(SEARCH("On track to be achieved",E56)))</formula>
    </cfRule>
    <cfRule type="containsText" dxfId="2412" priority="2380" operator="containsText" text="Deferred">
      <formula>NOT(ISERROR(SEARCH("Deferred",E56)))</formula>
    </cfRule>
    <cfRule type="containsText" dxfId="2411" priority="2381" operator="containsText" text="Deleted">
      <formula>NOT(ISERROR(SEARCH("Deleted",E56)))</formula>
    </cfRule>
    <cfRule type="containsText" dxfId="2410" priority="2382" operator="containsText" text="In Danger of Falling Behind Target">
      <formula>NOT(ISERROR(SEARCH("In Danger of Falling Behind Target",E56)))</formula>
    </cfRule>
    <cfRule type="containsText" dxfId="2409" priority="2383" operator="containsText" text="Not yet due">
      <formula>NOT(ISERROR(SEARCH("Not yet due",E56)))</formula>
    </cfRule>
    <cfRule type="containsText" dxfId="2408" priority="2384" operator="containsText" text="Update not Provided">
      <formula>NOT(ISERROR(SEARCH("Update not Provided",E56)))</formula>
    </cfRule>
    <cfRule type="containsText" dxfId="2407" priority="2385" operator="containsText" text="Not yet due">
      <formula>NOT(ISERROR(SEARCH("Not yet due",E56)))</formula>
    </cfRule>
    <cfRule type="containsText" dxfId="2406" priority="2386" operator="containsText" text="Completed Behind Schedule">
      <formula>NOT(ISERROR(SEARCH("Completed Behind Schedule",E56)))</formula>
    </cfRule>
    <cfRule type="containsText" dxfId="2405" priority="2387" operator="containsText" text="Off Target">
      <formula>NOT(ISERROR(SEARCH("Off Target",E56)))</formula>
    </cfRule>
    <cfRule type="containsText" dxfId="2404" priority="2388" operator="containsText" text="On Track to be Achieved">
      <formula>NOT(ISERROR(SEARCH("On Track to be Achieved",E56)))</formula>
    </cfRule>
    <cfRule type="containsText" dxfId="2403" priority="2389" operator="containsText" text="Fully Achieved">
      <formula>NOT(ISERROR(SEARCH("Fully Achieved",E56)))</formula>
    </cfRule>
    <cfRule type="containsText" dxfId="2402" priority="2390" operator="containsText" text="Not yet due">
      <formula>NOT(ISERROR(SEARCH("Not yet due",E56)))</formula>
    </cfRule>
    <cfRule type="containsText" dxfId="2401" priority="2391" operator="containsText" text="Not Yet Due">
      <formula>NOT(ISERROR(SEARCH("Not Yet Due",E56)))</formula>
    </cfRule>
    <cfRule type="containsText" dxfId="2400" priority="2392" operator="containsText" text="Deferred">
      <formula>NOT(ISERROR(SEARCH("Deferred",E56)))</formula>
    </cfRule>
    <cfRule type="containsText" dxfId="2399" priority="2393" operator="containsText" text="Deleted">
      <formula>NOT(ISERROR(SEARCH("Deleted",E56)))</formula>
    </cfRule>
    <cfRule type="containsText" dxfId="2398" priority="2394" operator="containsText" text="In Danger of Falling Behind Target">
      <formula>NOT(ISERROR(SEARCH("In Danger of Falling Behind Target",E56)))</formula>
    </cfRule>
    <cfRule type="containsText" dxfId="2397" priority="2395" operator="containsText" text="Not yet due">
      <formula>NOT(ISERROR(SEARCH("Not yet due",E56)))</formula>
    </cfRule>
    <cfRule type="containsText" dxfId="2396" priority="2396" operator="containsText" text="Completed Behind Schedule">
      <formula>NOT(ISERROR(SEARCH("Completed Behind Schedule",E56)))</formula>
    </cfRule>
    <cfRule type="containsText" dxfId="2395" priority="2397" operator="containsText" text="Off Target">
      <formula>NOT(ISERROR(SEARCH("Off Target",E56)))</formula>
    </cfRule>
    <cfRule type="containsText" dxfId="2394" priority="2398" operator="containsText" text="In Danger of Falling Behind Target">
      <formula>NOT(ISERROR(SEARCH("In Danger of Falling Behind Target",E56)))</formula>
    </cfRule>
    <cfRule type="containsText" dxfId="2393" priority="2399" operator="containsText" text="On Track to be Achieved">
      <formula>NOT(ISERROR(SEARCH("On Track to be Achieved",E56)))</formula>
    </cfRule>
    <cfRule type="containsText" dxfId="2392" priority="2400" operator="containsText" text="Fully Achieved">
      <formula>NOT(ISERROR(SEARCH("Fully Achieved",E56)))</formula>
    </cfRule>
    <cfRule type="containsText" dxfId="2391" priority="2401" operator="containsText" text="Update not Provided">
      <formula>NOT(ISERROR(SEARCH("Update not Provided",E56)))</formula>
    </cfRule>
    <cfRule type="containsText" dxfId="2390" priority="2402" operator="containsText" text="Not yet due">
      <formula>NOT(ISERROR(SEARCH("Not yet due",E56)))</formula>
    </cfRule>
    <cfRule type="containsText" dxfId="2389" priority="2403" operator="containsText" text="Completed Behind Schedule">
      <formula>NOT(ISERROR(SEARCH("Completed Behind Schedule",E56)))</formula>
    </cfRule>
    <cfRule type="containsText" dxfId="2388" priority="2404" operator="containsText" text="Off Target">
      <formula>NOT(ISERROR(SEARCH("Off Target",E56)))</formula>
    </cfRule>
    <cfRule type="containsText" dxfId="2387" priority="2405" operator="containsText" text="In Danger of Falling Behind Target">
      <formula>NOT(ISERROR(SEARCH("In Danger of Falling Behind Target",E56)))</formula>
    </cfRule>
    <cfRule type="containsText" dxfId="2386" priority="2406" operator="containsText" text="On Track to be Achieved">
      <formula>NOT(ISERROR(SEARCH("On Track to be Achieved",E56)))</formula>
    </cfRule>
    <cfRule type="containsText" dxfId="2385" priority="2407" operator="containsText" text="Fully Achieved">
      <formula>NOT(ISERROR(SEARCH("Fully Achieved",E56)))</formula>
    </cfRule>
    <cfRule type="containsText" dxfId="2384" priority="2408" operator="containsText" text="Fully Achieved">
      <formula>NOT(ISERROR(SEARCH("Fully Achieved",E56)))</formula>
    </cfRule>
    <cfRule type="containsText" dxfId="2383" priority="2409" operator="containsText" text="Fully Achieved">
      <formula>NOT(ISERROR(SEARCH("Fully Achieved",E56)))</formula>
    </cfRule>
    <cfRule type="containsText" dxfId="2382" priority="2410" operator="containsText" text="Deferred">
      <formula>NOT(ISERROR(SEARCH("Deferred",E56)))</formula>
    </cfRule>
    <cfRule type="containsText" dxfId="2381" priority="2411" operator="containsText" text="Deleted">
      <formula>NOT(ISERROR(SEARCH("Deleted",E56)))</formula>
    </cfRule>
    <cfRule type="containsText" dxfId="2380" priority="2412" operator="containsText" text="In Danger of Falling Behind Target">
      <formula>NOT(ISERROR(SEARCH("In Danger of Falling Behind Target",E56)))</formula>
    </cfRule>
    <cfRule type="containsText" dxfId="2379" priority="2413" operator="containsText" text="Not yet due">
      <formula>NOT(ISERROR(SEARCH("Not yet due",E56)))</formula>
    </cfRule>
    <cfRule type="containsText" dxfId="2378" priority="2414" operator="containsText" text="Update not Provided">
      <formula>NOT(ISERROR(SEARCH("Update not Provided",E56)))</formula>
    </cfRule>
  </conditionalFormatting>
  <conditionalFormatting sqref="E66">
    <cfRule type="containsText" dxfId="2377" priority="2343" operator="containsText" text="On track to be achieved">
      <formula>NOT(ISERROR(SEARCH("On track to be achieved",E66)))</formula>
    </cfRule>
    <cfRule type="containsText" dxfId="2376" priority="2344" operator="containsText" text="Deferred">
      <formula>NOT(ISERROR(SEARCH("Deferred",E66)))</formula>
    </cfRule>
    <cfRule type="containsText" dxfId="2375" priority="2345" operator="containsText" text="Deleted">
      <formula>NOT(ISERROR(SEARCH("Deleted",E66)))</formula>
    </cfRule>
    <cfRule type="containsText" dxfId="2374" priority="2346" operator="containsText" text="In Danger of Falling Behind Target">
      <formula>NOT(ISERROR(SEARCH("In Danger of Falling Behind Target",E66)))</formula>
    </cfRule>
    <cfRule type="containsText" dxfId="2373" priority="2347" operator="containsText" text="Not yet due">
      <formula>NOT(ISERROR(SEARCH("Not yet due",E66)))</formula>
    </cfRule>
    <cfRule type="containsText" dxfId="2372" priority="2348" operator="containsText" text="Update not Provided">
      <formula>NOT(ISERROR(SEARCH("Update not Provided",E66)))</formula>
    </cfRule>
    <cfRule type="containsText" dxfId="2371" priority="2349" operator="containsText" text="Not yet due">
      <formula>NOT(ISERROR(SEARCH("Not yet due",E66)))</formula>
    </cfRule>
    <cfRule type="containsText" dxfId="2370" priority="2350" operator="containsText" text="Completed Behind Schedule">
      <formula>NOT(ISERROR(SEARCH("Completed Behind Schedule",E66)))</formula>
    </cfRule>
    <cfRule type="containsText" dxfId="2369" priority="2351" operator="containsText" text="Off Target">
      <formula>NOT(ISERROR(SEARCH("Off Target",E66)))</formula>
    </cfRule>
    <cfRule type="containsText" dxfId="2368" priority="2352" operator="containsText" text="On Track to be Achieved">
      <formula>NOT(ISERROR(SEARCH("On Track to be Achieved",E66)))</formula>
    </cfRule>
    <cfRule type="containsText" dxfId="2367" priority="2353" operator="containsText" text="Fully Achieved">
      <formula>NOT(ISERROR(SEARCH("Fully Achieved",E66)))</formula>
    </cfRule>
    <cfRule type="containsText" dxfId="2366" priority="2354" operator="containsText" text="Not yet due">
      <formula>NOT(ISERROR(SEARCH("Not yet due",E66)))</formula>
    </cfRule>
    <cfRule type="containsText" dxfId="2365" priority="2355" operator="containsText" text="Not Yet Due">
      <formula>NOT(ISERROR(SEARCH("Not Yet Due",E66)))</formula>
    </cfRule>
    <cfRule type="containsText" dxfId="2364" priority="2356" operator="containsText" text="Deferred">
      <formula>NOT(ISERROR(SEARCH("Deferred",E66)))</formula>
    </cfRule>
    <cfRule type="containsText" dxfId="2363" priority="2357" operator="containsText" text="Deleted">
      <formula>NOT(ISERROR(SEARCH("Deleted",E66)))</formula>
    </cfRule>
    <cfRule type="containsText" dxfId="2362" priority="2358" operator="containsText" text="In Danger of Falling Behind Target">
      <formula>NOT(ISERROR(SEARCH("In Danger of Falling Behind Target",E66)))</formula>
    </cfRule>
    <cfRule type="containsText" dxfId="2361" priority="2359" operator="containsText" text="Not yet due">
      <formula>NOT(ISERROR(SEARCH("Not yet due",E66)))</formula>
    </cfRule>
    <cfRule type="containsText" dxfId="2360" priority="2360" operator="containsText" text="Completed Behind Schedule">
      <formula>NOT(ISERROR(SEARCH("Completed Behind Schedule",E66)))</formula>
    </cfRule>
    <cfRule type="containsText" dxfId="2359" priority="2361" operator="containsText" text="Off Target">
      <formula>NOT(ISERROR(SEARCH("Off Target",E66)))</formula>
    </cfRule>
    <cfRule type="containsText" dxfId="2358" priority="2362" operator="containsText" text="In Danger of Falling Behind Target">
      <formula>NOT(ISERROR(SEARCH("In Danger of Falling Behind Target",E66)))</formula>
    </cfRule>
    <cfRule type="containsText" dxfId="2357" priority="2363" operator="containsText" text="On Track to be Achieved">
      <formula>NOT(ISERROR(SEARCH("On Track to be Achieved",E66)))</formula>
    </cfRule>
    <cfRule type="containsText" dxfId="2356" priority="2364" operator="containsText" text="Fully Achieved">
      <formula>NOT(ISERROR(SEARCH("Fully Achieved",E66)))</formula>
    </cfRule>
    <cfRule type="containsText" dxfId="2355" priority="2365" operator="containsText" text="Update not Provided">
      <formula>NOT(ISERROR(SEARCH("Update not Provided",E66)))</formula>
    </cfRule>
    <cfRule type="containsText" dxfId="2354" priority="2366" operator="containsText" text="Not yet due">
      <formula>NOT(ISERROR(SEARCH("Not yet due",E66)))</formula>
    </cfRule>
    <cfRule type="containsText" dxfId="2353" priority="2367" operator="containsText" text="Completed Behind Schedule">
      <formula>NOT(ISERROR(SEARCH("Completed Behind Schedule",E66)))</formula>
    </cfRule>
    <cfRule type="containsText" dxfId="2352" priority="2368" operator="containsText" text="Off Target">
      <formula>NOT(ISERROR(SEARCH("Off Target",E66)))</formula>
    </cfRule>
    <cfRule type="containsText" dxfId="2351" priority="2369" operator="containsText" text="In Danger of Falling Behind Target">
      <formula>NOT(ISERROR(SEARCH("In Danger of Falling Behind Target",E66)))</formula>
    </cfRule>
    <cfRule type="containsText" dxfId="2350" priority="2370" operator="containsText" text="On Track to be Achieved">
      <formula>NOT(ISERROR(SEARCH("On Track to be Achieved",E66)))</formula>
    </cfRule>
    <cfRule type="containsText" dxfId="2349" priority="2371" operator="containsText" text="Fully Achieved">
      <formula>NOT(ISERROR(SEARCH("Fully Achieved",E66)))</formula>
    </cfRule>
    <cfRule type="containsText" dxfId="2348" priority="2372" operator="containsText" text="Fully Achieved">
      <formula>NOT(ISERROR(SEARCH("Fully Achieved",E66)))</formula>
    </cfRule>
    <cfRule type="containsText" dxfId="2347" priority="2373" operator="containsText" text="Fully Achieved">
      <formula>NOT(ISERROR(SEARCH("Fully Achieved",E66)))</formula>
    </cfRule>
    <cfRule type="containsText" dxfId="2346" priority="2374" operator="containsText" text="Deferred">
      <formula>NOT(ISERROR(SEARCH("Deferred",E66)))</formula>
    </cfRule>
    <cfRule type="containsText" dxfId="2345" priority="2375" operator="containsText" text="Deleted">
      <formula>NOT(ISERROR(SEARCH("Deleted",E66)))</formula>
    </cfRule>
    <cfRule type="containsText" dxfId="2344" priority="2376" operator="containsText" text="In Danger of Falling Behind Target">
      <formula>NOT(ISERROR(SEARCH("In Danger of Falling Behind Target",E66)))</formula>
    </cfRule>
    <cfRule type="containsText" dxfId="2343" priority="2377" operator="containsText" text="Not yet due">
      <formula>NOT(ISERROR(SEARCH("Not yet due",E66)))</formula>
    </cfRule>
    <cfRule type="containsText" dxfId="2342" priority="2378" operator="containsText" text="Update not Provided">
      <formula>NOT(ISERROR(SEARCH("Update not Provided",E66)))</formula>
    </cfRule>
  </conditionalFormatting>
  <conditionalFormatting sqref="E69:E79">
    <cfRule type="containsText" dxfId="2341" priority="2307" operator="containsText" text="On track to be achieved">
      <formula>NOT(ISERROR(SEARCH("On track to be achieved",E69)))</formula>
    </cfRule>
    <cfRule type="containsText" dxfId="2340" priority="2308" operator="containsText" text="Deferred">
      <formula>NOT(ISERROR(SEARCH("Deferred",E69)))</formula>
    </cfRule>
    <cfRule type="containsText" dxfId="2339" priority="2309" operator="containsText" text="Deleted">
      <formula>NOT(ISERROR(SEARCH("Deleted",E69)))</formula>
    </cfRule>
    <cfRule type="containsText" dxfId="2338" priority="2310" operator="containsText" text="In Danger of Falling Behind Target">
      <formula>NOT(ISERROR(SEARCH("In Danger of Falling Behind Target",E69)))</formula>
    </cfRule>
    <cfRule type="containsText" dxfId="2337" priority="2311" operator="containsText" text="Not yet due">
      <formula>NOT(ISERROR(SEARCH("Not yet due",E69)))</formula>
    </cfRule>
    <cfRule type="containsText" dxfId="2336" priority="2312" operator="containsText" text="Update not Provided">
      <formula>NOT(ISERROR(SEARCH("Update not Provided",E69)))</formula>
    </cfRule>
    <cfRule type="containsText" dxfId="2335" priority="2313" operator="containsText" text="Not yet due">
      <formula>NOT(ISERROR(SEARCH("Not yet due",E69)))</formula>
    </cfRule>
    <cfRule type="containsText" dxfId="2334" priority="2314" operator="containsText" text="Completed Behind Schedule">
      <formula>NOT(ISERROR(SEARCH("Completed Behind Schedule",E69)))</formula>
    </cfRule>
    <cfRule type="containsText" dxfId="2333" priority="2315" operator="containsText" text="Off Target">
      <formula>NOT(ISERROR(SEARCH("Off Target",E69)))</formula>
    </cfRule>
    <cfRule type="containsText" dxfId="2332" priority="2316" operator="containsText" text="On Track to be Achieved">
      <formula>NOT(ISERROR(SEARCH("On Track to be Achieved",E69)))</formula>
    </cfRule>
    <cfRule type="containsText" dxfId="2331" priority="2317" operator="containsText" text="Fully Achieved">
      <formula>NOT(ISERROR(SEARCH("Fully Achieved",E69)))</formula>
    </cfRule>
    <cfRule type="containsText" dxfId="2330" priority="2318" operator="containsText" text="Not yet due">
      <formula>NOT(ISERROR(SEARCH("Not yet due",E69)))</formula>
    </cfRule>
    <cfRule type="containsText" dxfId="2329" priority="2319" operator="containsText" text="Not Yet Due">
      <formula>NOT(ISERROR(SEARCH("Not Yet Due",E69)))</formula>
    </cfRule>
    <cfRule type="containsText" dxfId="2328" priority="2320" operator="containsText" text="Deferred">
      <formula>NOT(ISERROR(SEARCH("Deferred",E69)))</formula>
    </cfRule>
    <cfRule type="containsText" dxfId="2327" priority="2321" operator="containsText" text="Deleted">
      <formula>NOT(ISERROR(SEARCH("Deleted",E69)))</formula>
    </cfRule>
    <cfRule type="containsText" dxfId="2326" priority="2322" operator="containsText" text="In Danger of Falling Behind Target">
      <formula>NOT(ISERROR(SEARCH("In Danger of Falling Behind Target",E69)))</formula>
    </cfRule>
    <cfRule type="containsText" dxfId="2325" priority="2323" operator="containsText" text="Not yet due">
      <formula>NOT(ISERROR(SEARCH("Not yet due",E69)))</formula>
    </cfRule>
    <cfRule type="containsText" dxfId="2324" priority="2324" operator="containsText" text="Completed Behind Schedule">
      <formula>NOT(ISERROR(SEARCH("Completed Behind Schedule",E69)))</formula>
    </cfRule>
    <cfRule type="containsText" dxfId="2323" priority="2325" operator="containsText" text="Off Target">
      <formula>NOT(ISERROR(SEARCH("Off Target",E69)))</formula>
    </cfRule>
    <cfRule type="containsText" dxfId="2322" priority="2326" operator="containsText" text="In Danger of Falling Behind Target">
      <formula>NOT(ISERROR(SEARCH("In Danger of Falling Behind Target",E69)))</formula>
    </cfRule>
    <cfRule type="containsText" dxfId="2321" priority="2327" operator="containsText" text="On Track to be Achieved">
      <formula>NOT(ISERROR(SEARCH("On Track to be Achieved",E69)))</formula>
    </cfRule>
    <cfRule type="containsText" dxfId="2320" priority="2328" operator="containsText" text="Fully Achieved">
      <formula>NOT(ISERROR(SEARCH("Fully Achieved",E69)))</formula>
    </cfRule>
    <cfRule type="containsText" dxfId="2319" priority="2329" operator="containsText" text="Update not Provided">
      <formula>NOT(ISERROR(SEARCH("Update not Provided",E69)))</formula>
    </cfRule>
    <cfRule type="containsText" dxfId="2318" priority="2330" operator="containsText" text="Not yet due">
      <formula>NOT(ISERROR(SEARCH("Not yet due",E69)))</formula>
    </cfRule>
    <cfRule type="containsText" dxfId="2317" priority="2331" operator="containsText" text="Completed Behind Schedule">
      <formula>NOT(ISERROR(SEARCH("Completed Behind Schedule",E69)))</formula>
    </cfRule>
    <cfRule type="containsText" dxfId="2316" priority="2332" operator="containsText" text="Off Target">
      <formula>NOT(ISERROR(SEARCH("Off Target",E69)))</formula>
    </cfRule>
    <cfRule type="containsText" dxfId="2315" priority="2333" operator="containsText" text="In Danger of Falling Behind Target">
      <formula>NOT(ISERROR(SEARCH("In Danger of Falling Behind Target",E69)))</formula>
    </cfRule>
    <cfRule type="containsText" dxfId="2314" priority="2334" operator="containsText" text="On Track to be Achieved">
      <formula>NOT(ISERROR(SEARCH("On Track to be Achieved",E69)))</formula>
    </cfRule>
    <cfRule type="containsText" dxfId="2313" priority="2335" operator="containsText" text="Fully Achieved">
      <formula>NOT(ISERROR(SEARCH("Fully Achieved",E69)))</formula>
    </cfRule>
    <cfRule type="containsText" dxfId="2312" priority="2336" operator="containsText" text="Fully Achieved">
      <formula>NOT(ISERROR(SEARCH("Fully Achieved",E69)))</formula>
    </cfRule>
    <cfRule type="containsText" dxfId="2311" priority="2337" operator="containsText" text="Fully Achieved">
      <formula>NOT(ISERROR(SEARCH("Fully Achieved",E69)))</formula>
    </cfRule>
    <cfRule type="containsText" dxfId="2310" priority="2338" operator="containsText" text="Deferred">
      <formula>NOT(ISERROR(SEARCH("Deferred",E69)))</formula>
    </cfRule>
    <cfRule type="containsText" dxfId="2309" priority="2339" operator="containsText" text="Deleted">
      <formula>NOT(ISERROR(SEARCH("Deleted",E69)))</formula>
    </cfRule>
    <cfRule type="containsText" dxfId="2308" priority="2340" operator="containsText" text="In Danger of Falling Behind Target">
      <formula>NOT(ISERROR(SEARCH("In Danger of Falling Behind Target",E69)))</formula>
    </cfRule>
    <cfRule type="containsText" dxfId="2307" priority="2341" operator="containsText" text="Not yet due">
      <formula>NOT(ISERROR(SEARCH("Not yet due",E69)))</formula>
    </cfRule>
    <cfRule type="containsText" dxfId="2306" priority="2342" operator="containsText" text="Update not Provided">
      <formula>NOT(ISERROR(SEARCH("Update not Provided",E69)))</formula>
    </cfRule>
  </conditionalFormatting>
  <conditionalFormatting sqref="E81">
    <cfRule type="containsText" dxfId="2305" priority="2271" operator="containsText" text="On track to be achieved">
      <formula>NOT(ISERROR(SEARCH("On track to be achieved",E81)))</formula>
    </cfRule>
    <cfRule type="containsText" dxfId="2304" priority="2272" operator="containsText" text="Deferred">
      <formula>NOT(ISERROR(SEARCH("Deferred",E81)))</formula>
    </cfRule>
    <cfRule type="containsText" dxfId="2303" priority="2273" operator="containsText" text="Deleted">
      <formula>NOT(ISERROR(SEARCH("Deleted",E81)))</formula>
    </cfRule>
    <cfRule type="containsText" dxfId="2302" priority="2274" operator="containsText" text="In Danger of Falling Behind Target">
      <formula>NOT(ISERROR(SEARCH("In Danger of Falling Behind Target",E81)))</formula>
    </cfRule>
    <cfRule type="containsText" dxfId="2301" priority="2275" operator="containsText" text="Not yet due">
      <formula>NOT(ISERROR(SEARCH("Not yet due",E81)))</formula>
    </cfRule>
    <cfRule type="containsText" dxfId="2300" priority="2276" operator="containsText" text="Update not Provided">
      <formula>NOT(ISERROR(SEARCH("Update not Provided",E81)))</formula>
    </cfRule>
    <cfRule type="containsText" dxfId="2299" priority="2277" operator="containsText" text="Not yet due">
      <formula>NOT(ISERROR(SEARCH("Not yet due",E81)))</formula>
    </cfRule>
    <cfRule type="containsText" dxfId="2298" priority="2278" operator="containsText" text="Completed Behind Schedule">
      <formula>NOT(ISERROR(SEARCH("Completed Behind Schedule",E81)))</formula>
    </cfRule>
    <cfRule type="containsText" dxfId="2297" priority="2279" operator="containsText" text="Off Target">
      <formula>NOT(ISERROR(SEARCH("Off Target",E81)))</formula>
    </cfRule>
    <cfRule type="containsText" dxfId="2296" priority="2280" operator="containsText" text="On Track to be Achieved">
      <formula>NOT(ISERROR(SEARCH("On Track to be Achieved",E81)))</formula>
    </cfRule>
    <cfRule type="containsText" dxfId="2295" priority="2281" operator="containsText" text="Fully Achieved">
      <formula>NOT(ISERROR(SEARCH("Fully Achieved",E81)))</formula>
    </cfRule>
    <cfRule type="containsText" dxfId="2294" priority="2282" operator="containsText" text="Not yet due">
      <formula>NOT(ISERROR(SEARCH("Not yet due",E81)))</formula>
    </cfRule>
    <cfRule type="containsText" dxfId="2293" priority="2283" operator="containsText" text="Not Yet Due">
      <formula>NOT(ISERROR(SEARCH("Not Yet Due",E81)))</formula>
    </cfRule>
    <cfRule type="containsText" dxfId="2292" priority="2284" operator="containsText" text="Deferred">
      <formula>NOT(ISERROR(SEARCH("Deferred",E81)))</formula>
    </cfRule>
    <cfRule type="containsText" dxfId="2291" priority="2285" operator="containsText" text="Deleted">
      <formula>NOT(ISERROR(SEARCH("Deleted",E81)))</formula>
    </cfRule>
    <cfRule type="containsText" dxfId="2290" priority="2286" operator="containsText" text="In Danger of Falling Behind Target">
      <formula>NOT(ISERROR(SEARCH("In Danger of Falling Behind Target",E81)))</formula>
    </cfRule>
    <cfRule type="containsText" dxfId="2289" priority="2287" operator="containsText" text="Not yet due">
      <formula>NOT(ISERROR(SEARCH("Not yet due",E81)))</formula>
    </cfRule>
    <cfRule type="containsText" dxfId="2288" priority="2288" operator="containsText" text="Completed Behind Schedule">
      <formula>NOT(ISERROR(SEARCH("Completed Behind Schedule",E81)))</formula>
    </cfRule>
    <cfRule type="containsText" dxfId="2287" priority="2289" operator="containsText" text="Off Target">
      <formula>NOT(ISERROR(SEARCH("Off Target",E81)))</formula>
    </cfRule>
    <cfRule type="containsText" dxfId="2286" priority="2290" operator="containsText" text="In Danger of Falling Behind Target">
      <formula>NOT(ISERROR(SEARCH("In Danger of Falling Behind Target",E81)))</formula>
    </cfRule>
    <cfRule type="containsText" dxfId="2285" priority="2291" operator="containsText" text="On Track to be Achieved">
      <formula>NOT(ISERROR(SEARCH("On Track to be Achieved",E81)))</formula>
    </cfRule>
    <cfRule type="containsText" dxfId="2284" priority="2292" operator="containsText" text="Fully Achieved">
      <formula>NOT(ISERROR(SEARCH("Fully Achieved",E81)))</formula>
    </cfRule>
    <cfRule type="containsText" dxfId="2283" priority="2293" operator="containsText" text="Update not Provided">
      <formula>NOT(ISERROR(SEARCH("Update not Provided",E81)))</formula>
    </cfRule>
    <cfRule type="containsText" dxfId="2282" priority="2294" operator="containsText" text="Not yet due">
      <formula>NOT(ISERROR(SEARCH("Not yet due",E81)))</formula>
    </cfRule>
    <cfRule type="containsText" dxfId="2281" priority="2295" operator="containsText" text="Completed Behind Schedule">
      <formula>NOT(ISERROR(SEARCH("Completed Behind Schedule",E81)))</formula>
    </cfRule>
    <cfRule type="containsText" dxfId="2280" priority="2296" operator="containsText" text="Off Target">
      <formula>NOT(ISERROR(SEARCH("Off Target",E81)))</formula>
    </cfRule>
    <cfRule type="containsText" dxfId="2279" priority="2297" operator="containsText" text="In Danger of Falling Behind Target">
      <formula>NOT(ISERROR(SEARCH("In Danger of Falling Behind Target",E81)))</formula>
    </cfRule>
    <cfRule type="containsText" dxfId="2278" priority="2298" operator="containsText" text="On Track to be Achieved">
      <formula>NOT(ISERROR(SEARCH("On Track to be Achieved",E81)))</formula>
    </cfRule>
    <cfRule type="containsText" dxfId="2277" priority="2299" operator="containsText" text="Fully Achieved">
      <formula>NOT(ISERROR(SEARCH("Fully Achieved",E81)))</formula>
    </cfRule>
    <cfRule type="containsText" dxfId="2276" priority="2300" operator="containsText" text="Fully Achieved">
      <formula>NOT(ISERROR(SEARCH("Fully Achieved",E81)))</formula>
    </cfRule>
    <cfRule type="containsText" dxfId="2275" priority="2301" operator="containsText" text="Fully Achieved">
      <formula>NOT(ISERROR(SEARCH("Fully Achieved",E81)))</formula>
    </cfRule>
    <cfRule type="containsText" dxfId="2274" priority="2302" operator="containsText" text="Deferred">
      <formula>NOT(ISERROR(SEARCH("Deferred",E81)))</formula>
    </cfRule>
    <cfRule type="containsText" dxfId="2273" priority="2303" operator="containsText" text="Deleted">
      <formula>NOT(ISERROR(SEARCH("Deleted",E81)))</formula>
    </cfRule>
    <cfRule type="containsText" dxfId="2272" priority="2304" operator="containsText" text="In Danger of Falling Behind Target">
      <formula>NOT(ISERROR(SEARCH("In Danger of Falling Behind Target",E81)))</formula>
    </cfRule>
    <cfRule type="containsText" dxfId="2271" priority="2305" operator="containsText" text="Not yet due">
      <formula>NOT(ISERROR(SEARCH("Not yet due",E81)))</formula>
    </cfRule>
    <cfRule type="containsText" dxfId="2270" priority="2306" operator="containsText" text="Update not Provided">
      <formula>NOT(ISERROR(SEARCH("Update not Provided",E81)))</formula>
    </cfRule>
  </conditionalFormatting>
  <conditionalFormatting sqref="E84:E85">
    <cfRule type="containsText" dxfId="2269" priority="2235" operator="containsText" text="On track to be achieved">
      <formula>NOT(ISERROR(SEARCH("On track to be achieved",E84)))</formula>
    </cfRule>
    <cfRule type="containsText" dxfId="2268" priority="2236" operator="containsText" text="Deferred">
      <formula>NOT(ISERROR(SEARCH("Deferred",E84)))</formula>
    </cfRule>
    <cfRule type="containsText" dxfId="2267" priority="2237" operator="containsText" text="Deleted">
      <formula>NOT(ISERROR(SEARCH("Deleted",E84)))</formula>
    </cfRule>
    <cfRule type="containsText" dxfId="2266" priority="2238" operator="containsText" text="In Danger of Falling Behind Target">
      <formula>NOT(ISERROR(SEARCH("In Danger of Falling Behind Target",E84)))</formula>
    </cfRule>
    <cfRule type="containsText" dxfId="2265" priority="2239" operator="containsText" text="Not yet due">
      <formula>NOT(ISERROR(SEARCH("Not yet due",E84)))</formula>
    </cfRule>
    <cfRule type="containsText" dxfId="2264" priority="2240" operator="containsText" text="Update not Provided">
      <formula>NOT(ISERROR(SEARCH("Update not Provided",E84)))</formula>
    </cfRule>
    <cfRule type="containsText" dxfId="2263" priority="2241" operator="containsText" text="Not yet due">
      <formula>NOT(ISERROR(SEARCH("Not yet due",E84)))</formula>
    </cfRule>
    <cfRule type="containsText" dxfId="2262" priority="2242" operator="containsText" text="Completed Behind Schedule">
      <formula>NOT(ISERROR(SEARCH("Completed Behind Schedule",E84)))</formula>
    </cfRule>
    <cfRule type="containsText" dxfId="2261" priority="2243" operator="containsText" text="Off Target">
      <formula>NOT(ISERROR(SEARCH("Off Target",E84)))</formula>
    </cfRule>
    <cfRule type="containsText" dxfId="2260" priority="2244" operator="containsText" text="On Track to be Achieved">
      <formula>NOT(ISERROR(SEARCH("On Track to be Achieved",E84)))</formula>
    </cfRule>
    <cfRule type="containsText" dxfId="2259" priority="2245" operator="containsText" text="Fully Achieved">
      <formula>NOT(ISERROR(SEARCH("Fully Achieved",E84)))</formula>
    </cfRule>
    <cfRule type="containsText" dxfId="2258" priority="2246" operator="containsText" text="Not yet due">
      <formula>NOT(ISERROR(SEARCH("Not yet due",E84)))</formula>
    </cfRule>
    <cfRule type="containsText" dxfId="2257" priority="2247" operator="containsText" text="Not Yet Due">
      <formula>NOT(ISERROR(SEARCH("Not Yet Due",E84)))</formula>
    </cfRule>
    <cfRule type="containsText" dxfId="2256" priority="2248" operator="containsText" text="Deferred">
      <formula>NOT(ISERROR(SEARCH("Deferred",E84)))</formula>
    </cfRule>
    <cfRule type="containsText" dxfId="2255" priority="2249" operator="containsText" text="Deleted">
      <formula>NOT(ISERROR(SEARCH("Deleted",E84)))</formula>
    </cfRule>
    <cfRule type="containsText" dxfId="2254" priority="2250" operator="containsText" text="In Danger of Falling Behind Target">
      <formula>NOT(ISERROR(SEARCH("In Danger of Falling Behind Target",E84)))</formula>
    </cfRule>
    <cfRule type="containsText" dxfId="2253" priority="2251" operator="containsText" text="Not yet due">
      <formula>NOT(ISERROR(SEARCH("Not yet due",E84)))</formula>
    </cfRule>
    <cfRule type="containsText" dxfId="2252" priority="2252" operator="containsText" text="Completed Behind Schedule">
      <formula>NOT(ISERROR(SEARCH("Completed Behind Schedule",E84)))</formula>
    </cfRule>
    <cfRule type="containsText" dxfId="2251" priority="2253" operator="containsText" text="Off Target">
      <formula>NOT(ISERROR(SEARCH("Off Target",E84)))</formula>
    </cfRule>
    <cfRule type="containsText" dxfId="2250" priority="2254" operator="containsText" text="In Danger of Falling Behind Target">
      <formula>NOT(ISERROR(SEARCH("In Danger of Falling Behind Target",E84)))</formula>
    </cfRule>
    <cfRule type="containsText" dxfId="2249" priority="2255" operator="containsText" text="On Track to be Achieved">
      <formula>NOT(ISERROR(SEARCH("On Track to be Achieved",E84)))</formula>
    </cfRule>
    <cfRule type="containsText" dxfId="2248" priority="2256" operator="containsText" text="Fully Achieved">
      <formula>NOT(ISERROR(SEARCH("Fully Achieved",E84)))</formula>
    </cfRule>
    <cfRule type="containsText" dxfId="2247" priority="2257" operator="containsText" text="Update not Provided">
      <formula>NOT(ISERROR(SEARCH("Update not Provided",E84)))</formula>
    </cfRule>
    <cfRule type="containsText" dxfId="2246" priority="2258" operator="containsText" text="Not yet due">
      <formula>NOT(ISERROR(SEARCH("Not yet due",E84)))</formula>
    </cfRule>
    <cfRule type="containsText" dxfId="2245" priority="2259" operator="containsText" text="Completed Behind Schedule">
      <formula>NOT(ISERROR(SEARCH("Completed Behind Schedule",E84)))</formula>
    </cfRule>
    <cfRule type="containsText" dxfId="2244" priority="2260" operator="containsText" text="Off Target">
      <formula>NOT(ISERROR(SEARCH("Off Target",E84)))</formula>
    </cfRule>
    <cfRule type="containsText" dxfId="2243" priority="2261" operator="containsText" text="In Danger of Falling Behind Target">
      <formula>NOT(ISERROR(SEARCH("In Danger of Falling Behind Target",E84)))</formula>
    </cfRule>
    <cfRule type="containsText" dxfId="2242" priority="2262" operator="containsText" text="On Track to be Achieved">
      <formula>NOT(ISERROR(SEARCH("On Track to be Achieved",E84)))</formula>
    </cfRule>
    <cfRule type="containsText" dxfId="2241" priority="2263" operator="containsText" text="Fully Achieved">
      <formula>NOT(ISERROR(SEARCH("Fully Achieved",E84)))</formula>
    </cfRule>
    <cfRule type="containsText" dxfId="2240" priority="2264" operator="containsText" text="Fully Achieved">
      <formula>NOT(ISERROR(SEARCH("Fully Achieved",E84)))</formula>
    </cfRule>
    <cfRule type="containsText" dxfId="2239" priority="2265" operator="containsText" text="Fully Achieved">
      <formula>NOT(ISERROR(SEARCH("Fully Achieved",E84)))</formula>
    </cfRule>
    <cfRule type="containsText" dxfId="2238" priority="2266" operator="containsText" text="Deferred">
      <formula>NOT(ISERROR(SEARCH("Deferred",E84)))</formula>
    </cfRule>
    <cfRule type="containsText" dxfId="2237" priority="2267" operator="containsText" text="Deleted">
      <formula>NOT(ISERROR(SEARCH("Deleted",E84)))</formula>
    </cfRule>
    <cfRule type="containsText" dxfId="2236" priority="2268" operator="containsText" text="In Danger of Falling Behind Target">
      <formula>NOT(ISERROR(SEARCH("In Danger of Falling Behind Target",E84)))</formula>
    </cfRule>
    <cfRule type="containsText" dxfId="2235" priority="2269" operator="containsText" text="Not yet due">
      <formula>NOT(ISERROR(SEARCH("Not yet due",E84)))</formula>
    </cfRule>
    <cfRule type="containsText" dxfId="2234" priority="2270" operator="containsText" text="Update not Provided">
      <formula>NOT(ISERROR(SEARCH("Update not Provided",E84)))</formula>
    </cfRule>
  </conditionalFormatting>
  <conditionalFormatting sqref="E87:E88">
    <cfRule type="containsText" dxfId="2233" priority="2199" operator="containsText" text="On track to be achieved">
      <formula>NOT(ISERROR(SEARCH("On track to be achieved",E87)))</formula>
    </cfRule>
    <cfRule type="containsText" dxfId="2232" priority="2200" operator="containsText" text="Deferred">
      <formula>NOT(ISERROR(SEARCH("Deferred",E87)))</formula>
    </cfRule>
    <cfRule type="containsText" dxfId="2231" priority="2201" operator="containsText" text="Deleted">
      <formula>NOT(ISERROR(SEARCH("Deleted",E87)))</formula>
    </cfRule>
    <cfRule type="containsText" dxfId="2230" priority="2202" operator="containsText" text="In Danger of Falling Behind Target">
      <formula>NOT(ISERROR(SEARCH("In Danger of Falling Behind Target",E87)))</formula>
    </cfRule>
    <cfRule type="containsText" dxfId="2229" priority="2203" operator="containsText" text="Not yet due">
      <formula>NOT(ISERROR(SEARCH("Not yet due",E87)))</formula>
    </cfRule>
    <cfRule type="containsText" dxfId="2228" priority="2204" operator="containsText" text="Update not Provided">
      <formula>NOT(ISERROR(SEARCH("Update not Provided",E87)))</formula>
    </cfRule>
    <cfRule type="containsText" dxfId="2227" priority="2205" operator="containsText" text="Not yet due">
      <formula>NOT(ISERROR(SEARCH("Not yet due",E87)))</formula>
    </cfRule>
    <cfRule type="containsText" dxfId="2226" priority="2206" operator="containsText" text="Completed Behind Schedule">
      <formula>NOT(ISERROR(SEARCH("Completed Behind Schedule",E87)))</formula>
    </cfRule>
    <cfRule type="containsText" dxfId="2225" priority="2207" operator="containsText" text="Off Target">
      <formula>NOT(ISERROR(SEARCH("Off Target",E87)))</formula>
    </cfRule>
    <cfRule type="containsText" dxfId="2224" priority="2208" operator="containsText" text="On Track to be Achieved">
      <formula>NOT(ISERROR(SEARCH("On Track to be Achieved",E87)))</formula>
    </cfRule>
    <cfRule type="containsText" dxfId="2223" priority="2209" operator="containsText" text="Fully Achieved">
      <formula>NOT(ISERROR(SEARCH("Fully Achieved",E87)))</formula>
    </cfRule>
    <cfRule type="containsText" dxfId="2222" priority="2210" operator="containsText" text="Not yet due">
      <formula>NOT(ISERROR(SEARCH("Not yet due",E87)))</formula>
    </cfRule>
    <cfRule type="containsText" dxfId="2221" priority="2211" operator="containsText" text="Not Yet Due">
      <formula>NOT(ISERROR(SEARCH("Not Yet Due",E87)))</formula>
    </cfRule>
    <cfRule type="containsText" dxfId="2220" priority="2212" operator="containsText" text="Deferred">
      <formula>NOT(ISERROR(SEARCH("Deferred",E87)))</formula>
    </cfRule>
    <cfRule type="containsText" dxfId="2219" priority="2213" operator="containsText" text="Deleted">
      <formula>NOT(ISERROR(SEARCH("Deleted",E87)))</formula>
    </cfRule>
    <cfRule type="containsText" dxfId="2218" priority="2214" operator="containsText" text="In Danger of Falling Behind Target">
      <formula>NOT(ISERROR(SEARCH("In Danger of Falling Behind Target",E87)))</formula>
    </cfRule>
    <cfRule type="containsText" dxfId="2217" priority="2215" operator="containsText" text="Not yet due">
      <formula>NOT(ISERROR(SEARCH("Not yet due",E87)))</formula>
    </cfRule>
    <cfRule type="containsText" dxfId="2216" priority="2216" operator="containsText" text="Completed Behind Schedule">
      <formula>NOT(ISERROR(SEARCH("Completed Behind Schedule",E87)))</formula>
    </cfRule>
    <cfRule type="containsText" dxfId="2215" priority="2217" operator="containsText" text="Off Target">
      <formula>NOT(ISERROR(SEARCH("Off Target",E87)))</formula>
    </cfRule>
    <cfRule type="containsText" dxfId="2214" priority="2218" operator="containsText" text="In Danger of Falling Behind Target">
      <formula>NOT(ISERROR(SEARCH("In Danger of Falling Behind Target",E87)))</formula>
    </cfRule>
    <cfRule type="containsText" dxfId="2213" priority="2219" operator="containsText" text="On Track to be Achieved">
      <formula>NOT(ISERROR(SEARCH("On Track to be Achieved",E87)))</formula>
    </cfRule>
    <cfRule type="containsText" dxfId="2212" priority="2220" operator="containsText" text="Fully Achieved">
      <formula>NOT(ISERROR(SEARCH("Fully Achieved",E87)))</formula>
    </cfRule>
    <cfRule type="containsText" dxfId="2211" priority="2221" operator="containsText" text="Update not Provided">
      <formula>NOT(ISERROR(SEARCH("Update not Provided",E87)))</formula>
    </cfRule>
    <cfRule type="containsText" dxfId="2210" priority="2222" operator="containsText" text="Not yet due">
      <formula>NOT(ISERROR(SEARCH("Not yet due",E87)))</formula>
    </cfRule>
    <cfRule type="containsText" dxfId="2209" priority="2223" operator="containsText" text="Completed Behind Schedule">
      <formula>NOT(ISERROR(SEARCH("Completed Behind Schedule",E87)))</formula>
    </cfRule>
    <cfRule type="containsText" dxfId="2208" priority="2224" operator="containsText" text="Off Target">
      <formula>NOT(ISERROR(SEARCH("Off Target",E87)))</formula>
    </cfRule>
    <cfRule type="containsText" dxfId="2207" priority="2225" operator="containsText" text="In Danger of Falling Behind Target">
      <formula>NOT(ISERROR(SEARCH("In Danger of Falling Behind Target",E87)))</formula>
    </cfRule>
    <cfRule type="containsText" dxfId="2206" priority="2226" operator="containsText" text="On Track to be Achieved">
      <formula>NOT(ISERROR(SEARCH("On Track to be Achieved",E87)))</formula>
    </cfRule>
    <cfRule type="containsText" dxfId="2205" priority="2227" operator="containsText" text="Fully Achieved">
      <formula>NOT(ISERROR(SEARCH("Fully Achieved",E87)))</formula>
    </cfRule>
    <cfRule type="containsText" dxfId="2204" priority="2228" operator="containsText" text="Fully Achieved">
      <formula>NOT(ISERROR(SEARCH("Fully Achieved",E87)))</formula>
    </cfRule>
    <cfRule type="containsText" dxfId="2203" priority="2229" operator="containsText" text="Fully Achieved">
      <formula>NOT(ISERROR(SEARCH("Fully Achieved",E87)))</formula>
    </cfRule>
    <cfRule type="containsText" dxfId="2202" priority="2230" operator="containsText" text="Deferred">
      <formula>NOT(ISERROR(SEARCH("Deferred",E87)))</formula>
    </cfRule>
    <cfRule type="containsText" dxfId="2201" priority="2231" operator="containsText" text="Deleted">
      <formula>NOT(ISERROR(SEARCH("Deleted",E87)))</formula>
    </cfRule>
    <cfRule type="containsText" dxfId="2200" priority="2232" operator="containsText" text="In Danger of Falling Behind Target">
      <formula>NOT(ISERROR(SEARCH("In Danger of Falling Behind Target",E87)))</formula>
    </cfRule>
    <cfRule type="containsText" dxfId="2199" priority="2233" operator="containsText" text="Not yet due">
      <formula>NOT(ISERROR(SEARCH("Not yet due",E87)))</formula>
    </cfRule>
    <cfRule type="containsText" dxfId="2198" priority="2234" operator="containsText" text="Update not Provided">
      <formula>NOT(ISERROR(SEARCH("Update not Provided",E87)))</formula>
    </cfRule>
  </conditionalFormatting>
  <conditionalFormatting sqref="E92:E96">
    <cfRule type="containsText" dxfId="2197" priority="2163" operator="containsText" text="On track to be achieved">
      <formula>NOT(ISERROR(SEARCH("On track to be achieved",E92)))</formula>
    </cfRule>
    <cfRule type="containsText" dxfId="2196" priority="2164" operator="containsText" text="Deferred">
      <formula>NOT(ISERROR(SEARCH("Deferred",E92)))</formula>
    </cfRule>
    <cfRule type="containsText" dxfId="2195" priority="2165" operator="containsText" text="Deleted">
      <formula>NOT(ISERROR(SEARCH("Deleted",E92)))</formula>
    </cfRule>
    <cfRule type="containsText" dxfId="2194" priority="2166" operator="containsText" text="In Danger of Falling Behind Target">
      <formula>NOT(ISERROR(SEARCH("In Danger of Falling Behind Target",E92)))</formula>
    </cfRule>
    <cfRule type="containsText" dxfId="2193" priority="2167" operator="containsText" text="Not yet due">
      <formula>NOT(ISERROR(SEARCH("Not yet due",E92)))</formula>
    </cfRule>
    <cfRule type="containsText" dxfId="2192" priority="2168" operator="containsText" text="Update not Provided">
      <formula>NOT(ISERROR(SEARCH("Update not Provided",E92)))</formula>
    </cfRule>
    <cfRule type="containsText" dxfId="2191" priority="2169" operator="containsText" text="Not yet due">
      <formula>NOT(ISERROR(SEARCH("Not yet due",E92)))</formula>
    </cfRule>
    <cfRule type="containsText" dxfId="2190" priority="2170" operator="containsText" text="Completed Behind Schedule">
      <formula>NOT(ISERROR(SEARCH("Completed Behind Schedule",E92)))</formula>
    </cfRule>
    <cfRule type="containsText" dxfId="2189" priority="2171" operator="containsText" text="Off Target">
      <formula>NOT(ISERROR(SEARCH("Off Target",E92)))</formula>
    </cfRule>
    <cfRule type="containsText" dxfId="2188" priority="2172" operator="containsText" text="On Track to be Achieved">
      <formula>NOT(ISERROR(SEARCH("On Track to be Achieved",E92)))</formula>
    </cfRule>
    <cfRule type="containsText" dxfId="2187" priority="2173" operator="containsText" text="Fully Achieved">
      <formula>NOT(ISERROR(SEARCH("Fully Achieved",E92)))</formula>
    </cfRule>
    <cfRule type="containsText" dxfId="2186" priority="2174" operator="containsText" text="Not yet due">
      <formula>NOT(ISERROR(SEARCH("Not yet due",E92)))</formula>
    </cfRule>
    <cfRule type="containsText" dxfId="2185" priority="2175" operator="containsText" text="Not Yet Due">
      <formula>NOT(ISERROR(SEARCH("Not Yet Due",E92)))</formula>
    </cfRule>
    <cfRule type="containsText" dxfId="2184" priority="2176" operator="containsText" text="Deferred">
      <formula>NOT(ISERROR(SEARCH("Deferred",E92)))</formula>
    </cfRule>
    <cfRule type="containsText" dxfId="2183" priority="2177" operator="containsText" text="Deleted">
      <formula>NOT(ISERROR(SEARCH("Deleted",E92)))</formula>
    </cfRule>
    <cfRule type="containsText" dxfId="2182" priority="2178" operator="containsText" text="In Danger of Falling Behind Target">
      <formula>NOT(ISERROR(SEARCH("In Danger of Falling Behind Target",E92)))</formula>
    </cfRule>
    <cfRule type="containsText" dxfId="2181" priority="2179" operator="containsText" text="Not yet due">
      <formula>NOT(ISERROR(SEARCH("Not yet due",E92)))</formula>
    </cfRule>
    <cfRule type="containsText" dxfId="2180" priority="2180" operator="containsText" text="Completed Behind Schedule">
      <formula>NOT(ISERROR(SEARCH("Completed Behind Schedule",E92)))</formula>
    </cfRule>
    <cfRule type="containsText" dxfId="2179" priority="2181" operator="containsText" text="Off Target">
      <formula>NOT(ISERROR(SEARCH("Off Target",E92)))</formula>
    </cfRule>
    <cfRule type="containsText" dxfId="2178" priority="2182" operator="containsText" text="In Danger of Falling Behind Target">
      <formula>NOT(ISERROR(SEARCH("In Danger of Falling Behind Target",E92)))</formula>
    </cfRule>
    <cfRule type="containsText" dxfId="2177" priority="2183" operator="containsText" text="On Track to be Achieved">
      <formula>NOT(ISERROR(SEARCH("On Track to be Achieved",E92)))</formula>
    </cfRule>
    <cfRule type="containsText" dxfId="2176" priority="2184" operator="containsText" text="Fully Achieved">
      <formula>NOT(ISERROR(SEARCH("Fully Achieved",E92)))</formula>
    </cfRule>
    <cfRule type="containsText" dxfId="2175" priority="2185" operator="containsText" text="Update not Provided">
      <formula>NOT(ISERROR(SEARCH("Update not Provided",E92)))</formula>
    </cfRule>
    <cfRule type="containsText" dxfId="2174" priority="2186" operator="containsText" text="Not yet due">
      <formula>NOT(ISERROR(SEARCH("Not yet due",E92)))</formula>
    </cfRule>
    <cfRule type="containsText" dxfId="2173" priority="2187" operator="containsText" text="Completed Behind Schedule">
      <formula>NOT(ISERROR(SEARCH("Completed Behind Schedule",E92)))</formula>
    </cfRule>
    <cfRule type="containsText" dxfId="2172" priority="2188" operator="containsText" text="Off Target">
      <formula>NOT(ISERROR(SEARCH("Off Target",E92)))</formula>
    </cfRule>
    <cfRule type="containsText" dxfId="2171" priority="2189" operator="containsText" text="In Danger of Falling Behind Target">
      <formula>NOT(ISERROR(SEARCH("In Danger of Falling Behind Target",E92)))</formula>
    </cfRule>
    <cfRule type="containsText" dxfId="2170" priority="2190" operator="containsText" text="On Track to be Achieved">
      <formula>NOT(ISERROR(SEARCH("On Track to be Achieved",E92)))</formula>
    </cfRule>
    <cfRule type="containsText" dxfId="2169" priority="2191" operator="containsText" text="Fully Achieved">
      <formula>NOT(ISERROR(SEARCH("Fully Achieved",E92)))</formula>
    </cfRule>
    <cfRule type="containsText" dxfId="2168" priority="2192" operator="containsText" text="Fully Achieved">
      <formula>NOT(ISERROR(SEARCH("Fully Achieved",E92)))</formula>
    </cfRule>
    <cfRule type="containsText" dxfId="2167" priority="2193" operator="containsText" text="Fully Achieved">
      <formula>NOT(ISERROR(SEARCH("Fully Achieved",E92)))</formula>
    </cfRule>
    <cfRule type="containsText" dxfId="2166" priority="2194" operator="containsText" text="Deferred">
      <formula>NOT(ISERROR(SEARCH("Deferred",E92)))</formula>
    </cfRule>
    <cfRule type="containsText" dxfId="2165" priority="2195" operator="containsText" text="Deleted">
      <formula>NOT(ISERROR(SEARCH("Deleted",E92)))</formula>
    </cfRule>
    <cfRule type="containsText" dxfId="2164" priority="2196" operator="containsText" text="In Danger of Falling Behind Target">
      <formula>NOT(ISERROR(SEARCH("In Danger of Falling Behind Target",E92)))</formula>
    </cfRule>
    <cfRule type="containsText" dxfId="2163" priority="2197" operator="containsText" text="Not yet due">
      <formula>NOT(ISERROR(SEARCH("Not yet due",E92)))</formula>
    </cfRule>
    <cfRule type="containsText" dxfId="2162" priority="2198" operator="containsText" text="Update not Provided">
      <formula>NOT(ISERROR(SEARCH("Update not Provided",E92)))</formula>
    </cfRule>
  </conditionalFormatting>
  <conditionalFormatting sqref="E101">
    <cfRule type="containsText" dxfId="2161" priority="2127" operator="containsText" text="On track to be achieved">
      <formula>NOT(ISERROR(SEARCH("On track to be achieved",E101)))</formula>
    </cfRule>
    <cfRule type="containsText" dxfId="2160" priority="2128" operator="containsText" text="Deferred">
      <formula>NOT(ISERROR(SEARCH("Deferred",E101)))</formula>
    </cfRule>
    <cfRule type="containsText" dxfId="2159" priority="2129" operator="containsText" text="Deleted">
      <formula>NOT(ISERROR(SEARCH("Deleted",E101)))</formula>
    </cfRule>
    <cfRule type="containsText" dxfId="2158" priority="2130" operator="containsText" text="In Danger of Falling Behind Target">
      <formula>NOT(ISERROR(SEARCH("In Danger of Falling Behind Target",E101)))</formula>
    </cfRule>
    <cfRule type="containsText" dxfId="2157" priority="2131" operator="containsText" text="Not yet due">
      <formula>NOT(ISERROR(SEARCH("Not yet due",E101)))</formula>
    </cfRule>
    <cfRule type="containsText" dxfId="2156" priority="2132" operator="containsText" text="Update not Provided">
      <formula>NOT(ISERROR(SEARCH("Update not Provided",E101)))</formula>
    </cfRule>
    <cfRule type="containsText" dxfId="2155" priority="2133" operator="containsText" text="Not yet due">
      <formula>NOT(ISERROR(SEARCH("Not yet due",E101)))</formula>
    </cfRule>
    <cfRule type="containsText" dxfId="2154" priority="2134" operator="containsText" text="Completed Behind Schedule">
      <formula>NOT(ISERROR(SEARCH("Completed Behind Schedule",E101)))</formula>
    </cfRule>
    <cfRule type="containsText" dxfId="2153" priority="2135" operator="containsText" text="Off Target">
      <formula>NOT(ISERROR(SEARCH("Off Target",E101)))</formula>
    </cfRule>
    <cfRule type="containsText" dxfId="2152" priority="2136" operator="containsText" text="On Track to be Achieved">
      <formula>NOT(ISERROR(SEARCH("On Track to be Achieved",E101)))</formula>
    </cfRule>
    <cfRule type="containsText" dxfId="2151" priority="2137" operator="containsText" text="Fully Achieved">
      <formula>NOT(ISERROR(SEARCH("Fully Achieved",E101)))</formula>
    </cfRule>
    <cfRule type="containsText" dxfId="2150" priority="2138" operator="containsText" text="Not yet due">
      <formula>NOT(ISERROR(SEARCH("Not yet due",E101)))</formula>
    </cfRule>
    <cfRule type="containsText" dxfId="2149" priority="2139" operator="containsText" text="Not Yet Due">
      <formula>NOT(ISERROR(SEARCH("Not Yet Due",E101)))</formula>
    </cfRule>
    <cfRule type="containsText" dxfId="2148" priority="2140" operator="containsText" text="Deferred">
      <formula>NOT(ISERROR(SEARCH("Deferred",E101)))</formula>
    </cfRule>
    <cfRule type="containsText" dxfId="2147" priority="2141" operator="containsText" text="Deleted">
      <formula>NOT(ISERROR(SEARCH("Deleted",E101)))</formula>
    </cfRule>
    <cfRule type="containsText" dxfId="2146" priority="2142" operator="containsText" text="In Danger of Falling Behind Target">
      <formula>NOT(ISERROR(SEARCH("In Danger of Falling Behind Target",E101)))</formula>
    </cfRule>
    <cfRule type="containsText" dxfId="2145" priority="2143" operator="containsText" text="Not yet due">
      <formula>NOT(ISERROR(SEARCH("Not yet due",E101)))</formula>
    </cfRule>
    <cfRule type="containsText" dxfId="2144" priority="2144" operator="containsText" text="Completed Behind Schedule">
      <formula>NOT(ISERROR(SEARCH("Completed Behind Schedule",E101)))</formula>
    </cfRule>
    <cfRule type="containsText" dxfId="2143" priority="2145" operator="containsText" text="Off Target">
      <formula>NOT(ISERROR(SEARCH("Off Target",E101)))</formula>
    </cfRule>
    <cfRule type="containsText" dxfId="2142" priority="2146" operator="containsText" text="In Danger of Falling Behind Target">
      <formula>NOT(ISERROR(SEARCH("In Danger of Falling Behind Target",E101)))</formula>
    </cfRule>
    <cfRule type="containsText" dxfId="2141" priority="2147" operator="containsText" text="On Track to be Achieved">
      <formula>NOT(ISERROR(SEARCH("On Track to be Achieved",E101)))</formula>
    </cfRule>
    <cfRule type="containsText" dxfId="2140" priority="2148" operator="containsText" text="Fully Achieved">
      <formula>NOT(ISERROR(SEARCH("Fully Achieved",E101)))</formula>
    </cfRule>
    <cfRule type="containsText" dxfId="2139" priority="2149" operator="containsText" text="Update not Provided">
      <formula>NOT(ISERROR(SEARCH("Update not Provided",E101)))</formula>
    </cfRule>
    <cfRule type="containsText" dxfId="2138" priority="2150" operator="containsText" text="Not yet due">
      <formula>NOT(ISERROR(SEARCH("Not yet due",E101)))</formula>
    </cfRule>
    <cfRule type="containsText" dxfId="2137" priority="2151" operator="containsText" text="Completed Behind Schedule">
      <formula>NOT(ISERROR(SEARCH("Completed Behind Schedule",E101)))</formula>
    </cfRule>
    <cfRule type="containsText" dxfId="2136" priority="2152" operator="containsText" text="Off Target">
      <formula>NOT(ISERROR(SEARCH("Off Target",E101)))</formula>
    </cfRule>
    <cfRule type="containsText" dxfId="2135" priority="2153" operator="containsText" text="In Danger of Falling Behind Target">
      <formula>NOT(ISERROR(SEARCH("In Danger of Falling Behind Target",E101)))</formula>
    </cfRule>
    <cfRule type="containsText" dxfId="2134" priority="2154" operator="containsText" text="On Track to be Achieved">
      <formula>NOT(ISERROR(SEARCH("On Track to be Achieved",E101)))</formula>
    </cfRule>
    <cfRule type="containsText" dxfId="2133" priority="2155" operator="containsText" text="Fully Achieved">
      <formula>NOT(ISERROR(SEARCH("Fully Achieved",E101)))</formula>
    </cfRule>
    <cfRule type="containsText" dxfId="2132" priority="2156" operator="containsText" text="Fully Achieved">
      <formula>NOT(ISERROR(SEARCH("Fully Achieved",E101)))</formula>
    </cfRule>
    <cfRule type="containsText" dxfId="2131" priority="2157" operator="containsText" text="Fully Achieved">
      <formula>NOT(ISERROR(SEARCH("Fully Achieved",E101)))</formula>
    </cfRule>
    <cfRule type="containsText" dxfId="2130" priority="2158" operator="containsText" text="Deferred">
      <formula>NOT(ISERROR(SEARCH("Deferred",E101)))</formula>
    </cfRule>
    <cfRule type="containsText" dxfId="2129" priority="2159" operator="containsText" text="Deleted">
      <formula>NOT(ISERROR(SEARCH("Deleted",E101)))</formula>
    </cfRule>
    <cfRule type="containsText" dxfId="2128" priority="2160" operator="containsText" text="In Danger of Falling Behind Target">
      <formula>NOT(ISERROR(SEARCH("In Danger of Falling Behind Target",E101)))</formula>
    </cfRule>
    <cfRule type="containsText" dxfId="2127" priority="2161" operator="containsText" text="Not yet due">
      <formula>NOT(ISERROR(SEARCH("Not yet due",E101)))</formula>
    </cfRule>
    <cfRule type="containsText" dxfId="2126" priority="2162" operator="containsText" text="Update not Provided">
      <formula>NOT(ISERROR(SEARCH("Update not Provided",E101)))</formula>
    </cfRule>
  </conditionalFormatting>
  <conditionalFormatting sqref="E102:E103">
    <cfRule type="containsText" dxfId="2125" priority="2091" operator="containsText" text="On track to be achieved">
      <formula>NOT(ISERROR(SEARCH("On track to be achieved",E102)))</formula>
    </cfRule>
    <cfRule type="containsText" dxfId="2124" priority="2092" operator="containsText" text="Deferred">
      <formula>NOT(ISERROR(SEARCH("Deferred",E102)))</formula>
    </cfRule>
    <cfRule type="containsText" dxfId="2123" priority="2093" operator="containsText" text="Deleted">
      <formula>NOT(ISERROR(SEARCH("Deleted",E102)))</formula>
    </cfRule>
    <cfRule type="containsText" dxfId="2122" priority="2094" operator="containsText" text="In Danger of Falling Behind Target">
      <formula>NOT(ISERROR(SEARCH("In Danger of Falling Behind Target",E102)))</formula>
    </cfRule>
    <cfRule type="containsText" dxfId="2121" priority="2095" operator="containsText" text="Not yet due">
      <formula>NOT(ISERROR(SEARCH("Not yet due",E102)))</formula>
    </cfRule>
    <cfRule type="containsText" dxfId="2120" priority="2096" operator="containsText" text="Update not Provided">
      <formula>NOT(ISERROR(SEARCH("Update not Provided",E102)))</formula>
    </cfRule>
    <cfRule type="containsText" dxfId="2119" priority="2097" operator="containsText" text="Not yet due">
      <formula>NOT(ISERROR(SEARCH("Not yet due",E102)))</formula>
    </cfRule>
    <cfRule type="containsText" dxfId="2118" priority="2098" operator="containsText" text="Completed Behind Schedule">
      <formula>NOT(ISERROR(SEARCH("Completed Behind Schedule",E102)))</formula>
    </cfRule>
    <cfRule type="containsText" dxfId="2117" priority="2099" operator="containsText" text="Off Target">
      <formula>NOT(ISERROR(SEARCH("Off Target",E102)))</formula>
    </cfRule>
    <cfRule type="containsText" dxfId="2116" priority="2100" operator="containsText" text="On Track to be Achieved">
      <formula>NOT(ISERROR(SEARCH("On Track to be Achieved",E102)))</formula>
    </cfRule>
    <cfRule type="containsText" dxfId="2115" priority="2101" operator="containsText" text="Fully Achieved">
      <formula>NOT(ISERROR(SEARCH("Fully Achieved",E102)))</formula>
    </cfRule>
    <cfRule type="containsText" dxfId="2114" priority="2102" operator="containsText" text="Not yet due">
      <formula>NOT(ISERROR(SEARCH("Not yet due",E102)))</formula>
    </cfRule>
    <cfRule type="containsText" dxfId="2113" priority="2103" operator="containsText" text="Not Yet Due">
      <formula>NOT(ISERROR(SEARCH("Not Yet Due",E102)))</formula>
    </cfRule>
    <cfRule type="containsText" dxfId="2112" priority="2104" operator="containsText" text="Deferred">
      <formula>NOT(ISERROR(SEARCH("Deferred",E102)))</formula>
    </cfRule>
    <cfRule type="containsText" dxfId="2111" priority="2105" operator="containsText" text="Deleted">
      <formula>NOT(ISERROR(SEARCH("Deleted",E102)))</formula>
    </cfRule>
    <cfRule type="containsText" dxfId="2110" priority="2106" operator="containsText" text="In Danger of Falling Behind Target">
      <formula>NOT(ISERROR(SEARCH("In Danger of Falling Behind Target",E102)))</formula>
    </cfRule>
    <cfRule type="containsText" dxfId="2109" priority="2107" operator="containsText" text="Not yet due">
      <formula>NOT(ISERROR(SEARCH("Not yet due",E102)))</formula>
    </cfRule>
    <cfRule type="containsText" dxfId="2108" priority="2108" operator="containsText" text="Completed Behind Schedule">
      <formula>NOT(ISERROR(SEARCH("Completed Behind Schedule",E102)))</formula>
    </cfRule>
    <cfRule type="containsText" dxfId="2107" priority="2109" operator="containsText" text="Off Target">
      <formula>NOT(ISERROR(SEARCH("Off Target",E102)))</formula>
    </cfRule>
    <cfRule type="containsText" dxfId="2106" priority="2110" operator="containsText" text="In Danger of Falling Behind Target">
      <formula>NOT(ISERROR(SEARCH("In Danger of Falling Behind Target",E102)))</formula>
    </cfRule>
    <cfRule type="containsText" dxfId="2105" priority="2111" operator="containsText" text="On Track to be Achieved">
      <formula>NOT(ISERROR(SEARCH("On Track to be Achieved",E102)))</formula>
    </cfRule>
    <cfRule type="containsText" dxfId="2104" priority="2112" operator="containsText" text="Fully Achieved">
      <formula>NOT(ISERROR(SEARCH("Fully Achieved",E102)))</formula>
    </cfRule>
    <cfRule type="containsText" dxfId="2103" priority="2113" operator="containsText" text="Update not Provided">
      <formula>NOT(ISERROR(SEARCH("Update not Provided",E102)))</formula>
    </cfRule>
    <cfRule type="containsText" dxfId="2102" priority="2114" operator="containsText" text="Not yet due">
      <formula>NOT(ISERROR(SEARCH("Not yet due",E102)))</formula>
    </cfRule>
    <cfRule type="containsText" dxfId="2101" priority="2115" operator="containsText" text="Completed Behind Schedule">
      <formula>NOT(ISERROR(SEARCH("Completed Behind Schedule",E102)))</formula>
    </cfRule>
    <cfRule type="containsText" dxfId="2100" priority="2116" operator="containsText" text="Off Target">
      <formula>NOT(ISERROR(SEARCH("Off Target",E102)))</formula>
    </cfRule>
    <cfRule type="containsText" dxfId="2099" priority="2117" operator="containsText" text="In Danger of Falling Behind Target">
      <formula>NOT(ISERROR(SEARCH("In Danger of Falling Behind Target",E102)))</formula>
    </cfRule>
    <cfRule type="containsText" dxfId="2098" priority="2118" operator="containsText" text="On Track to be Achieved">
      <formula>NOT(ISERROR(SEARCH("On Track to be Achieved",E102)))</formula>
    </cfRule>
    <cfRule type="containsText" dxfId="2097" priority="2119" operator="containsText" text="Fully Achieved">
      <formula>NOT(ISERROR(SEARCH("Fully Achieved",E102)))</formula>
    </cfRule>
    <cfRule type="containsText" dxfId="2096" priority="2120" operator="containsText" text="Fully Achieved">
      <formula>NOT(ISERROR(SEARCH("Fully Achieved",E102)))</formula>
    </cfRule>
    <cfRule type="containsText" dxfId="2095" priority="2121" operator="containsText" text="Fully Achieved">
      <formula>NOT(ISERROR(SEARCH("Fully Achieved",E102)))</formula>
    </cfRule>
    <cfRule type="containsText" dxfId="2094" priority="2122" operator="containsText" text="Deferred">
      <formula>NOT(ISERROR(SEARCH("Deferred",E102)))</formula>
    </cfRule>
    <cfRule type="containsText" dxfId="2093" priority="2123" operator="containsText" text="Deleted">
      <formula>NOT(ISERROR(SEARCH("Deleted",E102)))</formula>
    </cfRule>
    <cfRule type="containsText" dxfId="2092" priority="2124" operator="containsText" text="In Danger of Falling Behind Target">
      <formula>NOT(ISERROR(SEARCH("In Danger of Falling Behind Target",E102)))</formula>
    </cfRule>
    <cfRule type="containsText" dxfId="2091" priority="2125" operator="containsText" text="Not yet due">
      <formula>NOT(ISERROR(SEARCH("Not yet due",E102)))</formula>
    </cfRule>
    <cfRule type="containsText" dxfId="2090" priority="2126" operator="containsText" text="Update not Provided">
      <formula>NOT(ISERROR(SEARCH("Update not Provided",E102)))</formula>
    </cfRule>
  </conditionalFormatting>
  <conditionalFormatting sqref="E105:E106">
    <cfRule type="containsText" dxfId="2089" priority="2055" operator="containsText" text="On track to be achieved">
      <formula>NOT(ISERROR(SEARCH("On track to be achieved",E105)))</formula>
    </cfRule>
    <cfRule type="containsText" dxfId="2088" priority="2056" operator="containsText" text="Deferred">
      <formula>NOT(ISERROR(SEARCH("Deferred",E105)))</formula>
    </cfRule>
    <cfRule type="containsText" dxfId="2087" priority="2057" operator="containsText" text="Deleted">
      <formula>NOT(ISERROR(SEARCH("Deleted",E105)))</formula>
    </cfRule>
    <cfRule type="containsText" dxfId="2086" priority="2058" operator="containsText" text="In Danger of Falling Behind Target">
      <formula>NOT(ISERROR(SEARCH("In Danger of Falling Behind Target",E105)))</formula>
    </cfRule>
    <cfRule type="containsText" dxfId="2085" priority="2059" operator="containsText" text="Not yet due">
      <formula>NOT(ISERROR(SEARCH("Not yet due",E105)))</formula>
    </cfRule>
    <cfRule type="containsText" dxfId="2084" priority="2060" operator="containsText" text="Update not Provided">
      <formula>NOT(ISERROR(SEARCH("Update not Provided",E105)))</formula>
    </cfRule>
    <cfRule type="containsText" dxfId="2083" priority="2061" operator="containsText" text="Not yet due">
      <formula>NOT(ISERROR(SEARCH("Not yet due",E105)))</formula>
    </cfRule>
    <cfRule type="containsText" dxfId="2082" priority="2062" operator="containsText" text="Completed Behind Schedule">
      <formula>NOT(ISERROR(SEARCH("Completed Behind Schedule",E105)))</formula>
    </cfRule>
    <cfRule type="containsText" dxfId="2081" priority="2063" operator="containsText" text="Off Target">
      <formula>NOT(ISERROR(SEARCH("Off Target",E105)))</formula>
    </cfRule>
    <cfRule type="containsText" dxfId="2080" priority="2064" operator="containsText" text="On Track to be Achieved">
      <formula>NOT(ISERROR(SEARCH("On Track to be Achieved",E105)))</formula>
    </cfRule>
    <cfRule type="containsText" dxfId="2079" priority="2065" operator="containsText" text="Fully Achieved">
      <formula>NOT(ISERROR(SEARCH("Fully Achieved",E105)))</formula>
    </cfRule>
    <cfRule type="containsText" dxfId="2078" priority="2066" operator="containsText" text="Not yet due">
      <formula>NOT(ISERROR(SEARCH("Not yet due",E105)))</formula>
    </cfRule>
    <cfRule type="containsText" dxfId="2077" priority="2067" operator="containsText" text="Not Yet Due">
      <formula>NOT(ISERROR(SEARCH("Not Yet Due",E105)))</formula>
    </cfRule>
    <cfRule type="containsText" dxfId="2076" priority="2068" operator="containsText" text="Deferred">
      <formula>NOT(ISERROR(SEARCH("Deferred",E105)))</formula>
    </cfRule>
    <cfRule type="containsText" dxfId="2075" priority="2069" operator="containsText" text="Deleted">
      <formula>NOT(ISERROR(SEARCH("Deleted",E105)))</formula>
    </cfRule>
    <cfRule type="containsText" dxfId="2074" priority="2070" operator="containsText" text="In Danger of Falling Behind Target">
      <formula>NOT(ISERROR(SEARCH("In Danger of Falling Behind Target",E105)))</formula>
    </cfRule>
    <cfRule type="containsText" dxfId="2073" priority="2071" operator="containsText" text="Not yet due">
      <formula>NOT(ISERROR(SEARCH("Not yet due",E105)))</formula>
    </cfRule>
    <cfRule type="containsText" dxfId="2072" priority="2072" operator="containsText" text="Completed Behind Schedule">
      <formula>NOT(ISERROR(SEARCH("Completed Behind Schedule",E105)))</formula>
    </cfRule>
    <cfRule type="containsText" dxfId="2071" priority="2073" operator="containsText" text="Off Target">
      <formula>NOT(ISERROR(SEARCH("Off Target",E105)))</formula>
    </cfRule>
    <cfRule type="containsText" dxfId="2070" priority="2074" operator="containsText" text="In Danger of Falling Behind Target">
      <formula>NOT(ISERROR(SEARCH("In Danger of Falling Behind Target",E105)))</formula>
    </cfRule>
    <cfRule type="containsText" dxfId="2069" priority="2075" operator="containsText" text="On Track to be Achieved">
      <formula>NOT(ISERROR(SEARCH("On Track to be Achieved",E105)))</formula>
    </cfRule>
    <cfRule type="containsText" dxfId="2068" priority="2076" operator="containsText" text="Fully Achieved">
      <formula>NOT(ISERROR(SEARCH("Fully Achieved",E105)))</formula>
    </cfRule>
    <cfRule type="containsText" dxfId="2067" priority="2077" operator="containsText" text="Update not Provided">
      <formula>NOT(ISERROR(SEARCH("Update not Provided",E105)))</formula>
    </cfRule>
    <cfRule type="containsText" dxfId="2066" priority="2078" operator="containsText" text="Not yet due">
      <formula>NOT(ISERROR(SEARCH("Not yet due",E105)))</formula>
    </cfRule>
    <cfRule type="containsText" dxfId="2065" priority="2079" operator="containsText" text="Completed Behind Schedule">
      <formula>NOT(ISERROR(SEARCH("Completed Behind Schedule",E105)))</formula>
    </cfRule>
    <cfRule type="containsText" dxfId="2064" priority="2080" operator="containsText" text="Off Target">
      <formula>NOT(ISERROR(SEARCH("Off Target",E105)))</formula>
    </cfRule>
    <cfRule type="containsText" dxfId="2063" priority="2081" operator="containsText" text="In Danger of Falling Behind Target">
      <formula>NOT(ISERROR(SEARCH("In Danger of Falling Behind Target",E105)))</formula>
    </cfRule>
    <cfRule type="containsText" dxfId="2062" priority="2082" operator="containsText" text="On Track to be Achieved">
      <formula>NOT(ISERROR(SEARCH("On Track to be Achieved",E105)))</formula>
    </cfRule>
    <cfRule type="containsText" dxfId="2061" priority="2083" operator="containsText" text="Fully Achieved">
      <formula>NOT(ISERROR(SEARCH("Fully Achieved",E105)))</formula>
    </cfRule>
    <cfRule type="containsText" dxfId="2060" priority="2084" operator="containsText" text="Fully Achieved">
      <formula>NOT(ISERROR(SEARCH("Fully Achieved",E105)))</formula>
    </cfRule>
    <cfRule type="containsText" dxfId="2059" priority="2085" operator="containsText" text="Fully Achieved">
      <formula>NOT(ISERROR(SEARCH("Fully Achieved",E105)))</formula>
    </cfRule>
    <cfRule type="containsText" dxfId="2058" priority="2086" operator="containsText" text="Deferred">
      <formula>NOT(ISERROR(SEARCH("Deferred",E105)))</formula>
    </cfRule>
    <cfRule type="containsText" dxfId="2057" priority="2087" operator="containsText" text="Deleted">
      <formula>NOT(ISERROR(SEARCH("Deleted",E105)))</formula>
    </cfRule>
    <cfRule type="containsText" dxfId="2056" priority="2088" operator="containsText" text="In Danger of Falling Behind Target">
      <formula>NOT(ISERROR(SEARCH("In Danger of Falling Behind Target",E105)))</formula>
    </cfRule>
    <cfRule type="containsText" dxfId="2055" priority="2089" operator="containsText" text="Not yet due">
      <formula>NOT(ISERROR(SEARCH("Not yet due",E105)))</formula>
    </cfRule>
    <cfRule type="containsText" dxfId="2054" priority="2090" operator="containsText" text="Update not Provided">
      <formula>NOT(ISERROR(SEARCH("Update not Provided",E105)))</formula>
    </cfRule>
  </conditionalFormatting>
  <conditionalFormatting sqref="E108">
    <cfRule type="containsText" dxfId="2053" priority="2019" operator="containsText" text="On track to be achieved">
      <formula>NOT(ISERROR(SEARCH("On track to be achieved",E108)))</formula>
    </cfRule>
    <cfRule type="containsText" dxfId="2052" priority="2020" operator="containsText" text="Deferred">
      <formula>NOT(ISERROR(SEARCH("Deferred",E108)))</formula>
    </cfRule>
    <cfRule type="containsText" dxfId="2051" priority="2021" operator="containsText" text="Deleted">
      <formula>NOT(ISERROR(SEARCH("Deleted",E108)))</formula>
    </cfRule>
    <cfRule type="containsText" dxfId="2050" priority="2022" operator="containsText" text="In Danger of Falling Behind Target">
      <formula>NOT(ISERROR(SEARCH("In Danger of Falling Behind Target",E108)))</formula>
    </cfRule>
    <cfRule type="containsText" dxfId="2049" priority="2023" operator="containsText" text="Not yet due">
      <formula>NOT(ISERROR(SEARCH("Not yet due",E108)))</formula>
    </cfRule>
    <cfRule type="containsText" dxfId="2048" priority="2024" operator="containsText" text="Update not Provided">
      <formula>NOT(ISERROR(SEARCH("Update not Provided",E108)))</formula>
    </cfRule>
    <cfRule type="containsText" dxfId="2047" priority="2025" operator="containsText" text="Not yet due">
      <formula>NOT(ISERROR(SEARCH("Not yet due",E108)))</formula>
    </cfRule>
    <cfRule type="containsText" dxfId="2046" priority="2026" operator="containsText" text="Completed Behind Schedule">
      <formula>NOT(ISERROR(SEARCH("Completed Behind Schedule",E108)))</formula>
    </cfRule>
    <cfRule type="containsText" dxfId="2045" priority="2027" operator="containsText" text="Off Target">
      <formula>NOT(ISERROR(SEARCH("Off Target",E108)))</formula>
    </cfRule>
    <cfRule type="containsText" dxfId="2044" priority="2028" operator="containsText" text="On Track to be Achieved">
      <formula>NOT(ISERROR(SEARCH("On Track to be Achieved",E108)))</formula>
    </cfRule>
    <cfRule type="containsText" dxfId="2043" priority="2029" operator="containsText" text="Fully Achieved">
      <formula>NOT(ISERROR(SEARCH("Fully Achieved",E108)))</formula>
    </cfRule>
    <cfRule type="containsText" dxfId="2042" priority="2030" operator="containsText" text="Not yet due">
      <formula>NOT(ISERROR(SEARCH("Not yet due",E108)))</formula>
    </cfRule>
    <cfRule type="containsText" dxfId="2041" priority="2031" operator="containsText" text="Not Yet Due">
      <formula>NOT(ISERROR(SEARCH("Not Yet Due",E108)))</formula>
    </cfRule>
    <cfRule type="containsText" dxfId="2040" priority="2032" operator="containsText" text="Deferred">
      <formula>NOT(ISERROR(SEARCH("Deferred",E108)))</formula>
    </cfRule>
    <cfRule type="containsText" dxfId="2039" priority="2033" operator="containsText" text="Deleted">
      <formula>NOT(ISERROR(SEARCH("Deleted",E108)))</formula>
    </cfRule>
    <cfRule type="containsText" dxfId="2038" priority="2034" operator="containsText" text="In Danger of Falling Behind Target">
      <formula>NOT(ISERROR(SEARCH("In Danger of Falling Behind Target",E108)))</formula>
    </cfRule>
    <cfRule type="containsText" dxfId="2037" priority="2035" operator="containsText" text="Not yet due">
      <formula>NOT(ISERROR(SEARCH("Not yet due",E108)))</formula>
    </cfRule>
    <cfRule type="containsText" dxfId="2036" priority="2036" operator="containsText" text="Completed Behind Schedule">
      <formula>NOT(ISERROR(SEARCH("Completed Behind Schedule",E108)))</formula>
    </cfRule>
    <cfRule type="containsText" dxfId="2035" priority="2037" operator="containsText" text="Off Target">
      <formula>NOT(ISERROR(SEARCH("Off Target",E108)))</formula>
    </cfRule>
    <cfRule type="containsText" dxfId="2034" priority="2038" operator="containsText" text="In Danger of Falling Behind Target">
      <formula>NOT(ISERROR(SEARCH("In Danger of Falling Behind Target",E108)))</formula>
    </cfRule>
    <cfRule type="containsText" dxfId="2033" priority="2039" operator="containsText" text="On Track to be Achieved">
      <formula>NOT(ISERROR(SEARCH("On Track to be Achieved",E108)))</formula>
    </cfRule>
    <cfRule type="containsText" dxfId="2032" priority="2040" operator="containsText" text="Fully Achieved">
      <formula>NOT(ISERROR(SEARCH("Fully Achieved",E108)))</formula>
    </cfRule>
    <cfRule type="containsText" dxfId="2031" priority="2041" operator="containsText" text="Update not Provided">
      <formula>NOT(ISERROR(SEARCH("Update not Provided",E108)))</formula>
    </cfRule>
    <cfRule type="containsText" dxfId="2030" priority="2042" operator="containsText" text="Not yet due">
      <formula>NOT(ISERROR(SEARCH("Not yet due",E108)))</formula>
    </cfRule>
    <cfRule type="containsText" dxfId="2029" priority="2043" operator="containsText" text="Completed Behind Schedule">
      <formula>NOT(ISERROR(SEARCH("Completed Behind Schedule",E108)))</formula>
    </cfRule>
    <cfRule type="containsText" dxfId="2028" priority="2044" operator="containsText" text="Off Target">
      <formula>NOT(ISERROR(SEARCH("Off Target",E108)))</formula>
    </cfRule>
    <cfRule type="containsText" dxfId="2027" priority="2045" operator="containsText" text="In Danger of Falling Behind Target">
      <formula>NOT(ISERROR(SEARCH("In Danger of Falling Behind Target",E108)))</formula>
    </cfRule>
    <cfRule type="containsText" dxfId="2026" priority="2046" operator="containsText" text="On Track to be Achieved">
      <formula>NOT(ISERROR(SEARCH("On Track to be Achieved",E108)))</formula>
    </cfRule>
    <cfRule type="containsText" dxfId="2025" priority="2047" operator="containsText" text="Fully Achieved">
      <formula>NOT(ISERROR(SEARCH("Fully Achieved",E108)))</formula>
    </cfRule>
    <cfRule type="containsText" dxfId="2024" priority="2048" operator="containsText" text="Fully Achieved">
      <formula>NOT(ISERROR(SEARCH("Fully Achieved",E108)))</formula>
    </cfRule>
    <cfRule type="containsText" dxfId="2023" priority="2049" operator="containsText" text="Fully Achieved">
      <formula>NOT(ISERROR(SEARCH("Fully Achieved",E108)))</formula>
    </cfRule>
    <cfRule type="containsText" dxfId="2022" priority="2050" operator="containsText" text="Deferred">
      <formula>NOT(ISERROR(SEARCH("Deferred",E108)))</formula>
    </cfRule>
    <cfRule type="containsText" dxfId="2021" priority="2051" operator="containsText" text="Deleted">
      <formula>NOT(ISERROR(SEARCH("Deleted",E108)))</formula>
    </cfRule>
    <cfRule type="containsText" dxfId="2020" priority="2052" operator="containsText" text="In Danger of Falling Behind Target">
      <formula>NOT(ISERROR(SEARCH("In Danger of Falling Behind Target",E108)))</formula>
    </cfRule>
    <cfRule type="containsText" dxfId="2019" priority="2053" operator="containsText" text="Not yet due">
      <formula>NOT(ISERROR(SEARCH("Not yet due",E108)))</formula>
    </cfRule>
    <cfRule type="containsText" dxfId="2018" priority="2054" operator="containsText" text="Update not Provided">
      <formula>NOT(ISERROR(SEARCH("Update not Provided",E108)))</formula>
    </cfRule>
  </conditionalFormatting>
  <conditionalFormatting sqref="E111:E115">
    <cfRule type="containsText" dxfId="2017" priority="1983" operator="containsText" text="On track to be achieved">
      <formula>NOT(ISERROR(SEARCH("On track to be achieved",E111)))</formula>
    </cfRule>
    <cfRule type="containsText" dxfId="2016" priority="1984" operator="containsText" text="Deferred">
      <formula>NOT(ISERROR(SEARCH("Deferred",E111)))</formula>
    </cfRule>
    <cfRule type="containsText" dxfId="2015" priority="1985" operator="containsText" text="Deleted">
      <formula>NOT(ISERROR(SEARCH("Deleted",E111)))</formula>
    </cfRule>
    <cfRule type="containsText" dxfId="2014" priority="1986" operator="containsText" text="In Danger of Falling Behind Target">
      <formula>NOT(ISERROR(SEARCH("In Danger of Falling Behind Target",E111)))</formula>
    </cfRule>
    <cfRule type="containsText" dxfId="2013" priority="1987" operator="containsText" text="Not yet due">
      <formula>NOT(ISERROR(SEARCH("Not yet due",E111)))</formula>
    </cfRule>
    <cfRule type="containsText" dxfId="2012" priority="1988" operator="containsText" text="Update not Provided">
      <formula>NOT(ISERROR(SEARCH("Update not Provided",E111)))</formula>
    </cfRule>
    <cfRule type="containsText" dxfId="2011" priority="1989" operator="containsText" text="Not yet due">
      <formula>NOT(ISERROR(SEARCH("Not yet due",E111)))</formula>
    </cfRule>
    <cfRule type="containsText" dxfId="2010" priority="1990" operator="containsText" text="Completed Behind Schedule">
      <formula>NOT(ISERROR(SEARCH("Completed Behind Schedule",E111)))</formula>
    </cfRule>
    <cfRule type="containsText" dxfId="2009" priority="1991" operator="containsText" text="Off Target">
      <formula>NOT(ISERROR(SEARCH("Off Target",E111)))</formula>
    </cfRule>
    <cfRule type="containsText" dxfId="2008" priority="1992" operator="containsText" text="On Track to be Achieved">
      <formula>NOT(ISERROR(SEARCH("On Track to be Achieved",E111)))</formula>
    </cfRule>
    <cfRule type="containsText" dxfId="2007" priority="1993" operator="containsText" text="Fully Achieved">
      <formula>NOT(ISERROR(SEARCH("Fully Achieved",E111)))</formula>
    </cfRule>
    <cfRule type="containsText" dxfId="2006" priority="1994" operator="containsText" text="Not yet due">
      <formula>NOT(ISERROR(SEARCH("Not yet due",E111)))</formula>
    </cfRule>
    <cfRule type="containsText" dxfId="2005" priority="1995" operator="containsText" text="Not Yet Due">
      <formula>NOT(ISERROR(SEARCH("Not Yet Due",E111)))</formula>
    </cfRule>
    <cfRule type="containsText" dxfId="2004" priority="1996" operator="containsText" text="Deferred">
      <formula>NOT(ISERROR(SEARCH("Deferred",E111)))</formula>
    </cfRule>
    <cfRule type="containsText" dxfId="2003" priority="1997" operator="containsText" text="Deleted">
      <formula>NOT(ISERROR(SEARCH("Deleted",E111)))</formula>
    </cfRule>
    <cfRule type="containsText" dxfId="2002" priority="1998" operator="containsText" text="In Danger of Falling Behind Target">
      <formula>NOT(ISERROR(SEARCH("In Danger of Falling Behind Target",E111)))</formula>
    </cfRule>
    <cfRule type="containsText" dxfId="2001" priority="1999" operator="containsText" text="Not yet due">
      <formula>NOT(ISERROR(SEARCH("Not yet due",E111)))</formula>
    </cfRule>
    <cfRule type="containsText" dxfId="2000" priority="2000" operator="containsText" text="Completed Behind Schedule">
      <formula>NOT(ISERROR(SEARCH("Completed Behind Schedule",E111)))</formula>
    </cfRule>
    <cfRule type="containsText" dxfId="1999" priority="2001" operator="containsText" text="Off Target">
      <formula>NOT(ISERROR(SEARCH("Off Target",E111)))</formula>
    </cfRule>
    <cfRule type="containsText" dxfId="1998" priority="2002" operator="containsText" text="In Danger of Falling Behind Target">
      <formula>NOT(ISERROR(SEARCH("In Danger of Falling Behind Target",E111)))</formula>
    </cfRule>
    <cfRule type="containsText" dxfId="1997" priority="2003" operator="containsText" text="On Track to be Achieved">
      <formula>NOT(ISERROR(SEARCH("On Track to be Achieved",E111)))</formula>
    </cfRule>
    <cfRule type="containsText" dxfId="1996" priority="2004" operator="containsText" text="Fully Achieved">
      <formula>NOT(ISERROR(SEARCH("Fully Achieved",E111)))</formula>
    </cfRule>
    <cfRule type="containsText" dxfId="1995" priority="2005" operator="containsText" text="Update not Provided">
      <formula>NOT(ISERROR(SEARCH("Update not Provided",E111)))</formula>
    </cfRule>
    <cfRule type="containsText" dxfId="1994" priority="2006" operator="containsText" text="Not yet due">
      <formula>NOT(ISERROR(SEARCH("Not yet due",E111)))</formula>
    </cfRule>
    <cfRule type="containsText" dxfId="1993" priority="2007" operator="containsText" text="Completed Behind Schedule">
      <formula>NOT(ISERROR(SEARCH("Completed Behind Schedule",E111)))</formula>
    </cfRule>
    <cfRule type="containsText" dxfId="1992" priority="2008" operator="containsText" text="Off Target">
      <formula>NOT(ISERROR(SEARCH("Off Target",E111)))</formula>
    </cfRule>
    <cfRule type="containsText" dxfId="1991" priority="2009" operator="containsText" text="In Danger of Falling Behind Target">
      <formula>NOT(ISERROR(SEARCH("In Danger of Falling Behind Target",E111)))</formula>
    </cfRule>
    <cfRule type="containsText" dxfId="1990" priority="2010" operator="containsText" text="On Track to be Achieved">
      <formula>NOT(ISERROR(SEARCH("On Track to be Achieved",E111)))</formula>
    </cfRule>
    <cfRule type="containsText" dxfId="1989" priority="2011" operator="containsText" text="Fully Achieved">
      <formula>NOT(ISERROR(SEARCH("Fully Achieved",E111)))</formula>
    </cfRule>
    <cfRule type="containsText" dxfId="1988" priority="2012" operator="containsText" text="Fully Achieved">
      <formula>NOT(ISERROR(SEARCH("Fully Achieved",E111)))</formula>
    </cfRule>
    <cfRule type="containsText" dxfId="1987" priority="2013" operator="containsText" text="Fully Achieved">
      <formula>NOT(ISERROR(SEARCH("Fully Achieved",E111)))</formula>
    </cfRule>
    <cfRule type="containsText" dxfId="1986" priority="2014" operator="containsText" text="Deferred">
      <formula>NOT(ISERROR(SEARCH("Deferred",E111)))</formula>
    </cfRule>
    <cfRule type="containsText" dxfId="1985" priority="2015" operator="containsText" text="Deleted">
      <formula>NOT(ISERROR(SEARCH("Deleted",E111)))</formula>
    </cfRule>
    <cfRule type="containsText" dxfId="1984" priority="2016" operator="containsText" text="In Danger of Falling Behind Target">
      <formula>NOT(ISERROR(SEARCH("In Danger of Falling Behind Target",E111)))</formula>
    </cfRule>
    <cfRule type="containsText" dxfId="1983" priority="2017" operator="containsText" text="Not yet due">
      <formula>NOT(ISERROR(SEARCH("Not yet due",E111)))</formula>
    </cfRule>
    <cfRule type="containsText" dxfId="1982" priority="2018" operator="containsText" text="Update not Provided">
      <formula>NOT(ISERROR(SEARCH("Update not Provided",E111)))</formula>
    </cfRule>
  </conditionalFormatting>
  <conditionalFormatting sqref="E107">
    <cfRule type="containsText" dxfId="1981" priority="1947" operator="containsText" text="On track to be achieved">
      <formula>NOT(ISERROR(SEARCH("On track to be achieved",E107)))</formula>
    </cfRule>
    <cfRule type="containsText" dxfId="1980" priority="1948" operator="containsText" text="Deferred">
      <formula>NOT(ISERROR(SEARCH("Deferred",E107)))</formula>
    </cfRule>
    <cfRule type="containsText" dxfId="1979" priority="1949" operator="containsText" text="Deleted">
      <formula>NOT(ISERROR(SEARCH("Deleted",E107)))</formula>
    </cfRule>
    <cfRule type="containsText" dxfId="1978" priority="1950" operator="containsText" text="In Danger of Falling Behind Target">
      <formula>NOT(ISERROR(SEARCH("In Danger of Falling Behind Target",E107)))</formula>
    </cfRule>
    <cfRule type="containsText" dxfId="1977" priority="1951" operator="containsText" text="Not yet due">
      <formula>NOT(ISERROR(SEARCH("Not yet due",E107)))</formula>
    </cfRule>
    <cfRule type="containsText" dxfId="1976" priority="1952" operator="containsText" text="Update not Provided">
      <formula>NOT(ISERROR(SEARCH("Update not Provided",E107)))</formula>
    </cfRule>
    <cfRule type="containsText" dxfId="1975" priority="1953" operator="containsText" text="Not yet due">
      <formula>NOT(ISERROR(SEARCH("Not yet due",E107)))</formula>
    </cfRule>
    <cfRule type="containsText" dxfId="1974" priority="1954" operator="containsText" text="Completed Behind Schedule">
      <formula>NOT(ISERROR(SEARCH("Completed Behind Schedule",E107)))</formula>
    </cfRule>
    <cfRule type="containsText" dxfId="1973" priority="1955" operator="containsText" text="Off Target">
      <formula>NOT(ISERROR(SEARCH("Off Target",E107)))</formula>
    </cfRule>
    <cfRule type="containsText" dxfId="1972" priority="1956" operator="containsText" text="On Track to be Achieved">
      <formula>NOT(ISERROR(SEARCH("On Track to be Achieved",E107)))</formula>
    </cfRule>
    <cfRule type="containsText" dxfId="1971" priority="1957" operator="containsText" text="Fully Achieved">
      <formula>NOT(ISERROR(SEARCH("Fully Achieved",E107)))</formula>
    </cfRule>
    <cfRule type="containsText" dxfId="1970" priority="1958" operator="containsText" text="Not yet due">
      <formula>NOT(ISERROR(SEARCH("Not yet due",E107)))</formula>
    </cfRule>
    <cfRule type="containsText" dxfId="1969" priority="1959" operator="containsText" text="Not Yet Due">
      <formula>NOT(ISERROR(SEARCH("Not Yet Due",E107)))</formula>
    </cfRule>
    <cfRule type="containsText" dxfId="1968" priority="1960" operator="containsText" text="Deferred">
      <formula>NOT(ISERROR(SEARCH("Deferred",E107)))</formula>
    </cfRule>
    <cfRule type="containsText" dxfId="1967" priority="1961" operator="containsText" text="Deleted">
      <formula>NOT(ISERROR(SEARCH("Deleted",E107)))</formula>
    </cfRule>
    <cfRule type="containsText" dxfId="1966" priority="1962" operator="containsText" text="In Danger of Falling Behind Target">
      <formula>NOT(ISERROR(SEARCH("In Danger of Falling Behind Target",E107)))</formula>
    </cfRule>
    <cfRule type="containsText" dxfId="1965" priority="1963" operator="containsText" text="Not yet due">
      <formula>NOT(ISERROR(SEARCH("Not yet due",E107)))</formula>
    </cfRule>
    <cfRule type="containsText" dxfId="1964" priority="1964" operator="containsText" text="Completed Behind Schedule">
      <formula>NOT(ISERROR(SEARCH("Completed Behind Schedule",E107)))</formula>
    </cfRule>
    <cfRule type="containsText" dxfId="1963" priority="1965" operator="containsText" text="Off Target">
      <formula>NOT(ISERROR(SEARCH("Off Target",E107)))</formula>
    </cfRule>
    <cfRule type="containsText" dxfId="1962" priority="1966" operator="containsText" text="In Danger of Falling Behind Target">
      <formula>NOT(ISERROR(SEARCH("In Danger of Falling Behind Target",E107)))</formula>
    </cfRule>
    <cfRule type="containsText" dxfId="1961" priority="1967" operator="containsText" text="On Track to be Achieved">
      <formula>NOT(ISERROR(SEARCH("On Track to be Achieved",E107)))</formula>
    </cfRule>
    <cfRule type="containsText" dxfId="1960" priority="1968" operator="containsText" text="Fully Achieved">
      <formula>NOT(ISERROR(SEARCH("Fully Achieved",E107)))</formula>
    </cfRule>
    <cfRule type="containsText" dxfId="1959" priority="1969" operator="containsText" text="Update not Provided">
      <formula>NOT(ISERROR(SEARCH("Update not Provided",E107)))</formula>
    </cfRule>
    <cfRule type="containsText" dxfId="1958" priority="1970" operator="containsText" text="Not yet due">
      <formula>NOT(ISERROR(SEARCH("Not yet due",E107)))</formula>
    </cfRule>
    <cfRule type="containsText" dxfId="1957" priority="1971" operator="containsText" text="Completed Behind Schedule">
      <formula>NOT(ISERROR(SEARCH("Completed Behind Schedule",E107)))</formula>
    </cfRule>
    <cfRule type="containsText" dxfId="1956" priority="1972" operator="containsText" text="Off Target">
      <formula>NOT(ISERROR(SEARCH("Off Target",E107)))</formula>
    </cfRule>
    <cfRule type="containsText" dxfId="1955" priority="1973" operator="containsText" text="In Danger of Falling Behind Target">
      <formula>NOT(ISERROR(SEARCH("In Danger of Falling Behind Target",E107)))</formula>
    </cfRule>
    <cfRule type="containsText" dxfId="1954" priority="1974" operator="containsText" text="On Track to be Achieved">
      <formula>NOT(ISERROR(SEARCH("On Track to be Achieved",E107)))</formula>
    </cfRule>
    <cfRule type="containsText" dxfId="1953" priority="1975" operator="containsText" text="Fully Achieved">
      <formula>NOT(ISERROR(SEARCH("Fully Achieved",E107)))</formula>
    </cfRule>
    <cfRule type="containsText" dxfId="1952" priority="1976" operator="containsText" text="Fully Achieved">
      <formula>NOT(ISERROR(SEARCH("Fully Achieved",E107)))</formula>
    </cfRule>
    <cfRule type="containsText" dxfId="1951" priority="1977" operator="containsText" text="Fully Achieved">
      <formula>NOT(ISERROR(SEARCH("Fully Achieved",E107)))</formula>
    </cfRule>
    <cfRule type="containsText" dxfId="1950" priority="1978" operator="containsText" text="Deferred">
      <formula>NOT(ISERROR(SEARCH("Deferred",E107)))</formula>
    </cfRule>
    <cfRule type="containsText" dxfId="1949" priority="1979" operator="containsText" text="Deleted">
      <formula>NOT(ISERROR(SEARCH("Deleted",E107)))</formula>
    </cfRule>
    <cfRule type="containsText" dxfId="1948" priority="1980" operator="containsText" text="In Danger of Falling Behind Target">
      <formula>NOT(ISERROR(SEARCH("In Danger of Falling Behind Target",E107)))</formula>
    </cfRule>
    <cfRule type="containsText" dxfId="1947" priority="1981" operator="containsText" text="Not yet due">
      <formula>NOT(ISERROR(SEARCH("Not yet due",E107)))</formula>
    </cfRule>
    <cfRule type="containsText" dxfId="1946" priority="1982" operator="containsText" text="Update not Provided">
      <formula>NOT(ISERROR(SEARCH("Update not Provided",E107)))</formula>
    </cfRule>
  </conditionalFormatting>
  <conditionalFormatting sqref="E14">
    <cfRule type="containsText" dxfId="1945" priority="1911" operator="containsText" text="On track to be achieved">
      <formula>NOT(ISERROR(SEARCH("On track to be achieved",E14)))</formula>
    </cfRule>
    <cfRule type="containsText" dxfId="1944" priority="1912" operator="containsText" text="Deferred">
      <formula>NOT(ISERROR(SEARCH("Deferred",E14)))</formula>
    </cfRule>
    <cfRule type="containsText" dxfId="1943" priority="1913" operator="containsText" text="Deleted">
      <formula>NOT(ISERROR(SEARCH("Deleted",E14)))</formula>
    </cfRule>
    <cfRule type="containsText" dxfId="1942" priority="1914" operator="containsText" text="In Danger of Falling Behind Target">
      <formula>NOT(ISERROR(SEARCH("In Danger of Falling Behind Target",E14)))</formula>
    </cfRule>
    <cfRule type="containsText" dxfId="1941" priority="1915" operator="containsText" text="Not yet due">
      <formula>NOT(ISERROR(SEARCH("Not yet due",E14)))</formula>
    </cfRule>
    <cfRule type="containsText" dxfId="1940" priority="1916" operator="containsText" text="Update not Provided">
      <formula>NOT(ISERROR(SEARCH("Update not Provided",E14)))</formula>
    </cfRule>
    <cfRule type="containsText" dxfId="1939" priority="1917" operator="containsText" text="Not yet due">
      <formula>NOT(ISERROR(SEARCH("Not yet due",E14)))</formula>
    </cfRule>
    <cfRule type="containsText" dxfId="1938" priority="1918" operator="containsText" text="Completed Behind Schedule">
      <formula>NOT(ISERROR(SEARCH("Completed Behind Schedule",E14)))</formula>
    </cfRule>
    <cfRule type="containsText" dxfId="1937" priority="1919" operator="containsText" text="Off Target">
      <formula>NOT(ISERROR(SEARCH("Off Target",E14)))</formula>
    </cfRule>
    <cfRule type="containsText" dxfId="1936" priority="1920" operator="containsText" text="On Track to be Achieved">
      <formula>NOT(ISERROR(SEARCH("On Track to be Achieved",E14)))</formula>
    </cfRule>
    <cfRule type="containsText" dxfId="1935" priority="1921" operator="containsText" text="Fully Achieved">
      <formula>NOT(ISERROR(SEARCH("Fully Achieved",E14)))</formula>
    </cfRule>
    <cfRule type="containsText" dxfId="1934" priority="1922" operator="containsText" text="Not yet due">
      <formula>NOT(ISERROR(SEARCH("Not yet due",E14)))</formula>
    </cfRule>
    <cfRule type="containsText" dxfId="1933" priority="1923" operator="containsText" text="Not Yet Due">
      <formula>NOT(ISERROR(SEARCH("Not Yet Due",E14)))</formula>
    </cfRule>
    <cfRule type="containsText" dxfId="1932" priority="1924" operator="containsText" text="Deferred">
      <formula>NOT(ISERROR(SEARCH("Deferred",E14)))</formula>
    </cfRule>
    <cfRule type="containsText" dxfId="1931" priority="1925" operator="containsText" text="Deleted">
      <formula>NOT(ISERROR(SEARCH("Deleted",E14)))</formula>
    </cfRule>
    <cfRule type="containsText" dxfId="1930" priority="1926" operator="containsText" text="In Danger of Falling Behind Target">
      <formula>NOT(ISERROR(SEARCH("In Danger of Falling Behind Target",E14)))</formula>
    </cfRule>
    <cfRule type="containsText" dxfId="1929" priority="1927" operator="containsText" text="Not yet due">
      <formula>NOT(ISERROR(SEARCH("Not yet due",E14)))</formula>
    </cfRule>
    <cfRule type="containsText" dxfId="1928" priority="1928" operator="containsText" text="Completed Behind Schedule">
      <formula>NOT(ISERROR(SEARCH("Completed Behind Schedule",E14)))</formula>
    </cfRule>
    <cfRule type="containsText" dxfId="1927" priority="1929" operator="containsText" text="Off Target">
      <formula>NOT(ISERROR(SEARCH("Off Target",E14)))</formula>
    </cfRule>
    <cfRule type="containsText" dxfId="1926" priority="1930" operator="containsText" text="In Danger of Falling Behind Target">
      <formula>NOT(ISERROR(SEARCH("In Danger of Falling Behind Target",E14)))</formula>
    </cfRule>
    <cfRule type="containsText" dxfId="1925" priority="1931" operator="containsText" text="On Track to be Achieved">
      <formula>NOT(ISERROR(SEARCH("On Track to be Achieved",E14)))</formula>
    </cfRule>
    <cfRule type="containsText" dxfId="1924" priority="1932" operator="containsText" text="Fully Achieved">
      <formula>NOT(ISERROR(SEARCH("Fully Achieved",E14)))</formula>
    </cfRule>
    <cfRule type="containsText" dxfId="1923" priority="1933" operator="containsText" text="Update not Provided">
      <formula>NOT(ISERROR(SEARCH("Update not Provided",E14)))</formula>
    </cfRule>
    <cfRule type="containsText" dxfId="1922" priority="1934" operator="containsText" text="Not yet due">
      <formula>NOT(ISERROR(SEARCH("Not yet due",E14)))</formula>
    </cfRule>
    <cfRule type="containsText" dxfId="1921" priority="1935" operator="containsText" text="Completed Behind Schedule">
      <formula>NOT(ISERROR(SEARCH("Completed Behind Schedule",E14)))</formula>
    </cfRule>
    <cfRule type="containsText" dxfId="1920" priority="1936" operator="containsText" text="Off Target">
      <formula>NOT(ISERROR(SEARCH("Off Target",E14)))</formula>
    </cfRule>
    <cfRule type="containsText" dxfId="1919" priority="1937" operator="containsText" text="In Danger of Falling Behind Target">
      <formula>NOT(ISERROR(SEARCH("In Danger of Falling Behind Target",E14)))</formula>
    </cfRule>
    <cfRule type="containsText" dxfId="1918" priority="1938" operator="containsText" text="On Track to be Achieved">
      <formula>NOT(ISERROR(SEARCH("On Track to be Achieved",E14)))</formula>
    </cfRule>
    <cfRule type="containsText" dxfId="1917" priority="1939" operator="containsText" text="Fully Achieved">
      <formula>NOT(ISERROR(SEARCH("Fully Achieved",E14)))</formula>
    </cfRule>
    <cfRule type="containsText" dxfId="1916" priority="1940" operator="containsText" text="Fully Achieved">
      <formula>NOT(ISERROR(SEARCH("Fully Achieved",E14)))</formula>
    </cfRule>
    <cfRule type="containsText" dxfId="1915" priority="1941" operator="containsText" text="Fully Achieved">
      <formula>NOT(ISERROR(SEARCH("Fully Achieved",E14)))</formula>
    </cfRule>
    <cfRule type="containsText" dxfId="1914" priority="1942" operator="containsText" text="Deferred">
      <formula>NOT(ISERROR(SEARCH("Deferred",E14)))</formula>
    </cfRule>
    <cfRule type="containsText" dxfId="1913" priority="1943" operator="containsText" text="Deleted">
      <formula>NOT(ISERROR(SEARCH("Deleted",E14)))</formula>
    </cfRule>
    <cfRule type="containsText" dxfId="1912" priority="1944" operator="containsText" text="In Danger of Falling Behind Target">
      <formula>NOT(ISERROR(SEARCH("In Danger of Falling Behind Target",E14)))</formula>
    </cfRule>
    <cfRule type="containsText" dxfId="1911" priority="1945" operator="containsText" text="Not yet due">
      <formula>NOT(ISERROR(SEARCH("Not yet due",E14)))</formula>
    </cfRule>
    <cfRule type="containsText" dxfId="1910" priority="1946" operator="containsText" text="Update not Provided">
      <formula>NOT(ISERROR(SEARCH("Update not Provided",E14)))</formula>
    </cfRule>
  </conditionalFormatting>
  <conditionalFormatting sqref="E110">
    <cfRule type="containsText" dxfId="1909" priority="1875" operator="containsText" text="On track to be achieved">
      <formula>NOT(ISERROR(SEARCH("On track to be achieved",E110)))</formula>
    </cfRule>
    <cfRule type="containsText" dxfId="1908" priority="1876" operator="containsText" text="Deferred">
      <formula>NOT(ISERROR(SEARCH("Deferred",E110)))</formula>
    </cfRule>
    <cfRule type="containsText" dxfId="1907" priority="1877" operator="containsText" text="Deleted">
      <formula>NOT(ISERROR(SEARCH("Deleted",E110)))</formula>
    </cfRule>
    <cfRule type="containsText" dxfId="1906" priority="1878" operator="containsText" text="In Danger of Falling Behind Target">
      <formula>NOT(ISERROR(SEARCH("In Danger of Falling Behind Target",E110)))</formula>
    </cfRule>
    <cfRule type="containsText" dxfId="1905" priority="1879" operator="containsText" text="Not yet due">
      <formula>NOT(ISERROR(SEARCH("Not yet due",E110)))</formula>
    </cfRule>
    <cfRule type="containsText" dxfId="1904" priority="1880" operator="containsText" text="Update not Provided">
      <formula>NOT(ISERROR(SEARCH("Update not Provided",E110)))</formula>
    </cfRule>
    <cfRule type="containsText" dxfId="1903" priority="1881" operator="containsText" text="Not yet due">
      <formula>NOT(ISERROR(SEARCH("Not yet due",E110)))</formula>
    </cfRule>
    <cfRule type="containsText" dxfId="1902" priority="1882" operator="containsText" text="Completed Behind Schedule">
      <formula>NOT(ISERROR(SEARCH("Completed Behind Schedule",E110)))</formula>
    </cfRule>
    <cfRule type="containsText" dxfId="1901" priority="1883" operator="containsText" text="Off Target">
      <formula>NOT(ISERROR(SEARCH("Off Target",E110)))</formula>
    </cfRule>
    <cfRule type="containsText" dxfId="1900" priority="1884" operator="containsText" text="On Track to be Achieved">
      <formula>NOT(ISERROR(SEARCH("On Track to be Achieved",E110)))</formula>
    </cfRule>
    <cfRule type="containsText" dxfId="1899" priority="1885" operator="containsText" text="Fully Achieved">
      <formula>NOT(ISERROR(SEARCH("Fully Achieved",E110)))</formula>
    </cfRule>
    <cfRule type="containsText" dxfId="1898" priority="1886" operator="containsText" text="Not yet due">
      <formula>NOT(ISERROR(SEARCH("Not yet due",E110)))</formula>
    </cfRule>
    <cfRule type="containsText" dxfId="1897" priority="1887" operator="containsText" text="Not Yet Due">
      <formula>NOT(ISERROR(SEARCH("Not Yet Due",E110)))</formula>
    </cfRule>
    <cfRule type="containsText" dxfId="1896" priority="1888" operator="containsText" text="Deferred">
      <formula>NOT(ISERROR(SEARCH("Deferred",E110)))</formula>
    </cfRule>
    <cfRule type="containsText" dxfId="1895" priority="1889" operator="containsText" text="Deleted">
      <formula>NOT(ISERROR(SEARCH("Deleted",E110)))</formula>
    </cfRule>
    <cfRule type="containsText" dxfId="1894" priority="1890" operator="containsText" text="In Danger of Falling Behind Target">
      <formula>NOT(ISERROR(SEARCH("In Danger of Falling Behind Target",E110)))</formula>
    </cfRule>
    <cfRule type="containsText" dxfId="1893" priority="1891" operator="containsText" text="Not yet due">
      <formula>NOT(ISERROR(SEARCH("Not yet due",E110)))</formula>
    </cfRule>
    <cfRule type="containsText" dxfId="1892" priority="1892" operator="containsText" text="Completed Behind Schedule">
      <formula>NOT(ISERROR(SEARCH("Completed Behind Schedule",E110)))</formula>
    </cfRule>
    <cfRule type="containsText" dxfId="1891" priority="1893" operator="containsText" text="Off Target">
      <formula>NOT(ISERROR(SEARCH("Off Target",E110)))</formula>
    </cfRule>
    <cfRule type="containsText" dxfId="1890" priority="1894" operator="containsText" text="In Danger of Falling Behind Target">
      <formula>NOT(ISERROR(SEARCH("In Danger of Falling Behind Target",E110)))</formula>
    </cfRule>
    <cfRule type="containsText" dxfId="1889" priority="1895" operator="containsText" text="On Track to be Achieved">
      <formula>NOT(ISERROR(SEARCH("On Track to be Achieved",E110)))</formula>
    </cfRule>
    <cfRule type="containsText" dxfId="1888" priority="1896" operator="containsText" text="Fully Achieved">
      <formula>NOT(ISERROR(SEARCH("Fully Achieved",E110)))</formula>
    </cfRule>
    <cfRule type="containsText" dxfId="1887" priority="1897" operator="containsText" text="Update not Provided">
      <formula>NOT(ISERROR(SEARCH("Update not Provided",E110)))</formula>
    </cfRule>
    <cfRule type="containsText" dxfId="1886" priority="1898" operator="containsText" text="Not yet due">
      <formula>NOT(ISERROR(SEARCH("Not yet due",E110)))</formula>
    </cfRule>
    <cfRule type="containsText" dxfId="1885" priority="1899" operator="containsText" text="Completed Behind Schedule">
      <formula>NOT(ISERROR(SEARCH("Completed Behind Schedule",E110)))</formula>
    </cfRule>
    <cfRule type="containsText" dxfId="1884" priority="1900" operator="containsText" text="Off Target">
      <formula>NOT(ISERROR(SEARCH("Off Target",E110)))</formula>
    </cfRule>
    <cfRule type="containsText" dxfId="1883" priority="1901" operator="containsText" text="In Danger of Falling Behind Target">
      <formula>NOT(ISERROR(SEARCH("In Danger of Falling Behind Target",E110)))</formula>
    </cfRule>
    <cfRule type="containsText" dxfId="1882" priority="1902" operator="containsText" text="On Track to be Achieved">
      <formula>NOT(ISERROR(SEARCH("On Track to be Achieved",E110)))</formula>
    </cfRule>
    <cfRule type="containsText" dxfId="1881" priority="1903" operator="containsText" text="Fully Achieved">
      <formula>NOT(ISERROR(SEARCH("Fully Achieved",E110)))</formula>
    </cfRule>
    <cfRule type="containsText" dxfId="1880" priority="1904" operator="containsText" text="Fully Achieved">
      <formula>NOT(ISERROR(SEARCH("Fully Achieved",E110)))</formula>
    </cfRule>
    <cfRule type="containsText" dxfId="1879" priority="1905" operator="containsText" text="Fully Achieved">
      <formula>NOT(ISERROR(SEARCH("Fully Achieved",E110)))</formula>
    </cfRule>
    <cfRule type="containsText" dxfId="1878" priority="1906" operator="containsText" text="Deferred">
      <formula>NOT(ISERROR(SEARCH("Deferred",E110)))</formula>
    </cfRule>
    <cfRule type="containsText" dxfId="1877" priority="1907" operator="containsText" text="Deleted">
      <formula>NOT(ISERROR(SEARCH("Deleted",E110)))</formula>
    </cfRule>
    <cfRule type="containsText" dxfId="1876" priority="1908" operator="containsText" text="In Danger of Falling Behind Target">
      <formula>NOT(ISERROR(SEARCH("In Danger of Falling Behind Target",E110)))</formula>
    </cfRule>
    <cfRule type="containsText" dxfId="1875" priority="1909" operator="containsText" text="Not yet due">
      <formula>NOT(ISERROR(SEARCH("Not yet due",E110)))</formula>
    </cfRule>
    <cfRule type="containsText" dxfId="1874" priority="1910" operator="containsText" text="Update not Provided">
      <formula>NOT(ISERROR(SEARCH("Update not Provided",E110)))</formula>
    </cfRule>
  </conditionalFormatting>
  <conditionalFormatting sqref="G4">
    <cfRule type="containsText" dxfId="1873" priority="1839" operator="containsText" text="On track to be achieved">
      <formula>NOT(ISERROR(SEARCH("On track to be achieved",G4)))</formula>
    </cfRule>
    <cfRule type="containsText" dxfId="1872" priority="1840" operator="containsText" text="Deferred">
      <formula>NOT(ISERROR(SEARCH("Deferred",G4)))</formula>
    </cfRule>
    <cfRule type="containsText" dxfId="1871" priority="1841" operator="containsText" text="Deleted">
      <formula>NOT(ISERROR(SEARCH("Deleted",G4)))</formula>
    </cfRule>
    <cfRule type="containsText" dxfId="1870" priority="1842" operator="containsText" text="In Danger of Falling Behind Target">
      <formula>NOT(ISERROR(SEARCH("In Danger of Falling Behind Target",G4)))</formula>
    </cfRule>
    <cfRule type="containsText" dxfId="1869" priority="1843" operator="containsText" text="Not yet due">
      <formula>NOT(ISERROR(SEARCH("Not yet due",G4)))</formula>
    </cfRule>
    <cfRule type="containsText" dxfId="1868" priority="1844" operator="containsText" text="Update not Provided">
      <formula>NOT(ISERROR(SEARCH("Update not Provided",G4)))</formula>
    </cfRule>
    <cfRule type="containsText" dxfId="1867" priority="1845" operator="containsText" text="Not yet due">
      <formula>NOT(ISERROR(SEARCH("Not yet due",G4)))</formula>
    </cfRule>
    <cfRule type="containsText" dxfId="1866" priority="1846" operator="containsText" text="Completed Behind Schedule">
      <formula>NOT(ISERROR(SEARCH("Completed Behind Schedule",G4)))</formula>
    </cfRule>
    <cfRule type="containsText" dxfId="1865" priority="1847" operator="containsText" text="Off Target">
      <formula>NOT(ISERROR(SEARCH("Off Target",G4)))</formula>
    </cfRule>
    <cfRule type="containsText" dxfId="1864" priority="1848" operator="containsText" text="On Track to be Achieved">
      <formula>NOT(ISERROR(SEARCH("On Track to be Achieved",G4)))</formula>
    </cfRule>
    <cfRule type="containsText" dxfId="1863" priority="1849" operator="containsText" text="Fully Achieved">
      <formula>NOT(ISERROR(SEARCH("Fully Achieved",G4)))</formula>
    </cfRule>
    <cfRule type="containsText" dxfId="1862" priority="1850" operator="containsText" text="Not yet due">
      <formula>NOT(ISERROR(SEARCH("Not yet due",G4)))</formula>
    </cfRule>
    <cfRule type="containsText" dxfId="1861" priority="1851" operator="containsText" text="Not Yet Due">
      <formula>NOT(ISERROR(SEARCH("Not Yet Due",G4)))</formula>
    </cfRule>
    <cfRule type="containsText" dxfId="1860" priority="1852" operator="containsText" text="Deferred">
      <formula>NOT(ISERROR(SEARCH("Deferred",G4)))</formula>
    </cfRule>
    <cfRule type="containsText" dxfId="1859" priority="1853" operator="containsText" text="Deleted">
      <formula>NOT(ISERROR(SEARCH("Deleted",G4)))</formula>
    </cfRule>
    <cfRule type="containsText" dxfId="1858" priority="1854" operator="containsText" text="In Danger of Falling Behind Target">
      <formula>NOT(ISERROR(SEARCH("In Danger of Falling Behind Target",G4)))</formula>
    </cfRule>
    <cfRule type="containsText" dxfId="1857" priority="1855" operator="containsText" text="Not yet due">
      <formula>NOT(ISERROR(SEARCH("Not yet due",G4)))</formula>
    </cfRule>
    <cfRule type="containsText" dxfId="1856" priority="1856" operator="containsText" text="Completed Behind Schedule">
      <formula>NOT(ISERROR(SEARCH("Completed Behind Schedule",G4)))</formula>
    </cfRule>
    <cfRule type="containsText" dxfId="1855" priority="1857" operator="containsText" text="Off Target">
      <formula>NOT(ISERROR(SEARCH("Off Target",G4)))</formula>
    </cfRule>
    <cfRule type="containsText" dxfId="1854" priority="1858" operator="containsText" text="In Danger of Falling Behind Target">
      <formula>NOT(ISERROR(SEARCH("In Danger of Falling Behind Target",G4)))</formula>
    </cfRule>
    <cfRule type="containsText" dxfId="1853" priority="1859" operator="containsText" text="On Track to be Achieved">
      <formula>NOT(ISERROR(SEARCH("On Track to be Achieved",G4)))</formula>
    </cfRule>
    <cfRule type="containsText" dxfId="1852" priority="1860" operator="containsText" text="Fully Achieved">
      <formula>NOT(ISERROR(SEARCH("Fully Achieved",G4)))</formula>
    </cfRule>
    <cfRule type="containsText" dxfId="1851" priority="1861" operator="containsText" text="Update not Provided">
      <formula>NOT(ISERROR(SEARCH("Update not Provided",G4)))</formula>
    </cfRule>
    <cfRule type="containsText" dxfId="1850" priority="1862" operator="containsText" text="Not yet due">
      <formula>NOT(ISERROR(SEARCH("Not yet due",G4)))</formula>
    </cfRule>
    <cfRule type="containsText" dxfId="1849" priority="1863" operator="containsText" text="Completed Behind Schedule">
      <formula>NOT(ISERROR(SEARCH("Completed Behind Schedule",G4)))</formula>
    </cfRule>
    <cfRule type="containsText" dxfId="1848" priority="1864" operator="containsText" text="Off Target">
      <formula>NOT(ISERROR(SEARCH("Off Target",G4)))</formula>
    </cfRule>
    <cfRule type="containsText" dxfId="1847" priority="1865" operator="containsText" text="In Danger of Falling Behind Target">
      <formula>NOT(ISERROR(SEARCH("In Danger of Falling Behind Target",G4)))</formula>
    </cfRule>
    <cfRule type="containsText" dxfId="1846" priority="1866" operator="containsText" text="On Track to be Achieved">
      <formula>NOT(ISERROR(SEARCH("On Track to be Achieved",G4)))</formula>
    </cfRule>
    <cfRule type="containsText" dxfId="1845" priority="1867" operator="containsText" text="Fully Achieved">
      <formula>NOT(ISERROR(SEARCH("Fully Achieved",G4)))</formula>
    </cfRule>
    <cfRule type="containsText" dxfId="1844" priority="1868" operator="containsText" text="Fully Achieved">
      <formula>NOT(ISERROR(SEARCH("Fully Achieved",G4)))</formula>
    </cfRule>
    <cfRule type="containsText" dxfId="1843" priority="1869" operator="containsText" text="Fully Achieved">
      <formula>NOT(ISERROR(SEARCH("Fully Achieved",G4)))</formula>
    </cfRule>
    <cfRule type="containsText" dxfId="1842" priority="1870" operator="containsText" text="Deferred">
      <formula>NOT(ISERROR(SEARCH("Deferred",G4)))</formula>
    </cfRule>
    <cfRule type="containsText" dxfId="1841" priority="1871" operator="containsText" text="Deleted">
      <formula>NOT(ISERROR(SEARCH("Deleted",G4)))</formula>
    </cfRule>
    <cfRule type="containsText" dxfId="1840" priority="1872" operator="containsText" text="In Danger of Falling Behind Target">
      <formula>NOT(ISERROR(SEARCH("In Danger of Falling Behind Target",G4)))</formula>
    </cfRule>
    <cfRule type="containsText" dxfId="1839" priority="1873" operator="containsText" text="Not yet due">
      <formula>NOT(ISERROR(SEARCH("Not yet due",G4)))</formula>
    </cfRule>
    <cfRule type="containsText" dxfId="1838" priority="1874" operator="containsText" text="Update not Provided">
      <formula>NOT(ISERROR(SEARCH("Update not Provided",G4)))</formula>
    </cfRule>
  </conditionalFormatting>
  <conditionalFormatting sqref="G6:G20">
    <cfRule type="containsText" dxfId="1837" priority="1803" operator="containsText" text="On track to be achieved">
      <formula>NOT(ISERROR(SEARCH("On track to be achieved",G6)))</formula>
    </cfRule>
    <cfRule type="containsText" dxfId="1836" priority="1804" operator="containsText" text="Deferred">
      <formula>NOT(ISERROR(SEARCH("Deferred",G6)))</formula>
    </cfRule>
    <cfRule type="containsText" dxfId="1835" priority="1805" operator="containsText" text="Deleted">
      <formula>NOT(ISERROR(SEARCH("Deleted",G6)))</formula>
    </cfRule>
    <cfRule type="containsText" dxfId="1834" priority="1806" operator="containsText" text="In Danger of Falling Behind Target">
      <formula>NOT(ISERROR(SEARCH("In Danger of Falling Behind Target",G6)))</formula>
    </cfRule>
    <cfRule type="containsText" dxfId="1833" priority="1807" operator="containsText" text="Not yet due">
      <formula>NOT(ISERROR(SEARCH("Not yet due",G6)))</formula>
    </cfRule>
    <cfRule type="containsText" dxfId="1832" priority="1808" operator="containsText" text="Update not Provided">
      <formula>NOT(ISERROR(SEARCH("Update not Provided",G6)))</formula>
    </cfRule>
    <cfRule type="containsText" dxfId="1831" priority="1809" operator="containsText" text="Not yet due">
      <formula>NOT(ISERROR(SEARCH("Not yet due",G6)))</formula>
    </cfRule>
    <cfRule type="containsText" dxfId="1830" priority="1810" operator="containsText" text="Completed Behind Schedule">
      <formula>NOT(ISERROR(SEARCH("Completed Behind Schedule",G6)))</formula>
    </cfRule>
    <cfRule type="containsText" dxfId="1829" priority="1811" operator="containsText" text="Off Target">
      <formula>NOT(ISERROR(SEARCH("Off Target",G6)))</formula>
    </cfRule>
    <cfRule type="containsText" dxfId="1828" priority="1812" operator="containsText" text="On Track to be Achieved">
      <formula>NOT(ISERROR(SEARCH("On Track to be Achieved",G6)))</formula>
    </cfRule>
    <cfRule type="containsText" dxfId="1827" priority="1813" operator="containsText" text="Fully Achieved">
      <formula>NOT(ISERROR(SEARCH("Fully Achieved",G6)))</formula>
    </cfRule>
    <cfRule type="containsText" dxfId="1826" priority="1814" operator="containsText" text="Not yet due">
      <formula>NOT(ISERROR(SEARCH("Not yet due",G6)))</formula>
    </cfRule>
    <cfRule type="containsText" dxfId="1825" priority="1815" operator="containsText" text="Not Yet Due">
      <formula>NOT(ISERROR(SEARCH("Not Yet Due",G6)))</formula>
    </cfRule>
    <cfRule type="containsText" dxfId="1824" priority="1816" operator="containsText" text="Deferred">
      <formula>NOT(ISERROR(SEARCH("Deferred",G6)))</formula>
    </cfRule>
    <cfRule type="containsText" dxfId="1823" priority="1817" operator="containsText" text="Deleted">
      <formula>NOT(ISERROR(SEARCH("Deleted",G6)))</formula>
    </cfRule>
    <cfRule type="containsText" dxfId="1822" priority="1818" operator="containsText" text="In Danger of Falling Behind Target">
      <formula>NOT(ISERROR(SEARCH("In Danger of Falling Behind Target",G6)))</formula>
    </cfRule>
    <cfRule type="containsText" dxfId="1821" priority="1819" operator="containsText" text="Not yet due">
      <formula>NOT(ISERROR(SEARCH("Not yet due",G6)))</formula>
    </cfRule>
    <cfRule type="containsText" dxfId="1820" priority="1820" operator="containsText" text="Completed Behind Schedule">
      <formula>NOT(ISERROR(SEARCH("Completed Behind Schedule",G6)))</formula>
    </cfRule>
    <cfRule type="containsText" dxfId="1819" priority="1821" operator="containsText" text="Off Target">
      <formula>NOT(ISERROR(SEARCH("Off Target",G6)))</formula>
    </cfRule>
    <cfRule type="containsText" dxfId="1818" priority="1822" operator="containsText" text="In Danger of Falling Behind Target">
      <formula>NOT(ISERROR(SEARCH("In Danger of Falling Behind Target",G6)))</formula>
    </cfRule>
    <cfRule type="containsText" dxfId="1817" priority="1823" operator="containsText" text="On Track to be Achieved">
      <formula>NOT(ISERROR(SEARCH("On Track to be Achieved",G6)))</formula>
    </cfRule>
    <cfRule type="containsText" dxfId="1816" priority="1824" operator="containsText" text="Fully Achieved">
      <formula>NOT(ISERROR(SEARCH("Fully Achieved",G6)))</formula>
    </cfRule>
    <cfRule type="containsText" dxfId="1815" priority="1825" operator="containsText" text="Update not Provided">
      <formula>NOT(ISERROR(SEARCH("Update not Provided",G6)))</formula>
    </cfRule>
    <cfRule type="containsText" dxfId="1814" priority="1826" operator="containsText" text="Not yet due">
      <formula>NOT(ISERROR(SEARCH("Not yet due",G6)))</formula>
    </cfRule>
    <cfRule type="containsText" dxfId="1813" priority="1827" operator="containsText" text="Completed Behind Schedule">
      <formula>NOT(ISERROR(SEARCH("Completed Behind Schedule",G6)))</formula>
    </cfRule>
    <cfRule type="containsText" dxfId="1812" priority="1828" operator="containsText" text="Off Target">
      <formula>NOT(ISERROR(SEARCH("Off Target",G6)))</formula>
    </cfRule>
    <cfRule type="containsText" dxfId="1811" priority="1829" operator="containsText" text="In Danger of Falling Behind Target">
      <formula>NOT(ISERROR(SEARCH("In Danger of Falling Behind Target",G6)))</formula>
    </cfRule>
    <cfRule type="containsText" dxfId="1810" priority="1830" operator="containsText" text="On Track to be Achieved">
      <formula>NOT(ISERROR(SEARCH("On Track to be Achieved",G6)))</formula>
    </cfRule>
    <cfRule type="containsText" dxfId="1809" priority="1831" operator="containsText" text="Fully Achieved">
      <formula>NOT(ISERROR(SEARCH("Fully Achieved",G6)))</formula>
    </cfRule>
    <cfRule type="containsText" dxfId="1808" priority="1832" operator="containsText" text="Fully Achieved">
      <formula>NOT(ISERROR(SEARCH("Fully Achieved",G6)))</formula>
    </cfRule>
    <cfRule type="containsText" dxfId="1807" priority="1833" operator="containsText" text="Fully Achieved">
      <formula>NOT(ISERROR(SEARCH("Fully Achieved",G6)))</formula>
    </cfRule>
    <cfRule type="containsText" dxfId="1806" priority="1834" operator="containsText" text="Deferred">
      <formula>NOT(ISERROR(SEARCH("Deferred",G6)))</formula>
    </cfRule>
    <cfRule type="containsText" dxfId="1805" priority="1835" operator="containsText" text="Deleted">
      <formula>NOT(ISERROR(SEARCH("Deleted",G6)))</formula>
    </cfRule>
    <cfRule type="containsText" dxfId="1804" priority="1836" operator="containsText" text="In Danger of Falling Behind Target">
      <formula>NOT(ISERROR(SEARCH("In Danger of Falling Behind Target",G6)))</formula>
    </cfRule>
    <cfRule type="containsText" dxfId="1803" priority="1837" operator="containsText" text="Not yet due">
      <formula>NOT(ISERROR(SEARCH("Not yet due",G6)))</formula>
    </cfRule>
    <cfRule type="containsText" dxfId="1802" priority="1838" operator="containsText" text="Update not Provided">
      <formula>NOT(ISERROR(SEARCH("Update not Provided",G6)))</formula>
    </cfRule>
  </conditionalFormatting>
  <conditionalFormatting sqref="G22:G24">
    <cfRule type="containsText" dxfId="1801" priority="1767" operator="containsText" text="On track to be achieved">
      <formula>NOT(ISERROR(SEARCH("On track to be achieved",G22)))</formula>
    </cfRule>
    <cfRule type="containsText" dxfId="1800" priority="1768" operator="containsText" text="Deferred">
      <formula>NOT(ISERROR(SEARCH("Deferred",G22)))</formula>
    </cfRule>
    <cfRule type="containsText" dxfId="1799" priority="1769" operator="containsText" text="Deleted">
      <formula>NOT(ISERROR(SEARCH("Deleted",G22)))</formula>
    </cfRule>
    <cfRule type="containsText" dxfId="1798" priority="1770" operator="containsText" text="In Danger of Falling Behind Target">
      <formula>NOT(ISERROR(SEARCH("In Danger of Falling Behind Target",G22)))</formula>
    </cfRule>
    <cfRule type="containsText" dxfId="1797" priority="1771" operator="containsText" text="Not yet due">
      <formula>NOT(ISERROR(SEARCH("Not yet due",G22)))</formula>
    </cfRule>
    <cfRule type="containsText" dxfId="1796" priority="1772" operator="containsText" text="Update not Provided">
      <formula>NOT(ISERROR(SEARCH("Update not Provided",G22)))</formula>
    </cfRule>
    <cfRule type="containsText" dxfId="1795" priority="1773" operator="containsText" text="Not yet due">
      <formula>NOT(ISERROR(SEARCH("Not yet due",G22)))</formula>
    </cfRule>
    <cfRule type="containsText" dxfId="1794" priority="1774" operator="containsText" text="Completed Behind Schedule">
      <formula>NOT(ISERROR(SEARCH("Completed Behind Schedule",G22)))</formula>
    </cfRule>
    <cfRule type="containsText" dxfId="1793" priority="1775" operator="containsText" text="Off Target">
      <formula>NOT(ISERROR(SEARCH("Off Target",G22)))</formula>
    </cfRule>
    <cfRule type="containsText" dxfId="1792" priority="1776" operator="containsText" text="On Track to be Achieved">
      <formula>NOT(ISERROR(SEARCH("On Track to be Achieved",G22)))</formula>
    </cfRule>
    <cfRule type="containsText" dxfId="1791" priority="1777" operator="containsText" text="Fully Achieved">
      <formula>NOT(ISERROR(SEARCH("Fully Achieved",G22)))</formula>
    </cfRule>
    <cfRule type="containsText" dxfId="1790" priority="1778" operator="containsText" text="Not yet due">
      <formula>NOT(ISERROR(SEARCH("Not yet due",G22)))</formula>
    </cfRule>
    <cfRule type="containsText" dxfId="1789" priority="1779" operator="containsText" text="Not Yet Due">
      <formula>NOT(ISERROR(SEARCH("Not Yet Due",G22)))</formula>
    </cfRule>
    <cfRule type="containsText" dxfId="1788" priority="1780" operator="containsText" text="Deferred">
      <formula>NOT(ISERROR(SEARCH("Deferred",G22)))</formula>
    </cfRule>
    <cfRule type="containsText" dxfId="1787" priority="1781" operator="containsText" text="Deleted">
      <formula>NOT(ISERROR(SEARCH("Deleted",G22)))</formula>
    </cfRule>
    <cfRule type="containsText" dxfId="1786" priority="1782" operator="containsText" text="In Danger of Falling Behind Target">
      <formula>NOT(ISERROR(SEARCH("In Danger of Falling Behind Target",G22)))</formula>
    </cfRule>
    <cfRule type="containsText" dxfId="1785" priority="1783" operator="containsText" text="Not yet due">
      <formula>NOT(ISERROR(SEARCH("Not yet due",G22)))</formula>
    </cfRule>
    <cfRule type="containsText" dxfId="1784" priority="1784" operator="containsText" text="Completed Behind Schedule">
      <formula>NOT(ISERROR(SEARCH("Completed Behind Schedule",G22)))</formula>
    </cfRule>
    <cfRule type="containsText" dxfId="1783" priority="1785" operator="containsText" text="Off Target">
      <formula>NOT(ISERROR(SEARCH("Off Target",G22)))</formula>
    </cfRule>
    <cfRule type="containsText" dxfId="1782" priority="1786" operator="containsText" text="In Danger of Falling Behind Target">
      <formula>NOT(ISERROR(SEARCH("In Danger of Falling Behind Target",G22)))</formula>
    </cfRule>
    <cfRule type="containsText" dxfId="1781" priority="1787" operator="containsText" text="On Track to be Achieved">
      <formula>NOT(ISERROR(SEARCH("On Track to be Achieved",G22)))</formula>
    </cfRule>
    <cfRule type="containsText" dxfId="1780" priority="1788" operator="containsText" text="Fully Achieved">
      <formula>NOT(ISERROR(SEARCH("Fully Achieved",G22)))</formula>
    </cfRule>
    <cfRule type="containsText" dxfId="1779" priority="1789" operator="containsText" text="Update not Provided">
      <formula>NOT(ISERROR(SEARCH("Update not Provided",G22)))</formula>
    </cfRule>
    <cfRule type="containsText" dxfId="1778" priority="1790" operator="containsText" text="Not yet due">
      <formula>NOT(ISERROR(SEARCH("Not yet due",G22)))</formula>
    </cfRule>
    <cfRule type="containsText" dxfId="1777" priority="1791" operator="containsText" text="Completed Behind Schedule">
      <formula>NOT(ISERROR(SEARCH("Completed Behind Schedule",G22)))</formula>
    </cfRule>
    <cfRule type="containsText" dxfId="1776" priority="1792" operator="containsText" text="Off Target">
      <formula>NOT(ISERROR(SEARCH("Off Target",G22)))</formula>
    </cfRule>
    <cfRule type="containsText" dxfId="1775" priority="1793" operator="containsText" text="In Danger of Falling Behind Target">
      <formula>NOT(ISERROR(SEARCH("In Danger of Falling Behind Target",G22)))</formula>
    </cfRule>
    <cfRule type="containsText" dxfId="1774" priority="1794" operator="containsText" text="On Track to be Achieved">
      <formula>NOT(ISERROR(SEARCH("On Track to be Achieved",G22)))</formula>
    </cfRule>
    <cfRule type="containsText" dxfId="1773" priority="1795" operator="containsText" text="Fully Achieved">
      <formula>NOT(ISERROR(SEARCH("Fully Achieved",G22)))</formula>
    </cfRule>
    <cfRule type="containsText" dxfId="1772" priority="1796" operator="containsText" text="Fully Achieved">
      <formula>NOT(ISERROR(SEARCH("Fully Achieved",G22)))</formula>
    </cfRule>
    <cfRule type="containsText" dxfId="1771" priority="1797" operator="containsText" text="Fully Achieved">
      <formula>NOT(ISERROR(SEARCH("Fully Achieved",G22)))</formula>
    </cfRule>
    <cfRule type="containsText" dxfId="1770" priority="1798" operator="containsText" text="Deferred">
      <formula>NOT(ISERROR(SEARCH("Deferred",G22)))</formula>
    </cfRule>
    <cfRule type="containsText" dxfId="1769" priority="1799" operator="containsText" text="Deleted">
      <formula>NOT(ISERROR(SEARCH("Deleted",G22)))</formula>
    </cfRule>
    <cfRule type="containsText" dxfId="1768" priority="1800" operator="containsText" text="In Danger of Falling Behind Target">
      <formula>NOT(ISERROR(SEARCH("In Danger of Falling Behind Target",G22)))</formula>
    </cfRule>
    <cfRule type="containsText" dxfId="1767" priority="1801" operator="containsText" text="Not yet due">
      <formula>NOT(ISERROR(SEARCH("Not yet due",G22)))</formula>
    </cfRule>
    <cfRule type="containsText" dxfId="1766" priority="1802" operator="containsText" text="Update not Provided">
      <formula>NOT(ISERROR(SEARCH("Update not Provided",G22)))</formula>
    </cfRule>
  </conditionalFormatting>
  <conditionalFormatting sqref="G26:G27 G29">
    <cfRule type="containsText" dxfId="1765" priority="1731" operator="containsText" text="On track to be achieved">
      <formula>NOT(ISERROR(SEARCH("On track to be achieved",G26)))</formula>
    </cfRule>
    <cfRule type="containsText" dxfId="1764" priority="1732" operator="containsText" text="Deferred">
      <formula>NOT(ISERROR(SEARCH("Deferred",G26)))</formula>
    </cfRule>
    <cfRule type="containsText" dxfId="1763" priority="1733" operator="containsText" text="Deleted">
      <formula>NOT(ISERROR(SEARCH("Deleted",G26)))</formula>
    </cfRule>
    <cfRule type="containsText" dxfId="1762" priority="1734" operator="containsText" text="In Danger of Falling Behind Target">
      <formula>NOT(ISERROR(SEARCH("In Danger of Falling Behind Target",G26)))</formula>
    </cfRule>
    <cfRule type="containsText" dxfId="1761" priority="1735" operator="containsText" text="Not yet due">
      <formula>NOT(ISERROR(SEARCH("Not yet due",G26)))</formula>
    </cfRule>
    <cfRule type="containsText" dxfId="1760" priority="1736" operator="containsText" text="Update not Provided">
      <formula>NOT(ISERROR(SEARCH("Update not Provided",G26)))</formula>
    </cfRule>
    <cfRule type="containsText" dxfId="1759" priority="1737" operator="containsText" text="Not yet due">
      <formula>NOT(ISERROR(SEARCH("Not yet due",G26)))</formula>
    </cfRule>
    <cfRule type="containsText" dxfId="1758" priority="1738" operator="containsText" text="Completed Behind Schedule">
      <formula>NOT(ISERROR(SEARCH("Completed Behind Schedule",G26)))</formula>
    </cfRule>
    <cfRule type="containsText" dxfId="1757" priority="1739" operator="containsText" text="Off Target">
      <formula>NOT(ISERROR(SEARCH("Off Target",G26)))</formula>
    </cfRule>
    <cfRule type="containsText" dxfId="1756" priority="1740" operator="containsText" text="On Track to be Achieved">
      <formula>NOT(ISERROR(SEARCH("On Track to be Achieved",G26)))</formula>
    </cfRule>
    <cfRule type="containsText" dxfId="1755" priority="1741" operator="containsText" text="Fully Achieved">
      <formula>NOT(ISERROR(SEARCH("Fully Achieved",G26)))</formula>
    </cfRule>
    <cfRule type="containsText" dxfId="1754" priority="1742" operator="containsText" text="Not yet due">
      <formula>NOT(ISERROR(SEARCH("Not yet due",G26)))</formula>
    </cfRule>
    <cfRule type="containsText" dxfId="1753" priority="1743" operator="containsText" text="Not Yet Due">
      <formula>NOT(ISERROR(SEARCH("Not Yet Due",G26)))</formula>
    </cfRule>
    <cfRule type="containsText" dxfId="1752" priority="1744" operator="containsText" text="Deferred">
      <formula>NOT(ISERROR(SEARCH("Deferred",G26)))</formula>
    </cfRule>
    <cfRule type="containsText" dxfId="1751" priority="1745" operator="containsText" text="Deleted">
      <formula>NOT(ISERROR(SEARCH("Deleted",G26)))</formula>
    </cfRule>
    <cfRule type="containsText" dxfId="1750" priority="1746" operator="containsText" text="In Danger of Falling Behind Target">
      <formula>NOT(ISERROR(SEARCH("In Danger of Falling Behind Target",G26)))</formula>
    </cfRule>
    <cfRule type="containsText" dxfId="1749" priority="1747" operator="containsText" text="Not yet due">
      <formula>NOT(ISERROR(SEARCH("Not yet due",G26)))</formula>
    </cfRule>
    <cfRule type="containsText" dxfId="1748" priority="1748" operator="containsText" text="Completed Behind Schedule">
      <formula>NOT(ISERROR(SEARCH("Completed Behind Schedule",G26)))</formula>
    </cfRule>
    <cfRule type="containsText" dxfId="1747" priority="1749" operator="containsText" text="Off Target">
      <formula>NOT(ISERROR(SEARCH("Off Target",G26)))</formula>
    </cfRule>
    <cfRule type="containsText" dxfId="1746" priority="1750" operator="containsText" text="In Danger of Falling Behind Target">
      <formula>NOT(ISERROR(SEARCH("In Danger of Falling Behind Target",G26)))</formula>
    </cfRule>
    <cfRule type="containsText" dxfId="1745" priority="1751" operator="containsText" text="On Track to be Achieved">
      <formula>NOT(ISERROR(SEARCH("On Track to be Achieved",G26)))</formula>
    </cfRule>
    <cfRule type="containsText" dxfId="1744" priority="1752" operator="containsText" text="Fully Achieved">
      <formula>NOT(ISERROR(SEARCH("Fully Achieved",G26)))</formula>
    </cfRule>
    <cfRule type="containsText" dxfId="1743" priority="1753" operator="containsText" text="Update not Provided">
      <formula>NOT(ISERROR(SEARCH("Update not Provided",G26)))</formula>
    </cfRule>
    <cfRule type="containsText" dxfId="1742" priority="1754" operator="containsText" text="Not yet due">
      <formula>NOT(ISERROR(SEARCH("Not yet due",G26)))</formula>
    </cfRule>
    <cfRule type="containsText" dxfId="1741" priority="1755" operator="containsText" text="Completed Behind Schedule">
      <formula>NOT(ISERROR(SEARCH("Completed Behind Schedule",G26)))</formula>
    </cfRule>
    <cfRule type="containsText" dxfId="1740" priority="1756" operator="containsText" text="Off Target">
      <formula>NOT(ISERROR(SEARCH("Off Target",G26)))</formula>
    </cfRule>
    <cfRule type="containsText" dxfId="1739" priority="1757" operator="containsText" text="In Danger of Falling Behind Target">
      <formula>NOT(ISERROR(SEARCH("In Danger of Falling Behind Target",G26)))</formula>
    </cfRule>
    <cfRule type="containsText" dxfId="1738" priority="1758" operator="containsText" text="On Track to be Achieved">
      <formula>NOT(ISERROR(SEARCH("On Track to be Achieved",G26)))</formula>
    </cfRule>
    <cfRule type="containsText" dxfId="1737" priority="1759" operator="containsText" text="Fully Achieved">
      <formula>NOT(ISERROR(SEARCH("Fully Achieved",G26)))</formula>
    </cfRule>
    <cfRule type="containsText" dxfId="1736" priority="1760" operator="containsText" text="Fully Achieved">
      <formula>NOT(ISERROR(SEARCH("Fully Achieved",G26)))</formula>
    </cfRule>
    <cfRule type="containsText" dxfId="1735" priority="1761" operator="containsText" text="Fully Achieved">
      <formula>NOT(ISERROR(SEARCH("Fully Achieved",G26)))</formula>
    </cfRule>
    <cfRule type="containsText" dxfId="1734" priority="1762" operator="containsText" text="Deferred">
      <formula>NOT(ISERROR(SEARCH("Deferred",G26)))</formula>
    </cfRule>
    <cfRule type="containsText" dxfId="1733" priority="1763" operator="containsText" text="Deleted">
      <formula>NOT(ISERROR(SEARCH("Deleted",G26)))</formula>
    </cfRule>
    <cfRule type="containsText" dxfId="1732" priority="1764" operator="containsText" text="In Danger of Falling Behind Target">
      <formula>NOT(ISERROR(SEARCH("In Danger of Falling Behind Target",G26)))</formula>
    </cfRule>
    <cfRule type="containsText" dxfId="1731" priority="1765" operator="containsText" text="Not yet due">
      <formula>NOT(ISERROR(SEARCH("Not yet due",G26)))</formula>
    </cfRule>
    <cfRule type="containsText" dxfId="1730" priority="1766" operator="containsText" text="Update not Provided">
      <formula>NOT(ISERROR(SEARCH("Update not Provided",G26)))</formula>
    </cfRule>
  </conditionalFormatting>
  <conditionalFormatting sqref="G31:G34">
    <cfRule type="containsText" dxfId="1729" priority="1695" operator="containsText" text="On track to be achieved">
      <formula>NOT(ISERROR(SEARCH("On track to be achieved",G31)))</formula>
    </cfRule>
    <cfRule type="containsText" dxfId="1728" priority="1696" operator="containsText" text="Deferred">
      <formula>NOT(ISERROR(SEARCH("Deferred",G31)))</formula>
    </cfRule>
    <cfRule type="containsText" dxfId="1727" priority="1697" operator="containsText" text="Deleted">
      <formula>NOT(ISERROR(SEARCH("Deleted",G31)))</formula>
    </cfRule>
    <cfRule type="containsText" dxfId="1726" priority="1698" operator="containsText" text="In Danger of Falling Behind Target">
      <formula>NOT(ISERROR(SEARCH("In Danger of Falling Behind Target",G31)))</formula>
    </cfRule>
    <cfRule type="containsText" dxfId="1725" priority="1699" operator="containsText" text="Not yet due">
      <formula>NOT(ISERROR(SEARCH("Not yet due",G31)))</formula>
    </cfRule>
    <cfRule type="containsText" dxfId="1724" priority="1700" operator="containsText" text="Update not Provided">
      <formula>NOT(ISERROR(SEARCH("Update not Provided",G31)))</formula>
    </cfRule>
    <cfRule type="containsText" dxfId="1723" priority="1701" operator="containsText" text="Not yet due">
      <formula>NOT(ISERROR(SEARCH("Not yet due",G31)))</formula>
    </cfRule>
    <cfRule type="containsText" dxfId="1722" priority="1702" operator="containsText" text="Completed Behind Schedule">
      <formula>NOT(ISERROR(SEARCH("Completed Behind Schedule",G31)))</formula>
    </cfRule>
    <cfRule type="containsText" dxfId="1721" priority="1703" operator="containsText" text="Off Target">
      <formula>NOT(ISERROR(SEARCH("Off Target",G31)))</formula>
    </cfRule>
    <cfRule type="containsText" dxfId="1720" priority="1704" operator="containsText" text="On Track to be Achieved">
      <formula>NOT(ISERROR(SEARCH("On Track to be Achieved",G31)))</formula>
    </cfRule>
    <cfRule type="containsText" dxfId="1719" priority="1705" operator="containsText" text="Fully Achieved">
      <formula>NOT(ISERROR(SEARCH("Fully Achieved",G31)))</formula>
    </cfRule>
    <cfRule type="containsText" dxfId="1718" priority="1706" operator="containsText" text="Not yet due">
      <formula>NOT(ISERROR(SEARCH("Not yet due",G31)))</formula>
    </cfRule>
    <cfRule type="containsText" dxfId="1717" priority="1707" operator="containsText" text="Not Yet Due">
      <formula>NOT(ISERROR(SEARCH("Not Yet Due",G31)))</formula>
    </cfRule>
    <cfRule type="containsText" dxfId="1716" priority="1708" operator="containsText" text="Deferred">
      <formula>NOT(ISERROR(SEARCH("Deferred",G31)))</formula>
    </cfRule>
    <cfRule type="containsText" dxfId="1715" priority="1709" operator="containsText" text="Deleted">
      <formula>NOT(ISERROR(SEARCH("Deleted",G31)))</formula>
    </cfRule>
    <cfRule type="containsText" dxfId="1714" priority="1710" operator="containsText" text="In Danger of Falling Behind Target">
      <formula>NOT(ISERROR(SEARCH("In Danger of Falling Behind Target",G31)))</formula>
    </cfRule>
    <cfRule type="containsText" dxfId="1713" priority="1711" operator="containsText" text="Not yet due">
      <formula>NOT(ISERROR(SEARCH("Not yet due",G31)))</formula>
    </cfRule>
    <cfRule type="containsText" dxfId="1712" priority="1712" operator="containsText" text="Completed Behind Schedule">
      <formula>NOT(ISERROR(SEARCH("Completed Behind Schedule",G31)))</formula>
    </cfRule>
    <cfRule type="containsText" dxfId="1711" priority="1713" operator="containsText" text="Off Target">
      <formula>NOT(ISERROR(SEARCH("Off Target",G31)))</formula>
    </cfRule>
    <cfRule type="containsText" dxfId="1710" priority="1714" operator="containsText" text="In Danger of Falling Behind Target">
      <formula>NOT(ISERROR(SEARCH("In Danger of Falling Behind Target",G31)))</formula>
    </cfRule>
    <cfRule type="containsText" dxfId="1709" priority="1715" operator="containsText" text="On Track to be Achieved">
      <formula>NOT(ISERROR(SEARCH("On Track to be Achieved",G31)))</formula>
    </cfRule>
    <cfRule type="containsText" dxfId="1708" priority="1716" operator="containsText" text="Fully Achieved">
      <formula>NOT(ISERROR(SEARCH("Fully Achieved",G31)))</formula>
    </cfRule>
    <cfRule type="containsText" dxfId="1707" priority="1717" operator="containsText" text="Update not Provided">
      <formula>NOT(ISERROR(SEARCH("Update not Provided",G31)))</formula>
    </cfRule>
    <cfRule type="containsText" dxfId="1706" priority="1718" operator="containsText" text="Not yet due">
      <formula>NOT(ISERROR(SEARCH("Not yet due",G31)))</formula>
    </cfRule>
    <cfRule type="containsText" dxfId="1705" priority="1719" operator="containsText" text="Completed Behind Schedule">
      <formula>NOT(ISERROR(SEARCH("Completed Behind Schedule",G31)))</formula>
    </cfRule>
    <cfRule type="containsText" dxfId="1704" priority="1720" operator="containsText" text="Off Target">
      <formula>NOT(ISERROR(SEARCH("Off Target",G31)))</formula>
    </cfRule>
    <cfRule type="containsText" dxfId="1703" priority="1721" operator="containsText" text="In Danger of Falling Behind Target">
      <formula>NOT(ISERROR(SEARCH("In Danger of Falling Behind Target",G31)))</formula>
    </cfRule>
    <cfRule type="containsText" dxfId="1702" priority="1722" operator="containsText" text="On Track to be Achieved">
      <formula>NOT(ISERROR(SEARCH("On Track to be Achieved",G31)))</formula>
    </cfRule>
    <cfRule type="containsText" dxfId="1701" priority="1723" operator="containsText" text="Fully Achieved">
      <formula>NOT(ISERROR(SEARCH("Fully Achieved",G31)))</formula>
    </cfRule>
    <cfRule type="containsText" dxfId="1700" priority="1724" operator="containsText" text="Fully Achieved">
      <formula>NOT(ISERROR(SEARCH("Fully Achieved",G31)))</formula>
    </cfRule>
    <cfRule type="containsText" dxfId="1699" priority="1725" operator="containsText" text="Fully Achieved">
      <formula>NOT(ISERROR(SEARCH("Fully Achieved",G31)))</formula>
    </cfRule>
    <cfRule type="containsText" dxfId="1698" priority="1726" operator="containsText" text="Deferred">
      <formula>NOT(ISERROR(SEARCH("Deferred",G31)))</formula>
    </cfRule>
    <cfRule type="containsText" dxfId="1697" priority="1727" operator="containsText" text="Deleted">
      <formula>NOT(ISERROR(SEARCH("Deleted",G31)))</formula>
    </cfRule>
    <cfRule type="containsText" dxfId="1696" priority="1728" operator="containsText" text="In Danger of Falling Behind Target">
      <formula>NOT(ISERROR(SEARCH("In Danger of Falling Behind Target",G31)))</formula>
    </cfRule>
    <cfRule type="containsText" dxfId="1695" priority="1729" operator="containsText" text="Not yet due">
      <formula>NOT(ISERROR(SEARCH("Not yet due",G31)))</formula>
    </cfRule>
    <cfRule type="containsText" dxfId="1694" priority="1730" operator="containsText" text="Update not Provided">
      <formula>NOT(ISERROR(SEARCH("Update not Provided",G31)))</formula>
    </cfRule>
  </conditionalFormatting>
  <conditionalFormatting sqref="G36">
    <cfRule type="containsText" dxfId="1693" priority="1659" operator="containsText" text="On track to be achieved">
      <formula>NOT(ISERROR(SEARCH("On track to be achieved",G36)))</formula>
    </cfRule>
    <cfRule type="containsText" dxfId="1692" priority="1660" operator="containsText" text="Deferred">
      <formula>NOT(ISERROR(SEARCH("Deferred",G36)))</formula>
    </cfRule>
    <cfRule type="containsText" dxfId="1691" priority="1661" operator="containsText" text="Deleted">
      <formula>NOT(ISERROR(SEARCH("Deleted",G36)))</formula>
    </cfRule>
    <cfRule type="containsText" dxfId="1690" priority="1662" operator="containsText" text="In Danger of Falling Behind Target">
      <formula>NOT(ISERROR(SEARCH("In Danger of Falling Behind Target",G36)))</formula>
    </cfRule>
    <cfRule type="containsText" dxfId="1689" priority="1663" operator="containsText" text="Not yet due">
      <formula>NOT(ISERROR(SEARCH("Not yet due",G36)))</formula>
    </cfRule>
    <cfRule type="containsText" dxfId="1688" priority="1664" operator="containsText" text="Update not Provided">
      <formula>NOT(ISERROR(SEARCH("Update not Provided",G36)))</formula>
    </cfRule>
    <cfRule type="containsText" dxfId="1687" priority="1665" operator="containsText" text="Not yet due">
      <formula>NOT(ISERROR(SEARCH("Not yet due",G36)))</formula>
    </cfRule>
    <cfRule type="containsText" dxfId="1686" priority="1666" operator="containsText" text="Completed Behind Schedule">
      <formula>NOT(ISERROR(SEARCH("Completed Behind Schedule",G36)))</formula>
    </cfRule>
    <cfRule type="containsText" dxfId="1685" priority="1667" operator="containsText" text="Off Target">
      <formula>NOT(ISERROR(SEARCH("Off Target",G36)))</formula>
    </cfRule>
    <cfRule type="containsText" dxfId="1684" priority="1668" operator="containsText" text="On Track to be Achieved">
      <formula>NOT(ISERROR(SEARCH("On Track to be Achieved",G36)))</formula>
    </cfRule>
    <cfRule type="containsText" dxfId="1683" priority="1669" operator="containsText" text="Fully Achieved">
      <formula>NOT(ISERROR(SEARCH("Fully Achieved",G36)))</formula>
    </cfRule>
    <cfRule type="containsText" dxfId="1682" priority="1670" operator="containsText" text="Not yet due">
      <formula>NOT(ISERROR(SEARCH("Not yet due",G36)))</formula>
    </cfRule>
    <cfRule type="containsText" dxfId="1681" priority="1671" operator="containsText" text="Not Yet Due">
      <formula>NOT(ISERROR(SEARCH("Not Yet Due",G36)))</formula>
    </cfRule>
    <cfRule type="containsText" dxfId="1680" priority="1672" operator="containsText" text="Deferred">
      <formula>NOT(ISERROR(SEARCH("Deferred",G36)))</formula>
    </cfRule>
    <cfRule type="containsText" dxfId="1679" priority="1673" operator="containsText" text="Deleted">
      <formula>NOT(ISERROR(SEARCH("Deleted",G36)))</formula>
    </cfRule>
    <cfRule type="containsText" dxfId="1678" priority="1674" operator="containsText" text="In Danger of Falling Behind Target">
      <formula>NOT(ISERROR(SEARCH("In Danger of Falling Behind Target",G36)))</formula>
    </cfRule>
    <cfRule type="containsText" dxfId="1677" priority="1675" operator="containsText" text="Not yet due">
      <formula>NOT(ISERROR(SEARCH("Not yet due",G36)))</formula>
    </cfRule>
    <cfRule type="containsText" dxfId="1676" priority="1676" operator="containsText" text="Completed Behind Schedule">
      <formula>NOT(ISERROR(SEARCH("Completed Behind Schedule",G36)))</formula>
    </cfRule>
    <cfRule type="containsText" dxfId="1675" priority="1677" operator="containsText" text="Off Target">
      <formula>NOT(ISERROR(SEARCH("Off Target",G36)))</formula>
    </cfRule>
    <cfRule type="containsText" dxfId="1674" priority="1678" operator="containsText" text="In Danger of Falling Behind Target">
      <formula>NOT(ISERROR(SEARCH("In Danger of Falling Behind Target",G36)))</formula>
    </cfRule>
    <cfRule type="containsText" dxfId="1673" priority="1679" operator="containsText" text="On Track to be Achieved">
      <formula>NOT(ISERROR(SEARCH("On Track to be Achieved",G36)))</formula>
    </cfRule>
    <cfRule type="containsText" dxfId="1672" priority="1680" operator="containsText" text="Fully Achieved">
      <formula>NOT(ISERROR(SEARCH("Fully Achieved",G36)))</formula>
    </cfRule>
    <cfRule type="containsText" dxfId="1671" priority="1681" operator="containsText" text="Update not Provided">
      <formula>NOT(ISERROR(SEARCH("Update not Provided",G36)))</formula>
    </cfRule>
    <cfRule type="containsText" dxfId="1670" priority="1682" operator="containsText" text="Not yet due">
      <formula>NOT(ISERROR(SEARCH("Not yet due",G36)))</formula>
    </cfRule>
    <cfRule type="containsText" dxfId="1669" priority="1683" operator="containsText" text="Completed Behind Schedule">
      <formula>NOT(ISERROR(SEARCH("Completed Behind Schedule",G36)))</formula>
    </cfRule>
    <cfRule type="containsText" dxfId="1668" priority="1684" operator="containsText" text="Off Target">
      <formula>NOT(ISERROR(SEARCH("Off Target",G36)))</formula>
    </cfRule>
    <cfRule type="containsText" dxfId="1667" priority="1685" operator="containsText" text="In Danger of Falling Behind Target">
      <formula>NOT(ISERROR(SEARCH("In Danger of Falling Behind Target",G36)))</formula>
    </cfRule>
    <cfRule type="containsText" dxfId="1666" priority="1686" operator="containsText" text="On Track to be Achieved">
      <formula>NOT(ISERROR(SEARCH("On Track to be Achieved",G36)))</formula>
    </cfRule>
    <cfRule type="containsText" dxfId="1665" priority="1687" operator="containsText" text="Fully Achieved">
      <formula>NOT(ISERROR(SEARCH("Fully Achieved",G36)))</formula>
    </cfRule>
    <cfRule type="containsText" dxfId="1664" priority="1688" operator="containsText" text="Fully Achieved">
      <formula>NOT(ISERROR(SEARCH("Fully Achieved",G36)))</formula>
    </cfRule>
    <cfRule type="containsText" dxfId="1663" priority="1689" operator="containsText" text="Fully Achieved">
      <formula>NOT(ISERROR(SEARCH("Fully Achieved",G36)))</formula>
    </cfRule>
    <cfRule type="containsText" dxfId="1662" priority="1690" operator="containsText" text="Deferred">
      <formula>NOT(ISERROR(SEARCH("Deferred",G36)))</formula>
    </cfRule>
    <cfRule type="containsText" dxfId="1661" priority="1691" operator="containsText" text="Deleted">
      <formula>NOT(ISERROR(SEARCH("Deleted",G36)))</formula>
    </cfRule>
    <cfRule type="containsText" dxfId="1660" priority="1692" operator="containsText" text="In Danger of Falling Behind Target">
      <formula>NOT(ISERROR(SEARCH("In Danger of Falling Behind Target",G36)))</formula>
    </cfRule>
    <cfRule type="containsText" dxfId="1659" priority="1693" operator="containsText" text="Not yet due">
      <formula>NOT(ISERROR(SEARCH("Not yet due",G36)))</formula>
    </cfRule>
    <cfRule type="containsText" dxfId="1658" priority="1694" operator="containsText" text="Update not Provided">
      <formula>NOT(ISERROR(SEARCH("Update not Provided",G36)))</formula>
    </cfRule>
  </conditionalFormatting>
  <conditionalFormatting sqref="G38 G40">
    <cfRule type="containsText" dxfId="1657" priority="1623" operator="containsText" text="On track to be achieved">
      <formula>NOT(ISERROR(SEARCH("On track to be achieved",G38)))</formula>
    </cfRule>
    <cfRule type="containsText" dxfId="1656" priority="1624" operator="containsText" text="Deferred">
      <formula>NOT(ISERROR(SEARCH("Deferred",G38)))</formula>
    </cfRule>
    <cfRule type="containsText" dxfId="1655" priority="1625" operator="containsText" text="Deleted">
      <formula>NOT(ISERROR(SEARCH("Deleted",G38)))</formula>
    </cfRule>
    <cfRule type="containsText" dxfId="1654" priority="1626" operator="containsText" text="In Danger of Falling Behind Target">
      <formula>NOT(ISERROR(SEARCH("In Danger of Falling Behind Target",G38)))</formula>
    </cfRule>
    <cfRule type="containsText" dxfId="1653" priority="1627" operator="containsText" text="Not yet due">
      <formula>NOT(ISERROR(SEARCH("Not yet due",G38)))</formula>
    </cfRule>
    <cfRule type="containsText" dxfId="1652" priority="1628" operator="containsText" text="Update not Provided">
      <formula>NOT(ISERROR(SEARCH("Update not Provided",G38)))</formula>
    </cfRule>
    <cfRule type="containsText" dxfId="1651" priority="1629" operator="containsText" text="Not yet due">
      <formula>NOT(ISERROR(SEARCH("Not yet due",G38)))</formula>
    </cfRule>
    <cfRule type="containsText" dxfId="1650" priority="1630" operator="containsText" text="Completed Behind Schedule">
      <formula>NOT(ISERROR(SEARCH("Completed Behind Schedule",G38)))</formula>
    </cfRule>
    <cfRule type="containsText" dxfId="1649" priority="1631" operator="containsText" text="Off Target">
      <formula>NOT(ISERROR(SEARCH("Off Target",G38)))</formula>
    </cfRule>
    <cfRule type="containsText" dxfId="1648" priority="1632" operator="containsText" text="On Track to be Achieved">
      <formula>NOT(ISERROR(SEARCH("On Track to be Achieved",G38)))</formula>
    </cfRule>
    <cfRule type="containsText" dxfId="1647" priority="1633" operator="containsText" text="Fully Achieved">
      <formula>NOT(ISERROR(SEARCH("Fully Achieved",G38)))</formula>
    </cfRule>
    <cfRule type="containsText" dxfId="1646" priority="1634" operator="containsText" text="Not yet due">
      <formula>NOT(ISERROR(SEARCH("Not yet due",G38)))</formula>
    </cfRule>
    <cfRule type="containsText" dxfId="1645" priority="1635" operator="containsText" text="Not Yet Due">
      <formula>NOT(ISERROR(SEARCH("Not Yet Due",G38)))</formula>
    </cfRule>
    <cfRule type="containsText" dxfId="1644" priority="1636" operator="containsText" text="Deferred">
      <formula>NOT(ISERROR(SEARCH("Deferred",G38)))</formula>
    </cfRule>
    <cfRule type="containsText" dxfId="1643" priority="1637" operator="containsText" text="Deleted">
      <formula>NOT(ISERROR(SEARCH("Deleted",G38)))</formula>
    </cfRule>
    <cfRule type="containsText" dxfId="1642" priority="1638" operator="containsText" text="In Danger of Falling Behind Target">
      <formula>NOT(ISERROR(SEARCH("In Danger of Falling Behind Target",G38)))</formula>
    </cfRule>
    <cfRule type="containsText" dxfId="1641" priority="1639" operator="containsText" text="Not yet due">
      <formula>NOT(ISERROR(SEARCH("Not yet due",G38)))</formula>
    </cfRule>
    <cfRule type="containsText" dxfId="1640" priority="1640" operator="containsText" text="Completed Behind Schedule">
      <formula>NOT(ISERROR(SEARCH("Completed Behind Schedule",G38)))</formula>
    </cfRule>
    <cfRule type="containsText" dxfId="1639" priority="1641" operator="containsText" text="Off Target">
      <formula>NOT(ISERROR(SEARCH("Off Target",G38)))</formula>
    </cfRule>
    <cfRule type="containsText" dxfId="1638" priority="1642" operator="containsText" text="In Danger of Falling Behind Target">
      <formula>NOT(ISERROR(SEARCH("In Danger of Falling Behind Target",G38)))</formula>
    </cfRule>
    <cfRule type="containsText" dxfId="1637" priority="1643" operator="containsText" text="On Track to be Achieved">
      <formula>NOT(ISERROR(SEARCH("On Track to be Achieved",G38)))</formula>
    </cfRule>
    <cfRule type="containsText" dxfId="1636" priority="1644" operator="containsText" text="Fully Achieved">
      <formula>NOT(ISERROR(SEARCH("Fully Achieved",G38)))</formula>
    </cfRule>
    <cfRule type="containsText" dxfId="1635" priority="1645" operator="containsText" text="Update not Provided">
      <formula>NOT(ISERROR(SEARCH("Update not Provided",G38)))</formula>
    </cfRule>
    <cfRule type="containsText" dxfId="1634" priority="1646" operator="containsText" text="Not yet due">
      <formula>NOT(ISERROR(SEARCH("Not yet due",G38)))</formula>
    </cfRule>
    <cfRule type="containsText" dxfId="1633" priority="1647" operator="containsText" text="Completed Behind Schedule">
      <formula>NOT(ISERROR(SEARCH("Completed Behind Schedule",G38)))</formula>
    </cfRule>
    <cfRule type="containsText" dxfId="1632" priority="1648" operator="containsText" text="Off Target">
      <formula>NOT(ISERROR(SEARCH("Off Target",G38)))</formula>
    </cfRule>
    <cfRule type="containsText" dxfId="1631" priority="1649" operator="containsText" text="In Danger of Falling Behind Target">
      <formula>NOT(ISERROR(SEARCH("In Danger of Falling Behind Target",G38)))</formula>
    </cfRule>
    <cfRule type="containsText" dxfId="1630" priority="1650" operator="containsText" text="On Track to be Achieved">
      <formula>NOT(ISERROR(SEARCH("On Track to be Achieved",G38)))</formula>
    </cfRule>
    <cfRule type="containsText" dxfId="1629" priority="1651" operator="containsText" text="Fully Achieved">
      <formula>NOT(ISERROR(SEARCH("Fully Achieved",G38)))</formula>
    </cfRule>
    <cfRule type="containsText" dxfId="1628" priority="1652" operator="containsText" text="Fully Achieved">
      <formula>NOT(ISERROR(SEARCH("Fully Achieved",G38)))</formula>
    </cfRule>
    <cfRule type="containsText" dxfId="1627" priority="1653" operator="containsText" text="Fully Achieved">
      <formula>NOT(ISERROR(SEARCH("Fully Achieved",G38)))</formula>
    </cfRule>
    <cfRule type="containsText" dxfId="1626" priority="1654" operator="containsText" text="Deferred">
      <formula>NOT(ISERROR(SEARCH("Deferred",G38)))</formula>
    </cfRule>
    <cfRule type="containsText" dxfId="1625" priority="1655" operator="containsText" text="Deleted">
      <formula>NOT(ISERROR(SEARCH("Deleted",G38)))</formula>
    </cfRule>
    <cfRule type="containsText" dxfId="1624" priority="1656" operator="containsText" text="In Danger of Falling Behind Target">
      <formula>NOT(ISERROR(SEARCH("In Danger of Falling Behind Target",G38)))</formula>
    </cfRule>
    <cfRule type="containsText" dxfId="1623" priority="1657" operator="containsText" text="Not yet due">
      <formula>NOT(ISERROR(SEARCH("Not yet due",G38)))</formula>
    </cfRule>
    <cfRule type="containsText" dxfId="1622" priority="1658" operator="containsText" text="Update not Provided">
      <formula>NOT(ISERROR(SEARCH("Update not Provided",G38)))</formula>
    </cfRule>
  </conditionalFormatting>
  <conditionalFormatting sqref="G42:G46">
    <cfRule type="containsText" dxfId="1621" priority="1587" operator="containsText" text="On track to be achieved">
      <formula>NOT(ISERROR(SEARCH("On track to be achieved",G42)))</formula>
    </cfRule>
    <cfRule type="containsText" dxfId="1620" priority="1588" operator="containsText" text="Deferred">
      <formula>NOT(ISERROR(SEARCH("Deferred",G42)))</formula>
    </cfRule>
    <cfRule type="containsText" dxfId="1619" priority="1589" operator="containsText" text="Deleted">
      <formula>NOT(ISERROR(SEARCH("Deleted",G42)))</formula>
    </cfRule>
    <cfRule type="containsText" dxfId="1618" priority="1590" operator="containsText" text="In Danger of Falling Behind Target">
      <formula>NOT(ISERROR(SEARCH("In Danger of Falling Behind Target",G42)))</formula>
    </cfRule>
    <cfRule type="containsText" dxfId="1617" priority="1591" operator="containsText" text="Not yet due">
      <formula>NOT(ISERROR(SEARCH("Not yet due",G42)))</formula>
    </cfRule>
    <cfRule type="containsText" dxfId="1616" priority="1592" operator="containsText" text="Update not Provided">
      <formula>NOT(ISERROR(SEARCH("Update not Provided",G42)))</formula>
    </cfRule>
    <cfRule type="containsText" dxfId="1615" priority="1593" operator="containsText" text="Not yet due">
      <formula>NOT(ISERROR(SEARCH("Not yet due",G42)))</formula>
    </cfRule>
    <cfRule type="containsText" dxfId="1614" priority="1594" operator="containsText" text="Completed Behind Schedule">
      <formula>NOT(ISERROR(SEARCH("Completed Behind Schedule",G42)))</formula>
    </cfRule>
    <cfRule type="containsText" dxfId="1613" priority="1595" operator="containsText" text="Off Target">
      <formula>NOT(ISERROR(SEARCH("Off Target",G42)))</formula>
    </cfRule>
    <cfRule type="containsText" dxfId="1612" priority="1596" operator="containsText" text="On Track to be Achieved">
      <formula>NOT(ISERROR(SEARCH("On Track to be Achieved",G42)))</formula>
    </cfRule>
    <cfRule type="containsText" dxfId="1611" priority="1597" operator="containsText" text="Fully Achieved">
      <formula>NOT(ISERROR(SEARCH("Fully Achieved",G42)))</formula>
    </cfRule>
    <cfRule type="containsText" dxfId="1610" priority="1598" operator="containsText" text="Not yet due">
      <formula>NOT(ISERROR(SEARCH("Not yet due",G42)))</formula>
    </cfRule>
    <cfRule type="containsText" dxfId="1609" priority="1599" operator="containsText" text="Not Yet Due">
      <formula>NOT(ISERROR(SEARCH("Not Yet Due",G42)))</formula>
    </cfRule>
    <cfRule type="containsText" dxfId="1608" priority="1600" operator="containsText" text="Deferred">
      <formula>NOT(ISERROR(SEARCH("Deferred",G42)))</formula>
    </cfRule>
    <cfRule type="containsText" dxfId="1607" priority="1601" operator="containsText" text="Deleted">
      <formula>NOT(ISERROR(SEARCH("Deleted",G42)))</formula>
    </cfRule>
    <cfRule type="containsText" dxfId="1606" priority="1602" operator="containsText" text="In Danger of Falling Behind Target">
      <formula>NOT(ISERROR(SEARCH("In Danger of Falling Behind Target",G42)))</formula>
    </cfRule>
    <cfRule type="containsText" dxfId="1605" priority="1603" operator="containsText" text="Not yet due">
      <formula>NOT(ISERROR(SEARCH("Not yet due",G42)))</formula>
    </cfRule>
    <cfRule type="containsText" dxfId="1604" priority="1604" operator="containsText" text="Completed Behind Schedule">
      <formula>NOT(ISERROR(SEARCH("Completed Behind Schedule",G42)))</formula>
    </cfRule>
    <cfRule type="containsText" dxfId="1603" priority="1605" operator="containsText" text="Off Target">
      <formula>NOT(ISERROR(SEARCH("Off Target",G42)))</formula>
    </cfRule>
    <cfRule type="containsText" dxfId="1602" priority="1606" operator="containsText" text="In Danger of Falling Behind Target">
      <formula>NOT(ISERROR(SEARCH("In Danger of Falling Behind Target",G42)))</formula>
    </cfRule>
    <cfRule type="containsText" dxfId="1601" priority="1607" operator="containsText" text="On Track to be Achieved">
      <formula>NOT(ISERROR(SEARCH("On Track to be Achieved",G42)))</formula>
    </cfRule>
    <cfRule type="containsText" dxfId="1600" priority="1608" operator="containsText" text="Fully Achieved">
      <formula>NOT(ISERROR(SEARCH("Fully Achieved",G42)))</formula>
    </cfRule>
    <cfRule type="containsText" dxfId="1599" priority="1609" operator="containsText" text="Update not Provided">
      <formula>NOT(ISERROR(SEARCH("Update not Provided",G42)))</formula>
    </cfRule>
    <cfRule type="containsText" dxfId="1598" priority="1610" operator="containsText" text="Not yet due">
      <formula>NOT(ISERROR(SEARCH("Not yet due",G42)))</formula>
    </cfRule>
    <cfRule type="containsText" dxfId="1597" priority="1611" operator="containsText" text="Completed Behind Schedule">
      <formula>NOT(ISERROR(SEARCH("Completed Behind Schedule",G42)))</formula>
    </cfRule>
    <cfRule type="containsText" dxfId="1596" priority="1612" operator="containsText" text="Off Target">
      <formula>NOT(ISERROR(SEARCH("Off Target",G42)))</formula>
    </cfRule>
    <cfRule type="containsText" dxfId="1595" priority="1613" operator="containsText" text="In Danger of Falling Behind Target">
      <formula>NOT(ISERROR(SEARCH("In Danger of Falling Behind Target",G42)))</formula>
    </cfRule>
    <cfRule type="containsText" dxfId="1594" priority="1614" operator="containsText" text="On Track to be Achieved">
      <formula>NOT(ISERROR(SEARCH("On Track to be Achieved",G42)))</formula>
    </cfRule>
    <cfRule type="containsText" dxfId="1593" priority="1615" operator="containsText" text="Fully Achieved">
      <formula>NOT(ISERROR(SEARCH("Fully Achieved",G42)))</formula>
    </cfRule>
    <cfRule type="containsText" dxfId="1592" priority="1616" operator="containsText" text="Fully Achieved">
      <formula>NOT(ISERROR(SEARCH("Fully Achieved",G42)))</formula>
    </cfRule>
    <cfRule type="containsText" dxfId="1591" priority="1617" operator="containsText" text="Fully Achieved">
      <formula>NOT(ISERROR(SEARCH("Fully Achieved",G42)))</formula>
    </cfRule>
    <cfRule type="containsText" dxfId="1590" priority="1618" operator="containsText" text="Deferred">
      <formula>NOT(ISERROR(SEARCH("Deferred",G42)))</formula>
    </cfRule>
    <cfRule type="containsText" dxfId="1589" priority="1619" operator="containsText" text="Deleted">
      <formula>NOT(ISERROR(SEARCH("Deleted",G42)))</formula>
    </cfRule>
    <cfRule type="containsText" dxfId="1588" priority="1620" operator="containsText" text="In Danger of Falling Behind Target">
      <formula>NOT(ISERROR(SEARCH("In Danger of Falling Behind Target",G42)))</formula>
    </cfRule>
    <cfRule type="containsText" dxfId="1587" priority="1621" operator="containsText" text="Not yet due">
      <formula>NOT(ISERROR(SEARCH("Not yet due",G42)))</formula>
    </cfRule>
    <cfRule type="containsText" dxfId="1586" priority="1622" operator="containsText" text="Update not Provided">
      <formula>NOT(ISERROR(SEARCH("Update not Provided",G42)))</formula>
    </cfRule>
  </conditionalFormatting>
  <conditionalFormatting sqref="G48:G54">
    <cfRule type="containsText" dxfId="1585" priority="1551" operator="containsText" text="On track to be achieved">
      <formula>NOT(ISERROR(SEARCH("On track to be achieved",G48)))</formula>
    </cfRule>
    <cfRule type="containsText" dxfId="1584" priority="1552" operator="containsText" text="Deferred">
      <formula>NOT(ISERROR(SEARCH("Deferred",G48)))</formula>
    </cfRule>
    <cfRule type="containsText" dxfId="1583" priority="1553" operator="containsText" text="Deleted">
      <formula>NOT(ISERROR(SEARCH("Deleted",G48)))</formula>
    </cfRule>
    <cfRule type="containsText" dxfId="1582" priority="1554" operator="containsText" text="In Danger of Falling Behind Target">
      <formula>NOT(ISERROR(SEARCH("In Danger of Falling Behind Target",G48)))</formula>
    </cfRule>
    <cfRule type="containsText" dxfId="1581" priority="1555" operator="containsText" text="Not yet due">
      <formula>NOT(ISERROR(SEARCH("Not yet due",G48)))</formula>
    </cfRule>
    <cfRule type="containsText" dxfId="1580" priority="1556" operator="containsText" text="Update not Provided">
      <formula>NOT(ISERROR(SEARCH("Update not Provided",G48)))</formula>
    </cfRule>
    <cfRule type="containsText" dxfId="1579" priority="1557" operator="containsText" text="Not yet due">
      <formula>NOT(ISERROR(SEARCH("Not yet due",G48)))</formula>
    </cfRule>
    <cfRule type="containsText" dxfId="1578" priority="1558" operator="containsText" text="Completed Behind Schedule">
      <formula>NOT(ISERROR(SEARCH("Completed Behind Schedule",G48)))</formula>
    </cfRule>
    <cfRule type="containsText" dxfId="1577" priority="1559" operator="containsText" text="Off Target">
      <formula>NOT(ISERROR(SEARCH("Off Target",G48)))</formula>
    </cfRule>
    <cfRule type="containsText" dxfId="1576" priority="1560" operator="containsText" text="On Track to be Achieved">
      <formula>NOT(ISERROR(SEARCH("On Track to be Achieved",G48)))</formula>
    </cfRule>
    <cfRule type="containsText" dxfId="1575" priority="1561" operator="containsText" text="Fully Achieved">
      <formula>NOT(ISERROR(SEARCH("Fully Achieved",G48)))</formula>
    </cfRule>
    <cfRule type="containsText" dxfId="1574" priority="1562" operator="containsText" text="Not yet due">
      <formula>NOT(ISERROR(SEARCH("Not yet due",G48)))</formula>
    </cfRule>
    <cfRule type="containsText" dxfId="1573" priority="1563" operator="containsText" text="Not Yet Due">
      <formula>NOT(ISERROR(SEARCH("Not Yet Due",G48)))</formula>
    </cfRule>
    <cfRule type="containsText" dxfId="1572" priority="1564" operator="containsText" text="Deferred">
      <formula>NOT(ISERROR(SEARCH("Deferred",G48)))</formula>
    </cfRule>
    <cfRule type="containsText" dxfId="1571" priority="1565" operator="containsText" text="Deleted">
      <formula>NOT(ISERROR(SEARCH("Deleted",G48)))</formula>
    </cfRule>
    <cfRule type="containsText" dxfId="1570" priority="1566" operator="containsText" text="In Danger of Falling Behind Target">
      <formula>NOT(ISERROR(SEARCH("In Danger of Falling Behind Target",G48)))</formula>
    </cfRule>
    <cfRule type="containsText" dxfId="1569" priority="1567" operator="containsText" text="Not yet due">
      <formula>NOT(ISERROR(SEARCH("Not yet due",G48)))</formula>
    </cfRule>
    <cfRule type="containsText" dxfId="1568" priority="1568" operator="containsText" text="Completed Behind Schedule">
      <formula>NOT(ISERROR(SEARCH("Completed Behind Schedule",G48)))</formula>
    </cfRule>
    <cfRule type="containsText" dxfId="1567" priority="1569" operator="containsText" text="Off Target">
      <formula>NOT(ISERROR(SEARCH("Off Target",G48)))</formula>
    </cfRule>
    <cfRule type="containsText" dxfId="1566" priority="1570" operator="containsText" text="In Danger of Falling Behind Target">
      <formula>NOT(ISERROR(SEARCH("In Danger of Falling Behind Target",G48)))</formula>
    </cfRule>
    <cfRule type="containsText" dxfId="1565" priority="1571" operator="containsText" text="On Track to be Achieved">
      <formula>NOT(ISERROR(SEARCH("On Track to be Achieved",G48)))</formula>
    </cfRule>
    <cfRule type="containsText" dxfId="1564" priority="1572" operator="containsText" text="Fully Achieved">
      <formula>NOT(ISERROR(SEARCH("Fully Achieved",G48)))</formula>
    </cfRule>
    <cfRule type="containsText" dxfId="1563" priority="1573" operator="containsText" text="Update not Provided">
      <formula>NOT(ISERROR(SEARCH("Update not Provided",G48)))</formula>
    </cfRule>
    <cfRule type="containsText" dxfId="1562" priority="1574" operator="containsText" text="Not yet due">
      <formula>NOT(ISERROR(SEARCH("Not yet due",G48)))</formula>
    </cfRule>
    <cfRule type="containsText" dxfId="1561" priority="1575" operator="containsText" text="Completed Behind Schedule">
      <formula>NOT(ISERROR(SEARCH("Completed Behind Schedule",G48)))</formula>
    </cfRule>
    <cfRule type="containsText" dxfId="1560" priority="1576" operator="containsText" text="Off Target">
      <formula>NOT(ISERROR(SEARCH("Off Target",G48)))</formula>
    </cfRule>
    <cfRule type="containsText" dxfId="1559" priority="1577" operator="containsText" text="In Danger of Falling Behind Target">
      <formula>NOT(ISERROR(SEARCH("In Danger of Falling Behind Target",G48)))</formula>
    </cfRule>
    <cfRule type="containsText" dxfId="1558" priority="1578" operator="containsText" text="On Track to be Achieved">
      <formula>NOT(ISERROR(SEARCH("On Track to be Achieved",G48)))</formula>
    </cfRule>
    <cfRule type="containsText" dxfId="1557" priority="1579" operator="containsText" text="Fully Achieved">
      <formula>NOT(ISERROR(SEARCH("Fully Achieved",G48)))</formula>
    </cfRule>
    <cfRule type="containsText" dxfId="1556" priority="1580" operator="containsText" text="Fully Achieved">
      <formula>NOT(ISERROR(SEARCH("Fully Achieved",G48)))</formula>
    </cfRule>
    <cfRule type="containsText" dxfId="1555" priority="1581" operator="containsText" text="Fully Achieved">
      <formula>NOT(ISERROR(SEARCH("Fully Achieved",G48)))</formula>
    </cfRule>
    <cfRule type="containsText" dxfId="1554" priority="1582" operator="containsText" text="Deferred">
      <formula>NOT(ISERROR(SEARCH("Deferred",G48)))</formula>
    </cfRule>
    <cfRule type="containsText" dxfId="1553" priority="1583" operator="containsText" text="Deleted">
      <formula>NOT(ISERROR(SEARCH("Deleted",G48)))</formula>
    </cfRule>
    <cfRule type="containsText" dxfId="1552" priority="1584" operator="containsText" text="In Danger of Falling Behind Target">
      <formula>NOT(ISERROR(SEARCH("In Danger of Falling Behind Target",G48)))</formula>
    </cfRule>
    <cfRule type="containsText" dxfId="1551" priority="1585" operator="containsText" text="Not yet due">
      <formula>NOT(ISERROR(SEARCH("Not yet due",G48)))</formula>
    </cfRule>
    <cfRule type="containsText" dxfId="1550" priority="1586" operator="containsText" text="Update not Provided">
      <formula>NOT(ISERROR(SEARCH("Update not Provided",G48)))</formula>
    </cfRule>
  </conditionalFormatting>
  <conditionalFormatting sqref="G56:G64">
    <cfRule type="containsText" dxfId="1549" priority="1515" operator="containsText" text="On track to be achieved">
      <formula>NOT(ISERROR(SEARCH("On track to be achieved",G56)))</formula>
    </cfRule>
    <cfRule type="containsText" dxfId="1548" priority="1516" operator="containsText" text="Deferred">
      <formula>NOT(ISERROR(SEARCH("Deferred",G56)))</formula>
    </cfRule>
    <cfRule type="containsText" dxfId="1547" priority="1517" operator="containsText" text="Deleted">
      <formula>NOT(ISERROR(SEARCH("Deleted",G56)))</formula>
    </cfRule>
    <cfRule type="containsText" dxfId="1546" priority="1518" operator="containsText" text="In Danger of Falling Behind Target">
      <formula>NOT(ISERROR(SEARCH("In Danger of Falling Behind Target",G56)))</formula>
    </cfRule>
    <cfRule type="containsText" dxfId="1545" priority="1519" operator="containsText" text="Not yet due">
      <formula>NOT(ISERROR(SEARCH("Not yet due",G56)))</formula>
    </cfRule>
    <cfRule type="containsText" dxfId="1544" priority="1520" operator="containsText" text="Update not Provided">
      <formula>NOT(ISERROR(SEARCH("Update not Provided",G56)))</formula>
    </cfRule>
    <cfRule type="containsText" dxfId="1543" priority="1521" operator="containsText" text="Not yet due">
      <formula>NOT(ISERROR(SEARCH("Not yet due",G56)))</formula>
    </cfRule>
    <cfRule type="containsText" dxfId="1542" priority="1522" operator="containsText" text="Completed Behind Schedule">
      <formula>NOT(ISERROR(SEARCH("Completed Behind Schedule",G56)))</formula>
    </cfRule>
    <cfRule type="containsText" dxfId="1541" priority="1523" operator="containsText" text="Off Target">
      <formula>NOT(ISERROR(SEARCH("Off Target",G56)))</formula>
    </cfRule>
    <cfRule type="containsText" dxfId="1540" priority="1524" operator="containsText" text="On Track to be Achieved">
      <formula>NOT(ISERROR(SEARCH("On Track to be Achieved",G56)))</formula>
    </cfRule>
    <cfRule type="containsText" dxfId="1539" priority="1525" operator="containsText" text="Fully Achieved">
      <formula>NOT(ISERROR(SEARCH("Fully Achieved",G56)))</formula>
    </cfRule>
    <cfRule type="containsText" dxfId="1538" priority="1526" operator="containsText" text="Not yet due">
      <formula>NOT(ISERROR(SEARCH("Not yet due",G56)))</formula>
    </cfRule>
    <cfRule type="containsText" dxfId="1537" priority="1527" operator="containsText" text="Not Yet Due">
      <formula>NOT(ISERROR(SEARCH("Not Yet Due",G56)))</formula>
    </cfRule>
    <cfRule type="containsText" dxfId="1536" priority="1528" operator="containsText" text="Deferred">
      <formula>NOT(ISERROR(SEARCH("Deferred",G56)))</formula>
    </cfRule>
    <cfRule type="containsText" dxfId="1535" priority="1529" operator="containsText" text="Deleted">
      <formula>NOT(ISERROR(SEARCH("Deleted",G56)))</formula>
    </cfRule>
    <cfRule type="containsText" dxfId="1534" priority="1530" operator="containsText" text="In Danger of Falling Behind Target">
      <formula>NOT(ISERROR(SEARCH("In Danger of Falling Behind Target",G56)))</formula>
    </cfRule>
    <cfRule type="containsText" dxfId="1533" priority="1531" operator="containsText" text="Not yet due">
      <formula>NOT(ISERROR(SEARCH("Not yet due",G56)))</formula>
    </cfRule>
    <cfRule type="containsText" dxfId="1532" priority="1532" operator="containsText" text="Completed Behind Schedule">
      <formula>NOT(ISERROR(SEARCH("Completed Behind Schedule",G56)))</formula>
    </cfRule>
    <cfRule type="containsText" dxfId="1531" priority="1533" operator="containsText" text="Off Target">
      <formula>NOT(ISERROR(SEARCH("Off Target",G56)))</formula>
    </cfRule>
    <cfRule type="containsText" dxfId="1530" priority="1534" operator="containsText" text="In Danger of Falling Behind Target">
      <formula>NOT(ISERROR(SEARCH("In Danger of Falling Behind Target",G56)))</formula>
    </cfRule>
    <cfRule type="containsText" dxfId="1529" priority="1535" operator="containsText" text="On Track to be Achieved">
      <formula>NOT(ISERROR(SEARCH("On Track to be Achieved",G56)))</formula>
    </cfRule>
    <cfRule type="containsText" dxfId="1528" priority="1536" operator="containsText" text="Fully Achieved">
      <formula>NOT(ISERROR(SEARCH("Fully Achieved",G56)))</formula>
    </cfRule>
    <cfRule type="containsText" dxfId="1527" priority="1537" operator="containsText" text="Update not Provided">
      <formula>NOT(ISERROR(SEARCH("Update not Provided",G56)))</formula>
    </cfRule>
    <cfRule type="containsText" dxfId="1526" priority="1538" operator="containsText" text="Not yet due">
      <formula>NOT(ISERROR(SEARCH("Not yet due",G56)))</formula>
    </cfRule>
    <cfRule type="containsText" dxfId="1525" priority="1539" operator="containsText" text="Completed Behind Schedule">
      <formula>NOT(ISERROR(SEARCH("Completed Behind Schedule",G56)))</formula>
    </cfRule>
    <cfRule type="containsText" dxfId="1524" priority="1540" operator="containsText" text="Off Target">
      <formula>NOT(ISERROR(SEARCH("Off Target",G56)))</formula>
    </cfRule>
    <cfRule type="containsText" dxfId="1523" priority="1541" operator="containsText" text="In Danger of Falling Behind Target">
      <formula>NOT(ISERROR(SEARCH("In Danger of Falling Behind Target",G56)))</formula>
    </cfRule>
    <cfRule type="containsText" dxfId="1522" priority="1542" operator="containsText" text="On Track to be Achieved">
      <formula>NOT(ISERROR(SEARCH("On Track to be Achieved",G56)))</formula>
    </cfRule>
    <cfRule type="containsText" dxfId="1521" priority="1543" operator="containsText" text="Fully Achieved">
      <formula>NOT(ISERROR(SEARCH("Fully Achieved",G56)))</formula>
    </cfRule>
    <cfRule type="containsText" dxfId="1520" priority="1544" operator="containsText" text="Fully Achieved">
      <formula>NOT(ISERROR(SEARCH("Fully Achieved",G56)))</formula>
    </cfRule>
    <cfRule type="containsText" dxfId="1519" priority="1545" operator="containsText" text="Fully Achieved">
      <formula>NOT(ISERROR(SEARCH("Fully Achieved",G56)))</formula>
    </cfRule>
    <cfRule type="containsText" dxfId="1518" priority="1546" operator="containsText" text="Deferred">
      <formula>NOT(ISERROR(SEARCH("Deferred",G56)))</formula>
    </cfRule>
    <cfRule type="containsText" dxfId="1517" priority="1547" operator="containsText" text="Deleted">
      <formula>NOT(ISERROR(SEARCH("Deleted",G56)))</formula>
    </cfRule>
    <cfRule type="containsText" dxfId="1516" priority="1548" operator="containsText" text="In Danger of Falling Behind Target">
      <formula>NOT(ISERROR(SEARCH("In Danger of Falling Behind Target",G56)))</formula>
    </cfRule>
    <cfRule type="containsText" dxfId="1515" priority="1549" operator="containsText" text="Not yet due">
      <formula>NOT(ISERROR(SEARCH("Not yet due",G56)))</formula>
    </cfRule>
    <cfRule type="containsText" dxfId="1514" priority="1550" operator="containsText" text="Update not Provided">
      <formula>NOT(ISERROR(SEARCH("Update not Provided",G56)))</formula>
    </cfRule>
  </conditionalFormatting>
  <conditionalFormatting sqref="G66:G69">
    <cfRule type="containsText" dxfId="1513" priority="1479" operator="containsText" text="On track to be achieved">
      <formula>NOT(ISERROR(SEARCH("On track to be achieved",G66)))</formula>
    </cfRule>
    <cfRule type="containsText" dxfId="1512" priority="1480" operator="containsText" text="Deferred">
      <formula>NOT(ISERROR(SEARCH("Deferred",G66)))</formula>
    </cfRule>
    <cfRule type="containsText" dxfId="1511" priority="1481" operator="containsText" text="Deleted">
      <formula>NOT(ISERROR(SEARCH("Deleted",G66)))</formula>
    </cfRule>
    <cfRule type="containsText" dxfId="1510" priority="1482" operator="containsText" text="In Danger of Falling Behind Target">
      <formula>NOT(ISERROR(SEARCH("In Danger of Falling Behind Target",G66)))</formula>
    </cfRule>
    <cfRule type="containsText" dxfId="1509" priority="1483" operator="containsText" text="Not yet due">
      <formula>NOT(ISERROR(SEARCH("Not yet due",G66)))</formula>
    </cfRule>
    <cfRule type="containsText" dxfId="1508" priority="1484" operator="containsText" text="Update not Provided">
      <formula>NOT(ISERROR(SEARCH("Update not Provided",G66)))</formula>
    </cfRule>
    <cfRule type="containsText" dxfId="1507" priority="1485" operator="containsText" text="Not yet due">
      <formula>NOT(ISERROR(SEARCH("Not yet due",G66)))</formula>
    </cfRule>
    <cfRule type="containsText" dxfId="1506" priority="1486" operator="containsText" text="Completed Behind Schedule">
      <formula>NOT(ISERROR(SEARCH("Completed Behind Schedule",G66)))</formula>
    </cfRule>
    <cfRule type="containsText" dxfId="1505" priority="1487" operator="containsText" text="Off Target">
      <formula>NOT(ISERROR(SEARCH("Off Target",G66)))</formula>
    </cfRule>
    <cfRule type="containsText" dxfId="1504" priority="1488" operator="containsText" text="On Track to be Achieved">
      <formula>NOT(ISERROR(SEARCH("On Track to be Achieved",G66)))</formula>
    </cfRule>
    <cfRule type="containsText" dxfId="1503" priority="1489" operator="containsText" text="Fully Achieved">
      <formula>NOT(ISERROR(SEARCH("Fully Achieved",G66)))</formula>
    </cfRule>
    <cfRule type="containsText" dxfId="1502" priority="1490" operator="containsText" text="Not yet due">
      <formula>NOT(ISERROR(SEARCH("Not yet due",G66)))</formula>
    </cfRule>
    <cfRule type="containsText" dxfId="1501" priority="1491" operator="containsText" text="Not Yet Due">
      <formula>NOT(ISERROR(SEARCH("Not Yet Due",G66)))</formula>
    </cfRule>
    <cfRule type="containsText" dxfId="1500" priority="1492" operator="containsText" text="Deferred">
      <formula>NOT(ISERROR(SEARCH("Deferred",G66)))</formula>
    </cfRule>
    <cfRule type="containsText" dxfId="1499" priority="1493" operator="containsText" text="Deleted">
      <formula>NOT(ISERROR(SEARCH("Deleted",G66)))</formula>
    </cfRule>
    <cfRule type="containsText" dxfId="1498" priority="1494" operator="containsText" text="In Danger of Falling Behind Target">
      <formula>NOT(ISERROR(SEARCH("In Danger of Falling Behind Target",G66)))</formula>
    </cfRule>
    <cfRule type="containsText" dxfId="1497" priority="1495" operator="containsText" text="Not yet due">
      <formula>NOT(ISERROR(SEARCH("Not yet due",G66)))</formula>
    </cfRule>
    <cfRule type="containsText" dxfId="1496" priority="1496" operator="containsText" text="Completed Behind Schedule">
      <formula>NOT(ISERROR(SEARCH("Completed Behind Schedule",G66)))</formula>
    </cfRule>
    <cfRule type="containsText" dxfId="1495" priority="1497" operator="containsText" text="Off Target">
      <formula>NOT(ISERROR(SEARCH("Off Target",G66)))</formula>
    </cfRule>
    <cfRule type="containsText" dxfId="1494" priority="1498" operator="containsText" text="In Danger of Falling Behind Target">
      <formula>NOT(ISERROR(SEARCH("In Danger of Falling Behind Target",G66)))</formula>
    </cfRule>
    <cfRule type="containsText" dxfId="1493" priority="1499" operator="containsText" text="On Track to be Achieved">
      <formula>NOT(ISERROR(SEARCH("On Track to be Achieved",G66)))</formula>
    </cfRule>
    <cfRule type="containsText" dxfId="1492" priority="1500" operator="containsText" text="Fully Achieved">
      <formula>NOT(ISERROR(SEARCH("Fully Achieved",G66)))</formula>
    </cfRule>
    <cfRule type="containsText" dxfId="1491" priority="1501" operator="containsText" text="Update not Provided">
      <formula>NOT(ISERROR(SEARCH("Update not Provided",G66)))</formula>
    </cfRule>
    <cfRule type="containsText" dxfId="1490" priority="1502" operator="containsText" text="Not yet due">
      <formula>NOT(ISERROR(SEARCH("Not yet due",G66)))</formula>
    </cfRule>
    <cfRule type="containsText" dxfId="1489" priority="1503" operator="containsText" text="Completed Behind Schedule">
      <formula>NOT(ISERROR(SEARCH("Completed Behind Schedule",G66)))</formula>
    </cfRule>
    <cfRule type="containsText" dxfId="1488" priority="1504" operator="containsText" text="Off Target">
      <formula>NOT(ISERROR(SEARCH("Off Target",G66)))</formula>
    </cfRule>
    <cfRule type="containsText" dxfId="1487" priority="1505" operator="containsText" text="In Danger of Falling Behind Target">
      <formula>NOT(ISERROR(SEARCH("In Danger of Falling Behind Target",G66)))</formula>
    </cfRule>
    <cfRule type="containsText" dxfId="1486" priority="1506" operator="containsText" text="On Track to be Achieved">
      <formula>NOT(ISERROR(SEARCH("On Track to be Achieved",G66)))</formula>
    </cfRule>
    <cfRule type="containsText" dxfId="1485" priority="1507" operator="containsText" text="Fully Achieved">
      <formula>NOT(ISERROR(SEARCH("Fully Achieved",G66)))</formula>
    </cfRule>
    <cfRule type="containsText" dxfId="1484" priority="1508" operator="containsText" text="Fully Achieved">
      <formula>NOT(ISERROR(SEARCH("Fully Achieved",G66)))</formula>
    </cfRule>
    <cfRule type="containsText" dxfId="1483" priority="1509" operator="containsText" text="Fully Achieved">
      <formula>NOT(ISERROR(SEARCH("Fully Achieved",G66)))</formula>
    </cfRule>
    <cfRule type="containsText" dxfId="1482" priority="1510" operator="containsText" text="Deferred">
      <formula>NOT(ISERROR(SEARCH("Deferred",G66)))</formula>
    </cfRule>
    <cfRule type="containsText" dxfId="1481" priority="1511" operator="containsText" text="Deleted">
      <formula>NOT(ISERROR(SEARCH("Deleted",G66)))</formula>
    </cfRule>
    <cfRule type="containsText" dxfId="1480" priority="1512" operator="containsText" text="In Danger of Falling Behind Target">
      <formula>NOT(ISERROR(SEARCH("In Danger of Falling Behind Target",G66)))</formula>
    </cfRule>
    <cfRule type="containsText" dxfId="1479" priority="1513" operator="containsText" text="Not yet due">
      <formula>NOT(ISERROR(SEARCH("Not yet due",G66)))</formula>
    </cfRule>
    <cfRule type="containsText" dxfId="1478" priority="1514" operator="containsText" text="Update not Provided">
      <formula>NOT(ISERROR(SEARCH("Update not Provided",G66)))</formula>
    </cfRule>
  </conditionalFormatting>
  <conditionalFormatting sqref="G70:G75">
    <cfRule type="containsText" dxfId="1477" priority="1443" operator="containsText" text="On track to be achieved">
      <formula>NOT(ISERROR(SEARCH("On track to be achieved",G70)))</formula>
    </cfRule>
    <cfRule type="containsText" dxfId="1476" priority="1444" operator="containsText" text="Deferred">
      <formula>NOT(ISERROR(SEARCH("Deferred",G70)))</formula>
    </cfRule>
    <cfRule type="containsText" dxfId="1475" priority="1445" operator="containsText" text="Deleted">
      <formula>NOT(ISERROR(SEARCH("Deleted",G70)))</formula>
    </cfRule>
    <cfRule type="containsText" dxfId="1474" priority="1446" operator="containsText" text="In Danger of Falling Behind Target">
      <formula>NOT(ISERROR(SEARCH("In Danger of Falling Behind Target",G70)))</formula>
    </cfRule>
    <cfRule type="containsText" dxfId="1473" priority="1447" operator="containsText" text="Not yet due">
      <formula>NOT(ISERROR(SEARCH("Not yet due",G70)))</formula>
    </cfRule>
    <cfRule type="containsText" dxfId="1472" priority="1448" operator="containsText" text="Update not Provided">
      <formula>NOT(ISERROR(SEARCH("Update not Provided",G70)))</formula>
    </cfRule>
    <cfRule type="containsText" dxfId="1471" priority="1449" operator="containsText" text="Not yet due">
      <formula>NOT(ISERROR(SEARCH("Not yet due",G70)))</formula>
    </cfRule>
    <cfRule type="containsText" dxfId="1470" priority="1450" operator="containsText" text="Completed Behind Schedule">
      <formula>NOT(ISERROR(SEARCH("Completed Behind Schedule",G70)))</formula>
    </cfRule>
    <cfRule type="containsText" dxfId="1469" priority="1451" operator="containsText" text="Off Target">
      <formula>NOT(ISERROR(SEARCH("Off Target",G70)))</formula>
    </cfRule>
    <cfRule type="containsText" dxfId="1468" priority="1452" operator="containsText" text="On Track to be Achieved">
      <formula>NOT(ISERROR(SEARCH("On Track to be Achieved",G70)))</formula>
    </cfRule>
    <cfRule type="containsText" dxfId="1467" priority="1453" operator="containsText" text="Fully Achieved">
      <formula>NOT(ISERROR(SEARCH("Fully Achieved",G70)))</formula>
    </cfRule>
    <cfRule type="containsText" dxfId="1466" priority="1454" operator="containsText" text="Not yet due">
      <formula>NOT(ISERROR(SEARCH("Not yet due",G70)))</formula>
    </cfRule>
    <cfRule type="containsText" dxfId="1465" priority="1455" operator="containsText" text="Not Yet Due">
      <formula>NOT(ISERROR(SEARCH("Not Yet Due",G70)))</formula>
    </cfRule>
    <cfRule type="containsText" dxfId="1464" priority="1456" operator="containsText" text="Deferred">
      <formula>NOT(ISERROR(SEARCH("Deferred",G70)))</formula>
    </cfRule>
    <cfRule type="containsText" dxfId="1463" priority="1457" operator="containsText" text="Deleted">
      <formula>NOT(ISERROR(SEARCH("Deleted",G70)))</formula>
    </cfRule>
    <cfRule type="containsText" dxfId="1462" priority="1458" operator="containsText" text="In Danger of Falling Behind Target">
      <formula>NOT(ISERROR(SEARCH("In Danger of Falling Behind Target",G70)))</formula>
    </cfRule>
    <cfRule type="containsText" dxfId="1461" priority="1459" operator="containsText" text="Not yet due">
      <formula>NOT(ISERROR(SEARCH("Not yet due",G70)))</formula>
    </cfRule>
    <cfRule type="containsText" dxfId="1460" priority="1460" operator="containsText" text="Completed Behind Schedule">
      <formula>NOT(ISERROR(SEARCH("Completed Behind Schedule",G70)))</formula>
    </cfRule>
    <cfRule type="containsText" dxfId="1459" priority="1461" operator="containsText" text="Off Target">
      <formula>NOT(ISERROR(SEARCH("Off Target",G70)))</formula>
    </cfRule>
    <cfRule type="containsText" dxfId="1458" priority="1462" operator="containsText" text="In Danger of Falling Behind Target">
      <formula>NOT(ISERROR(SEARCH("In Danger of Falling Behind Target",G70)))</formula>
    </cfRule>
    <cfRule type="containsText" dxfId="1457" priority="1463" operator="containsText" text="On Track to be Achieved">
      <formula>NOT(ISERROR(SEARCH("On Track to be Achieved",G70)))</formula>
    </cfRule>
    <cfRule type="containsText" dxfId="1456" priority="1464" operator="containsText" text="Fully Achieved">
      <formula>NOT(ISERROR(SEARCH("Fully Achieved",G70)))</formula>
    </cfRule>
    <cfRule type="containsText" dxfId="1455" priority="1465" operator="containsText" text="Update not Provided">
      <formula>NOT(ISERROR(SEARCH("Update not Provided",G70)))</formula>
    </cfRule>
    <cfRule type="containsText" dxfId="1454" priority="1466" operator="containsText" text="Not yet due">
      <formula>NOT(ISERROR(SEARCH("Not yet due",G70)))</formula>
    </cfRule>
    <cfRule type="containsText" dxfId="1453" priority="1467" operator="containsText" text="Completed Behind Schedule">
      <formula>NOT(ISERROR(SEARCH("Completed Behind Schedule",G70)))</formula>
    </cfRule>
    <cfRule type="containsText" dxfId="1452" priority="1468" operator="containsText" text="Off Target">
      <formula>NOT(ISERROR(SEARCH("Off Target",G70)))</formula>
    </cfRule>
    <cfRule type="containsText" dxfId="1451" priority="1469" operator="containsText" text="In Danger of Falling Behind Target">
      <formula>NOT(ISERROR(SEARCH("In Danger of Falling Behind Target",G70)))</formula>
    </cfRule>
    <cfRule type="containsText" dxfId="1450" priority="1470" operator="containsText" text="On Track to be Achieved">
      <formula>NOT(ISERROR(SEARCH("On Track to be Achieved",G70)))</formula>
    </cfRule>
    <cfRule type="containsText" dxfId="1449" priority="1471" operator="containsText" text="Fully Achieved">
      <formula>NOT(ISERROR(SEARCH("Fully Achieved",G70)))</formula>
    </cfRule>
    <cfRule type="containsText" dxfId="1448" priority="1472" operator="containsText" text="Fully Achieved">
      <formula>NOT(ISERROR(SEARCH("Fully Achieved",G70)))</formula>
    </cfRule>
    <cfRule type="containsText" dxfId="1447" priority="1473" operator="containsText" text="Fully Achieved">
      <formula>NOT(ISERROR(SEARCH("Fully Achieved",G70)))</formula>
    </cfRule>
    <cfRule type="containsText" dxfId="1446" priority="1474" operator="containsText" text="Deferred">
      <formula>NOT(ISERROR(SEARCH("Deferred",G70)))</formula>
    </cfRule>
    <cfRule type="containsText" dxfId="1445" priority="1475" operator="containsText" text="Deleted">
      <formula>NOT(ISERROR(SEARCH("Deleted",G70)))</formula>
    </cfRule>
    <cfRule type="containsText" dxfId="1444" priority="1476" operator="containsText" text="In Danger of Falling Behind Target">
      <formula>NOT(ISERROR(SEARCH("In Danger of Falling Behind Target",G70)))</formula>
    </cfRule>
    <cfRule type="containsText" dxfId="1443" priority="1477" operator="containsText" text="Not yet due">
      <formula>NOT(ISERROR(SEARCH("Not yet due",G70)))</formula>
    </cfRule>
    <cfRule type="containsText" dxfId="1442" priority="1478" operator="containsText" text="Update not Provided">
      <formula>NOT(ISERROR(SEARCH("Update not Provided",G70)))</formula>
    </cfRule>
  </conditionalFormatting>
  <conditionalFormatting sqref="G76:G79">
    <cfRule type="containsText" dxfId="1441" priority="1407" operator="containsText" text="On track to be achieved">
      <formula>NOT(ISERROR(SEARCH("On track to be achieved",G76)))</formula>
    </cfRule>
    <cfRule type="containsText" dxfId="1440" priority="1408" operator="containsText" text="Deferred">
      <formula>NOT(ISERROR(SEARCH("Deferred",G76)))</formula>
    </cfRule>
    <cfRule type="containsText" dxfId="1439" priority="1409" operator="containsText" text="Deleted">
      <formula>NOT(ISERROR(SEARCH("Deleted",G76)))</formula>
    </cfRule>
    <cfRule type="containsText" dxfId="1438" priority="1410" operator="containsText" text="In Danger of Falling Behind Target">
      <formula>NOT(ISERROR(SEARCH("In Danger of Falling Behind Target",G76)))</formula>
    </cfRule>
    <cfRule type="containsText" dxfId="1437" priority="1411" operator="containsText" text="Not yet due">
      <formula>NOT(ISERROR(SEARCH("Not yet due",G76)))</formula>
    </cfRule>
    <cfRule type="containsText" dxfId="1436" priority="1412" operator="containsText" text="Update not Provided">
      <formula>NOT(ISERROR(SEARCH("Update not Provided",G76)))</formula>
    </cfRule>
    <cfRule type="containsText" dxfId="1435" priority="1413" operator="containsText" text="Not yet due">
      <formula>NOT(ISERROR(SEARCH("Not yet due",G76)))</formula>
    </cfRule>
    <cfRule type="containsText" dxfId="1434" priority="1414" operator="containsText" text="Completed Behind Schedule">
      <formula>NOT(ISERROR(SEARCH("Completed Behind Schedule",G76)))</formula>
    </cfRule>
    <cfRule type="containsText" dxfId="1433" priority="1415" operator="containsText" text="Off Target">
      <formula>NOT(ISERROR(SEARCH("Off Target",G76)))</formula>
    </cfRule>
    <cfRule type="containsText" dxfId="1432" priority="1416" operator="containsText" text="On Track to be Achieved">
      <formula>NOT(ISERROR(SEARCH("On Track to be Achieved",G76)))</formula>
    </cfRule>
    <cfRule type="containsText" dxfId="1431" priority="1417" operator="containsText" text="Fully Achieved">
      <formula>NOT(ISERROR(SEARCH("Fully Achieved",G76)))</formula>
    </cfRule>
    <cfRule type="containsText" dxfId="1430" priority="1418" operator="containsText" text="Not yet due">
      <formula>NOT(ISERROR(SEARCH("Not yet due",G76)))</formula>
    </cfRule>
    <cfRule type="containsText" dxfId="1429" priority="1419" operator="containsText" text="Not Yet Due">
      <formula>NOT(ISERROR(SEARCH("Not Yet Due",G76)))</formula>
    </cfRule>
    <cfRule type="containsText" dxfId="1428" priority="1420" operator="containsText" text="Deferred">
      <formula>NOT(ISERROR(SEARCH("Deferred",G76)))</formula>
    </cfRule>
    <cfRule type="containsText" dxfId="1427" priority="1421" operator="containsText" text="Deleted">
      <formula>NOT(ISERROR(SEARCH("Deleted",G76)))</formula>
    </cfRule>
    <cfRule type="containsText" dxfId="1426" priority="1422" operator="containsText" text="In Danger of Falling Behind Target">
      <formula>NOT(ISERROR(SEARCH("In Danger of Falling Behind Target",G76)))</formula>
    </cfRule>
    <cfRule type="containsText" dxfId="1425" priority="1423" operator="containsText" text="Not yet due">
      <formula>NOT(ISERROR(SEARCH("Not yet due",G76)))</formula>
    </cfRule>
    <cfRule type="containsText" dxfId="1424" priority="1424" operator="containsText" text="Completed Behind Schedule">
      <formula>NOT(ISERROR(SEARCH("Completed Behind Schedule",G76)))</formula>
    </cfRule>
    <cfRule type="containsText" dxfId="1423" priority="1425" operator="containsText" text="Off Target">
      <formula>NOT(ISERROR(SEARCH("Off Target",G76)))</formula>
    </cfRule>
    <cfRule type="containsText" dxfId="1422" priority="1426" operator="containsText" text="In Danger of Falling Behind Target">
      <formula>NOT(ISERROR(SEARCH("In Danger of Falling Behind Target",G76)))</formula>
    </cfRule>
    <cfRule type="containsText" dxfId="1421" priority="1427" operator="containsText" text="On Track to be Achieved">
      <formula>NOT(ISERROR(SEARCH("On Track to be Achieved",G76)))</formula>
    </cfRule>
    <cfRule type="containsText" dxfId="1420" priority="1428" operator="containsText" text="Fully Achieved">
      <formula>NOT(ISERROR(SEARCH("Fully Achieved",G76)))</formula>
    </cfRule>
    <cfRule type="containsText" dxfId="1419" priority="1429" operator="containsText" text="Update not Provided">
      <formula>NOT(ISERROR(SEARCH("Update not Provided",G76)))</formula>
    </cfRule>
    <cfRule type="containsText" dxfId="1418" priority="1430" operator="containsText" text="Not yet due">
      <formula>NOT(ISERROR(SEARCH("Not yet due",G76)))</formula>
    </cfRule>
    <cfRule type="containsText" dxfId="1417" priority="1431" operator="containsText" text="Completed Behind Schedule">
      <formula>NOT(ISERROR(SEARCH("Completed Behind Schedule",G76)))</formula>
    </cfRule>
    <cfRule type="containsText" dxfId="1416" priority="1432" operator="containsText" text="Off Target">
      <formula>NOT(ISERROR(SEARCH("Off Target",G76)))</formula>
    </cfRule>
    <cfRule type="containsText" dxfId="1415" priority="1433" operator="containsText" text="In Danger of Falling Behind Target">
      <formula>NOT(ISERROR(SEARCH("In Danger of Falling Behind Target",G76)))</formula>
    </cfRule>
    <cfRule type="containsText" dxfId="1414" priority="1434" operator="containsText" text="On Track to be Achieved">
      <formula>NOT(ISERROR(SEARCH("On Track to be Achieved",G76)))</formula>
    </cfRule>
    <cfRule type="containsText" dxfId="1413" priority="1435" operator="containsText" text="Fully Achieved">
      <formula>NOT(ISERROR(SEARCH("Fully Achieved",G76)))</formula>
    </cfRule>
    <cfRule type="containsText" dxfId="1412" priority="1436" operator="containsText" text="Fully Achieved">
      <formula>NOT(ISERROR(SEARCH("Fully Achieved",G76)))</formula>
    </cfRule>
    <cfRule type="containsText" dxfId="1411" priority="1437" operator="containsText" text="Fully Achieved">
      <formula>NOT(ISERROR(SEARCH("Fully Achieved",G76)))</formula>
    </cfRule>
    <cfRule type="containsText" dxfId="1410" priority="1438" operator="containsText" text="Deferred">
      <formula>NOT(ISERROR(SEARCH("Deferred",G76)))</formula>
    </cfRule>
    <cfRule type="containsText" dxfId="1409" priority="1439" operator="containsText" text="Deleted">
      <formula>NOT(ISERROR(SEARCH("Deleted",G76)))</formula>
    </cfRule>
    <cfRule type="containsText" dxfId="1408" priority="1440" operator="containsText" text="In Danger of Falling Behind Target">
      <formula>NOT(ISERROR(SEARCH("In Danger of Falling Behind Target",G76)))</formula>
    </cfRule>
    <cfRule type="containsText" dxfId="1407" priority="1441" operator="containsText" text="Not yet due">
      <formula>NOT(ISERROR(SEARCH("Not yet due",G76)))</formula>
    </cfRule>
    <cfRule type="containsText" dxfId="1406" priority="1442" operator="containsText" text="Update not Provided">
      <formula>NOT(ISERROR(SEARCH("Update not Provided",G76)))</formula>
    </cfRule>
  </conditionalFormatting>
  <conditionalFormatting sqref="G81:G82">
    <cfRule type="containsText" dxfId="1405" priority="1371" operator="containsText" text="On track to be achieved">
      <formula>NOT(ISERROR(SEARCH("On track to be achieved",G81)))</formula>
    </cfRule>
    <cfRule type="containsText" dxfId="1404" priority="1372" operator="containsText" text="Deferred">
      <formula>NOT(ISERROR(SEARCH("Deferred",G81)))</formula>
    </cfRule>
    <cfRule type="containsText" dxfId="1403" priority="1373" operator="containsText" text="Deleted">
      <formula>NOT(ISERROR(SEARCH("Deleted",G81)))</formula>
    </cfRule>
    <cfRule type="containsText" dxfId="1402" priority="1374" operator="containsText" text="In Danger of Falling Behind Target">
      <formula>NOT(ISERROR(SEARCH("In Danger of Falling Behind Target",G81)))</formula>
    </cfRule>
    <cfRule type="containsText" dxfId="1401" priority="1375" operator="containsText" text="Not yet due">
      <formula>NOT(ISERROR(SEARCH("Not yet due",G81)))</formula>
    </cfRule>
    <cfRule type="containsText" dxfId="1400" priority="1376" operator="containsText" text="Update not Provided">
      <formula>NOT(ISERROR(SEARCH("Update not Provided",G81)))</formula>
    </cfRule>
    <cfRule type="containsText" dxfId="1399" priority="1377" operator="containsText" text="Not yet due">
      <formula>NOT(ISERROR(SEARCH("Not yet due",G81)))</formula>
    </cfRule>
    <cfRule type="containsText" dxfId="1398" priority="1378" operator="containsText" text="Completed Behind Schedule">
      <formula>NOT(ISERROR(SEARCH("Completed Behind Schedule",G81)))</formula>
    </cfRule>
    <cfRule type="containsText" dxfId="1397" priority="1379" operator="containsText" text="Off Target">
      <formula>NOT(ISERROR(SEARCH("Off Target",G81)))</formula>
    </cfRule>
    <cfRule type="containsText" dxfId="1396" priority="1380" operator="containsText" text="On Track to be Achieved">
      <formula>NOT(ISERROR(SEARCH("On Track to be Achieved",G81)))</formula>
    </cfRule>
    <cfRule type="containsText" dxfId="1395" priority="1381" operator="containsText" text="Fully Achieved">
      <formula>NOT(ISERROR(SEARCH("Fully Achieved",G81)))</formula>
    </cfRule>
    <cfRule type="containsText" dxfId="1394" priority="1382" operator="containsText" text="Not yet due">
      <formula>NOT(ISERROR(SEARCH("Not yet due",G81)))</formula>
    </cfRule>
    <cfRule type="containsText" dxfId="1393" priority="1383" operator="containsText" text="Not Yet Due">
      <formula>NOT(ISERROR(SEARCH("Not Yet Due",G81)))</formula>
    </cfRule>
    <cfRule type="containsText" dxfId="1392" priority="1384" operator="containsText" text="Deferred">
      <formula>NOT(ISERROR(SEARCH("Deferred",G81)))</formula>
    </cfRule>
    <cfRule type="containsText" dxfId="1391" priority="1385" operator="containsText" text="Deleted">
      <formula>NOT(ISERROR(SEARCH("Deleted",G81)))</formula>
    </cfRule>
    <cfRule type="containsText" dxfId="1390" priority="1386" operator="containsText" text="In Danger of Falling Behind Target">
      <formula>NOT(ISERROR(SEARCH("In Danger of Falling Behind Target",G81)))</formula>
    </cfRule>
    <cfRule type="containsText" dxfId="1389" priority="1387" operator="containsText" text="Not yet due">
      <formula>NOT(ISERROR(SEARCH("Not yet due",G81)))</formula>
    </cfRule>
    <cfRule type="containsText" dxfId="1388" priority="1388" operator="containsText" text="Completed Behind Schedule">
      <formula>NOT(ISERROR(SEARCH("Completed Behind Schedule",G81)))</formula>
    </cfRule>
    <cfRule type="containsText" dxfId="1387" priority="1389" operator="containsText" text="Off Target">
      <formula>NOT(ISERROR(SEARCH("Off Target",G81)))</formula>
    </cfRule>
    <cfRule type="containsText" dxfId="1386" priority="1390" operator="containsText" text="In Danger of Falling Behind Target">
      <formula>NOT(ISERROR(SEARCH("In Danger of Falling Behind Target",G81)))</formula>
    </cfRule>
    <cfRule type="containsText" dxfId="1385" priority="1391" operator="containsText" text="On Track to be Achieved">
      <formula>NOT(ISERROR(SEARCH("On Track to be Achieved",G81)))</formula>
    </cfRule>
    <cfRule type="containsText" dxfId="1384" priority="1392" operator="containsText" text="Fully Achieved">
      <formula>NOT(ISERROR(SEARCH("Fully Achieved",G81)))</formula>
    </cfRule>
    <cfRule type="containsText" dxfId="1383" priority="1393" operator="containsText" text="Update not Provided">
      <formula>NOT(ISERROR(SEARCH("Update not Provided",G81)))</formula>
    </cfRule>
    <cfRule type="containsText" dxfId="1382" priority="1394" operator="containsText" text="Not yet due">
      <formula>NOT(ISERROR(SEARCH("Not yet due",G81)))</formula>
    </cfRule>
    <cfRule type="containsText" dxfId="1381" priority="1395" operator="containsText" text="Completed Behind Schedule">
      <formula>NOT(ISERROR(SEARCH("Completed Behind Schedule",G81)))</formula>
    </cfRule>
    <cfRule type="containsText" dxfId="1380" priority="1396" operator="containsText" text="Off Target">
      <formula>NOT(ISERROR(SEARCH("Off Target",G81)))</formula>
    </cfRule>
    <cfRule type="containsText" dxfId="1379" priority="1397" operator="containsText" text="In Danger of Falling Behind Target">
      <formula>NOT(ISERROR(SEARCH("In Danger of Falling Behind Target",G81)))</formula>
    </cfRule>
    <cfRule type="containsText" dxfId="1378" priority="1398" operator="containsText" text="On Track to be Achieved">
      <formula>NOT(ISERROR(SEARCH("On Track to be Achieved",G81)))</formula>
    </cfRule>
    <cfRule type="containsText" dxfId="1377" priority="1399" operator="containsText" text="Fully Achieved">
      <formula>NOT(ISERROR(SEARCH("Fully Achieved",G81)))</formula>
    </cfRule>
    <cfRule type="containsText" dxfId="1376" priority="1400" operator="containsText" text="Fully Achieved">
      <formula>NOT(ISERROR(SEARCH("Fully Achieved",G81)))</formula>
    </cfRule>
    <cfRule type="containsText" dxfId="1375" priority="1401" operator="containsText" text="Fully Achieved">
      <formula>NOT(ISERROR(SEARCH("Fully Achieved",G81)))</formula>
    </cfRule>
    <cfRule type="containsText" dxfId="1374" priority="1402" operator="containsText" text="Deferred">
      <formula>NOT(ISERROR(SEARCH("Deferred",G81)))</formula>
    </cfRule>
    <cfRule type="containsText" dxfId="1373" priority="1403" operator="containsText" text="Deleted">
      <formula>NOT(ISERROR(SEARCH("Deleted",G81)))</formula>
    </cfRule>
    <cfRule type="containsText" dxfId="1372" priority="1404" operator="containsText" text="In Danger of Falling Behind Target">
      <formula>NOT(ISERROR(SEARCH("In Danger of Falling Behind Target",G81)))</formula>
    </cfRule>
    <cfRule type="containsText" dxfId="1371" priority="1405" operator="containsText" text="Not yet due">
      <formula>NOT(ISERROR(SEARCH("Not yet due",G81)))</formula>
    </cfRule>
    <cfRule type="containsText" dxfId="1370" priority="1406" operator="containsText" text="Update not Provided">
      <formula>NOT(ISERROR(SEARCH("Update not Provided",G81)))</formula>
    </cfRule>
  </conditionalFormatting>
  <conditionalFormatting sqref="G84">
    <cfRule type="containsText" dxfId="1369" priority="1335" operator="containsText" text="On track to be achieved">
      <formula>NOT(ISERROR(SEARCH("On track to be achieved",G84)))</formula>
    </cfRule>
    <cfRule type="containsText" dxfId="1368" priority="1336" operator="containsText" text="Deferred">
      <formula>NOT(ISERROR(SEARCH("Deferred",G84)))</formula>
    </cfRule>
    <cfRule type="containsText" dxfId="1367" priority="1337" operator="containsText" text="Deleted">
      <formula>NOT(ISERROR(SEARCH("Deleted",G84)))</formula>
    </cfRule>
    <cfRule type="containsText" dxfId="1366" priority="1338" operator="containsText" text="In Danger of Falling Behind Target">
      <formula>NOT(ISERROR(SEARCH("In Danger of Falling Behind Target",G84)))</formula>
    </cfRule>
    <cfRule type="containsText" dxfId="1365" priority="1339" operator="containsText" text="Not yet due">
      <formula>NOT(ISERROR(SEARCH("Not yet due",G84)))</formula>
    </cfRule>
    <cfRule type="containsText" dxfId="1364" priority="1340" operator="containsText" text="Update not Provided">
      <formula>NOT(ISERROR(SEARCH("Update not Provided",G84)))</formula>
    </cfRule>
    <cfRule type="containsText" dxfId="1363" priority="1341" operator="containsText" text="Not yet due">
      <formula>NOT(ISERROR(SEARCH("Not yet due",G84)))</formula>
    </cfRule>
    <cfRule type="containsText" dxfId="1362" priority="1342" operator="containsText" text="Completed Behind Schedule">
      <formula>NOT(ISERROR(SEARCH("Completed Behind Schedule",G84)))</formula>
    </cfRule>
    <cfRule type="containsText" dxfId="1361" priority="1343" operator="containsText" text="Off Target">
      <formula>NOT(ISERROR(SEARCH("Off Target",G84)))</formula>
    </cfRule>
    <cfRule type="containsText" dxfId="1360" priority="1344" operator="containsText" text="On Track to be Achieved">
      <formula>NOT(ISERROR(SEARCH("On Track to be Achieved",G84)))</formula>
    </cfRule>
    <cfRule type="containsText" dxfId="1359" priority="1345" operator="containsText" text="Fully Achieved">
      <formula>NOT(ISERROR(SEARCH("Fully Achieved",G84)))</formula>
    </cfRule>
    <cfRule type="containsText" dxfId="1358" priority="1346" operator="containsText" text="Not yet due">
      <formula>NOT(ISERROR(SEARCH("Not yet due",G84)))</formula>
    </cfRule>
    <cfRule type="containsText" dxfId="1357" priority="1347" operator="containsText" text="Not Yet Due">
      <formula>NOT(ISERROR(SEARCH("Not Yet Due",G84)))</formula>
    </cfRule>
    <cfRule type="containsText" dxfId="1356" priority="1348" operator="containsText" text="Deferred">
      <formula>NOT(ISERROR(SEARCH("Deferred",G84)))</formula>
    </cfRule>
    <cfRule type="containsText" dxfId="1355" priority="1349" operator="containsText" text="Deleted">
      <formula>NOT(ISERROR(SEARCH("Deleted",G84)))</formula>
    </cfRule>
    <cfRule type="containsText" dxfId="1354" priority="1350" operator="containsText" text="In Danger of Falling Behind Target">
      <formula>NOT(ISERROR(SEARCH("In Danger of Falling Behind Target",G84)))</formula>
    </cfRule>
    <cfRule type="containsText" dxfId="1353" priority="1351" operator="containsText" text="Not yet due">
      <formula>NOT(ISERROR(SEARCH("Not yet due",G84)))</formula>
    </cfRule>
    <cfRule type="containsText" dxfId="1352" priority="1352" operator="containsText" text="Completed Behind Schedule">
      <formula>NOT(ISERROR(SEARCH("Completed Behind Schedule",G84)))</formula>
    </cfRule>
    <cfRule type="containsText" dxfId="1351" priority="1353" operator="containsText" text="Off Target">
      <formula>NOT(ISERROR(SEARCH("Off Target",G84)))</formula>
    </cfRule>
    <cfRule type="containsText" dxfId="1350" priority="1354" operator="containsText" text="In Danger of Falling Behind Target">
      <formula>NOT(ISERROR(SEARCH("In Danger of Falling Behind Target",G84)))</formula>
    </cfRule>
    <cfRule type="containsText" dxfId="1349" priority="1355" operator="containsText" text="On Track to be Achieved">
      <formula>NOT(ISERROR(SEARCH("On Track to be Achieved",G84)))</formula>
    </cfRule>
    <cfRule type="containsText" dxfId="1348" priority="1356" operator="containsText" text="Fully Achieved">
      <formula>NOT(ISERROR(SEARCH("Fully Achieved",G84)))</formula>
    </cfRule>
    <cfRule type="containsText" dxfId="1347" priority="1357" operator="containsText" text="Update not Provided">
      <formula>NOT(ISERROR(SEARCH("Update not Provided",G84)))</formula>
    </cfRule>
    <cfRule type="containsText" dxfId="1346" priority="1358" operator="containsText" text="Not yet due">
      <formula>NOT(ISERROR(SEARCH("Not yet due",G84)))</formula>
    </cfRule>
    <cfRule type="containsText" dxfId="1345" priority="1359" operator="containsText" text="Completed Behind Schedule">
      <formula>NOT(ISERROR(SEARCH("Completed Behind Schedule",G84)))</formula>
    </cfRule>
    <cfRule type="containsText" dxfId="1344" priority="1360" operator="containsText" text="Off Target">
      <formula>NOT(ISERROR(SEARCH("Off Target",G84)))</formula>
    </cfRule>
    <cfRule type="containsText" dxfId="1343" priority="1361" operator="containsText" text="In Danger of Falling Behind Target">
      <formula>NOT(ISERROR(SEARCH("In Danger of Falling Behind Target",G84)))</formula>
    </cfRule>
    <cfRule type="containsText" dxfId="1342" priority="1362" operator="containsText" text="On Track to be Achieved">
      <formula>NOT(ISERROR(SEARCH("On Track to be Achieved",G84)))</formula>
    </cfRule>
    <cfRule type="containsText" dxfId="1341" priority="1363" operator="containsText" text="Fully Achieved">
      <formula>NOT(ISERROR(SEARCH("Fully Achieved",G84)))</formula>
    </cfRule>
    <cfRule type="containsText" dxfId="1340" priority="1364" operator="containsText" text="Fully Achieved">
      <formula>NOT(ISERROR(SEARCH("Fully Achieved",G84)))</formula>
    </cfRule>
    <cfRule type="containsText" dxfId="1339" priority="1365" operator="containsText" text="Fully Achieved">
      <formula>NOT(ISERROR(SEARCH("Fully Achieved",G84)))</formula>
    </cfRule>
    <cfRule type="containsText" dxfId="1338" priority="1366" operator="containsText" text="Deferred">
      <formula>NOT(ISERROR(SEARCH("Deferred",G84)))</formula>
    </cfRule>
    <cfRule type="containsText" dxfId="1337" priority="1367" operator="containsText" text="Deleted">
      <formula>NOT(ISERROR(SEARCH("Deleted",G84)))</formula>
    </cfRule>
    <cfRule type="containsText" dxfId="1336" priority="1368" operator="containsText" text="In Danger of Falling Behind Target">
      <formula>NOT(ISERROR(SEARCH("In Danger of Falling Behind Target",G84)))</formula>
    </cfRule>
    <cfRule type="containsText" dxfId="1335" priority="1369" operator="containsText" text="Not yet due">
      <formula>NOT(ISERROR(SEARCH("Not yet due",G84)))</formula>
    </cfRule>
    <cfRule type="containsText" dxfId="1334" priority="1370" operator="containsText" text="Update not Provided">
      <formula>NOT(ISERROR(SEARCH("Update not Provided",G84)))</formula>
    </cfRule>
  </conditionalFormatting>
  <conditionalFormatting sqref="G85:G88">
    <cfRule type="containsText" dxfId="1333" priority="1299" operator="containsText" text="On track to be achieved">
      <formula>NOT(ISERROR(SEARCH("On track to be achieved",G85)))</formula>
    </cfRule>
    <cfRule type="containsText" dxfId="1332" priority="1300" operator="containsText" text="Deferred">
      <formula>NOT(ISERROR(SEARCH("Deferred",G85)))</formula>
    </cfRule>
    <cfRule type="containsText" dxfId="1331" priority="1301" operator="containsText" text="Deleted">
      <formula>NOT(ISERROR(SEARCH("Deleted",G85)))</formula>
    </cfRule>
    <cfRule type="containsText" dxfId="1330" priority="1302" operator="containsText" text="In Danger of Falling Behind Target">
      <formula>NOT(ISERROR(SEARCH("In Danger of Falling Behind Target",G85)))</formula>
    </cfRule>
    <cfRule type="containsText" dxfId="1329" priority="1303" operator="containsText" text="Not yet due">
      <formula>NOT(ISERROR(SEARCH("Not yet due",G85)))</formula>
    </cfRule>
    <cfRule type="containsText" dxfId="1328" priority="1304" operator="containsText" text="Update not Provided">
      <formula>NOT(ISERROR(SEARCH("Update not Provided",G85)))</formula>
    </cfRule>
    <cfRule type="containsText" dxfId="1327" priority="1305" operator="containsText" text="Not yet due">
      <formula>NOT(ISERROR(SEARCH("Not yet due",G85)))</formula>
    </cfRule>
    <cfRule type="containsText" dxfId="1326" priority="1306" operator="containsText" text="Completed Behind Schedule">
      <formula>NOT(ISERROR(SEARCH("Completed Behind Schedule",G85)))</formula>
    </cfRule>
    <cfRule type="containsText" dxfId="1325" priority="1307" operator="containsText" text="Off Target">
      <formula>NOT(ISERROR(SEARCH("Off Target",G85)))</formula>
    </cfRule>
    <cfRule type="containsText" dxfId="1324" priority="1308" operator="containsText" text="On Track to be Achieved">
      <formula>NOT(ISERROR(SEARCH("On Track to be Achieved",G85)))</formula>
    </cfRule>
    <cfRule type="containsText" dxfId="1323" priority="1309" operator="containsText" text="Fully Achieved">
      <formula>NOT(ISERROR(SEARCH("Fully Achieved",G85)))</formula>
    </cfRule>
    <cfRule type="containsText" dxfId="1322" priority="1310" operator="containsText" text="Not yet due">
      <formula>NOT(ISERROR(SEARCH("Not yet due",G85)))</formula>
    </cfRule>
    <cfRule type="containsText" dxfId="1321" priority="1311" operator="containsText" text="Not Yet Due">
      <formula>NOT(ISERROR(SEARCH("Not Yet Due",G85)))</formula>
    </cfRule>
    <cfRule type="containsText" dxfId="1320" priority="1312" operator="containsText" text="Deferred">
      <formula>NOT(ISERROR(SEARCH("Deferred",G85)))</formula>
    </cfRule>
    <cfRule type="containsText" dxfId="1319" priority="1313" operator="containsText" text="Deleted">
      <formula>NOT(ISERROR(SEARCH("Deleted",G85)))</formula>
    </cfRule>
    <cfRule type="containsText" dxfId="1318" priority="1314" operator="containsText" text="In Danger of Falling Behind Target">
      <formula>NOT(ISERROR(SEARCH("In Danger of Falling Behind Target",G85)))</formula>
    </cfRule>
    <cfRule type="containsText" dxfId="1317" priority="1315" operator="containsText" text="Not yet due">
      <formula>NOT(ISERROR(SEARCH("Not yet due",G85)))</formula>
    </cfRule>
    <cfRule type="containsText" dxfId="1316" priority="1316" operator="containsText" text="Completed Behind Schedule">
      <formula>NOT(ISERROR(SEARCH("Completed Behind Schedule",G85)))</formula>
    </cfRule>
    <cfRule type="containsText" dxfId="1315" priority="1317" operator="containsText" text="Off Target">
      <formula>NOT(ISERROR(SEARCH("Off Target",G85)))</formula>
    </cfRule>
    <cfRule type="containsText" dxfId="1314" priority="1318" operator="containsText" text="In Danger of Falling Behind Target">
      <formula>NOT(ISERROR(SEARCH("In Danger of Falling Behind Target",G85)))</formula>
    </cfRule>
    <cfRule type="containsText" dxfId="1313" priority="1319" operator="containsText" text="On Track to be Achieved">
      <formula>NOT(ISERROR(SEARCH("On Track to be Achieved",G85)))</formula>
    </cfRule>
    <cfRule type="containsText" dxfId="1312" priority="1320" operator="containsText" text="Fully Achieved">
      <formula>NOT(ISERROR(SEARCH("Fully Achieved",G85)))</formula>
    </cfRule>
    <cfRule type="containsText" dxfId="1311" priority="1321" operator="containsText" text="Update not Provided">
      <formula>NOT(ISERROR(SEARCH("Update not Provided",G85)))</formula>
    </cfRule>
    <cfRule type="containsText" dxfId="1310" priority="1322" operator="containsText" text="Not yet due">
      <formula>NOT(ISERROR(SEARCH("Not yet due",G85)))</formula>
    </cfRule>
    <cfRule type="containsText" dxfId="1309" priority="1323" operator="containsText" text="Completed Behind Schedule">
      <formula>NOT(ISERROR(SEARCH("Completed Behind Schedule",G85)))</formula>
    </cfRule>
    <cfRule type="containsText" dxfId="1308" priority="1324" operator="containsText" text="Off Target">
      <formula>NOT(ISERROR(SEARCH("Off Target",G85)))</formula>
    </cfRule>
    <cfRule type="containsText" dxfId="1307" priority="1325" operator="containsText" text="In Danger of Falling Behind Target">
      <formula>NOT(ISERROR(SEARCH("In Danger of Falling Behind Target",G85)))</formula>
    </cfRule>
    <cfRule type="containsText" dxfId="1306" priority="1326" operator="containsText" text="On Track to be Achieved">
      <formula>NOT(ISERROR(SEARCH("On Track to be Achieved",G85)))</formula>
    </cfRule>
    <cfRule type="containsText" dxfId="1305" priority="1327" operator="containsText" text="Fully Achieved">
      <formula>NOT(ISERROR(SEARCH("Fully Achieved",G85)))</formula>
    </cfRule>
    <cfRule type="containsText" dxfId="1304" priority="1328" operator="containsText" text="Fully Achieved">
      <formula>NOT(ISERROR(SEARCH("Fully Achieved",G85)))</formula>
    </cfRule>
    <cfRule type="containsText" dxfId="1303" priority="1329" operator="containsText" text="Fully Achieved">
      <formula>NOT(ISERROR(SEARCH("Fully Achieved",G85)))</formula>
    </cfRule>
    <cfRule type="containsText" dxfId="1302" priority="1330" operator="containsText" text="Deferred">
      <formula>NOT(ISERROR(SEARCH("Deferred",G85)))</formula>
    </cfRule>
    <cfRule type="containsText" dxfId="1301" priority="1331" operator="containsText" text="Deleted">
      <formula>NOT(ISERROR(SEARCH("Deleted",G85)))</formula>
    </cfRule>
    <cfRule type="containsText" dxfId="1300" priority="1332" operator="containsText" text="In Danger of Falling Behind Target">
      <formula>NOT(ISERROR(SEARCH("In Danger of Falling Behind Target",G85)))</formula>
    </cfRule>
    <cfRule type="containsText" dxfId="1299" priority="1333" operator="containsText" text="Not yet due">
      <formula>NOT(ISERROR(SEARCH("Not yet due",G85)))</formula>
    </cfRule>
    <cfRule type="containsText" dxfId="1298" priority="1334" operator="containsText" text="Update not Provided">
      <formula>NOT(ISERROR(SEARCH("Update not Provided",G85)))</formula>
    </cfRule>
  </conditionalFormatting>
  <conditionalFormatting sqref="G89">
    <cfRule type="containsText" dxfId="1297" priority="1263" operator="containsText" text="On track to be achieved">
      <formula>NOT(ISERROR(SEARCH("On track to be achieved",G89)))</formula>
    </cfRule>
    <cfRule type="containsText" dxfId="1296" priority="1264" operator="containsText" text="Deferred">
      <formula>NOT(ISERROR(SEARCH("Deferred",G89)))</formula>
    </cfRule>
    <cfRule type="containsText" dxfId="1295" priority="1265" operator="containsText" text="Deleted">
      <formula>NOT(ISERROR(SEARCH("Deleted",G89)))</formula>
    </cfRule>
    <cfRule type="containsText" dxfId="1294" priority="1266" operator="containsText" text="In Danger of Falling Behind Target">
      <formula>NOT(ISERROR(SEARCH("In Danger of Falling Behind Target",G89)))</formula>
    </cfRule>
    <cfRule type="containsText" dxfId="1293" priority="1267" operator="containsText" text="Not yet due">
      <formula>NOT(ISERROR(SEARCH("Not yet due",G89)))</formula>
    </cfRule>
    <cfRule type="containsText" dxfId="1292" priority="1268" operator="containsText" text="Update not Provided">
      <formula>NOT(ISERROR(SEARCH("Update not Provided",G89)))</formula>
    </cfRule>
    <cfRule type="containsText" dxfId="1291" priority="1269" operator="containsText" text="Not yet due">
      <formula>NOT(ISERROR(SEARCH("Not yet due",G89)))</formula>
    </cfRule>
    <cfRule type="containsText" dxfId="1290" priority="1270" operator="containsText" text="Completed Behind Schedule">
      <formula>NOT(ISERROR(SEARCH("Completed Behind Schedule",G89)))</formula>
    </cfRule>
    <cfRule type="containsText" dxfId="1289" priority="1271" operator="containsText" text="Off Target">
      <formula>NOT(ISERROR(SEARCH("Off Target",G89)))</formula>
    </cfRule>
    <cfRule type="containsText" dxfId="1288" priority="1272" operator="containsText" text="On Track to be Achieved">
      <formula>NOT(ISERROR(SEARCH("On Track to be Achieved",G89)))</formula>
    </cfRule>
    <cfRule type="containsText" dxfId="1287" priority="1273" operator="containsText" text="Fully Achieved">
      <formula>NOT(ISERROR(SEARCH("Fully Achieved",G89)))</formula>
    </cfRule>
    <cfRule type="containsText" dxfId="1286" priority="1274" operator="containsText" text="Not yet due">
      <formula>NOT(ISERROR(SEARCH("Not yet due",G89)))</formula>
    </cfRule>
    <cfRule type="containsText" dxfId="1285" priority="1275" operator="containsText" text="Not Yet Due">
      <formula>NOT(ISERROR(SEARCH("Not Yet Due",G89)))</formula>
    </cfRule>
    <cfRule type="containsText" dxfId="1284" priority="1276" operator="containsText" text="Deferred">
      <formula>NOT(ISERROR(SEARCH("Deferred",G89)))</formula>
    </cfRule>
    <cfRule type="containsText" dxfId="1283" priority="1277" operator="containsText" text="Deleted">
      <formula>NOT(ISERROR(SEARCH("Deleted",G89)))</formula>
    </cfRule>
    <cfRule type="containsText" dxfId="1282" priority="1278" operator="containsText" text="In Danger of Falling Behind Target">
      <formula>NOT(ISERROR(SEARCH("In Danger of Falling Behind Target",G89)))</formula>
    </cfRule>
    <cfRule type="containsText" dxfId="1281" priority="1279" operator="containsText" text="Not yet due">
      <formula>NOT(ISERROR(SEARCH("Not yet due",G89)))</formula>
    </cfRule>
    <cfRule type="containsText" dxfId="1280" priority="1280" operator="containsText" text="Completed Behind Schedule">
      <formula>NOT(ISERROR(SEARCH("Completed Behind Schedule",G89)))</formula>
    </cfRule>
    <cfRule type="containsText" dxfId="1279" priority="1281" operator="containsText" text="Off Target">
      <formula>NOT(ISERROR(SEARCH("Off Target",G89)))</formula>
    </cfRule>
    <cfRule type="containsText" dxfId="1278" priority="1282" operator="containsText" text="In Danger of Falling Behind Target">
      <formula>NOT(ISERROR(SEARCH("In Danger of Falling Behind Target",G89)))</formula>
    </cfRule>
    <cfRule type="containsText" dxfId="1277" priority="1283" operator="containsText" text="On Track to be Achieved">
      <formula>NOT(ISERROR(SEARCH("On Track to be Achieved",G89)))</formula>
    </cfRule>
    <cfRule type="containsText" dxfId="1276" priority="1284" operator="containsText" text="Fully Achieved">
      <formula>NOT(ISERROR(SEARCH("Fully Achieved",G89)))</formula>
    </cfRule>
    <cfRule type="containsText" dxfId="1275" priority="1285" operator="containsText" text="Update not Provided">
      <formula>NOT(ISERROR(SEARCH("Update not Provided",G89)))</formula>
    </cfRule>
    <cfRule type="containsText" dxfId="1274" priority="1286" operator="containsText" text="Not yet due">
      <formula>NOT(ISERROR(SEARCH("Not yet due",G89)))</formula>
    </cfRule>
    <cfRule type="containsText" dxfId="1273" priority="1287" operator="containsText" text="Completed Behind Schedule">
      <formula>NOT(ISERROR(SEARCH("Completed Behind Schedule",G89)))</formula>
    </cfRule>
    <cfRule type="containsText" dxfId="1272" priority="1288" operator="containsText" text="Off Target">
      <formula>NOT(ISERROR(SEARCH("Off Target",G89)))</formula>
    </cfRule>
    <cfRule type="containsText" dxfId="1271" priority="1289" operator="containsText" text="In Danger of Falling Behind Target">
      <formula>NOT(ISERROR(SEARCH("In Danger of Falling Behind Target",G89)))</formula>
    </cfRule>
    <cfRule type="containsText" dxfId="1270" priority="1290" operator="containsText" text="On Track to be Achieved">
      <formula>NOT(ISERROR(SEARCH("On Track to be Achieved",G89)))</formula>
    </cfRule>
    <cfRule type="containsText" dxfId="1269" priority="1291" operator="containsText" text="Fully Achieved">
      <formula>NOT(ISERROR(SEARCH("Fully Achieved",G89)))</formula>
    </cfRule>
    <cfRule type="containsText" dxfId="1268" priority="1292" operator="containsText" text="Fully Achieved">
      <formula>NOT(ISERROR(SEARCH("Fully Achieved",G89)))</formula>
    </cfRule>
    <cfRule type="containsText" dxfId="1267" priority="1293" operator="containsText" text="Fully Achieved">
      <formula>NOT(ISERROR(SEARCH("Fully Achieved",G89)))</formula>
    </cfRule>
    <cfRule type="containsText" dxfId="1266" priority="1294" operator="containsText" text="Deferred">
      <formula>NOT(ISERROR(SEARCH("Deferred",G89)))</formula>
    </cfRule>
    <cfRule type="containsText" dxfId="1265" priority="1295" operator="containsText" text="Deleted">
      <formula>NOT(ISERROR(SEARCH("Deleted",G89)))</formula>
    </cfRule>
    <cfRule type="containsText" dxfId="1264" priority="1296" operator="containsText" text="In Danger of Falling Behind Target">
      <formula>NOT(ISERROR(SEARCH("In Danger of Falling Behind Target",G89)))</formula>
    </cfRule>
    <cfRule type="containsText" dxfId="1263" priority="1297" operator="containsText" text="Not yet due">
      <formula>NOT(ISERROR(SEARCH("Not yet due",G89)))</formula>
    </cfRule>
    <cfRule type="containsText" dxfId="1262" priority="1298" operator="containsText" text="Update not Provided">
      <formula>NOT(ISERROR(SEARCH("Update not Provided",G89)))</formula>
    </cfRule>
  </conditionalFormatting>
  <conditionalFormatting sqref="G92:G93">
    <cfRule type="containsText" dxfId="1261" priority="1227" operator="containsText" text="On track to be achieved">
      <formula>NOT(ISERROR(SEARCH("On track to be achieved",G92)))</formula>
    </cfRule>
    <cfRule type="containsText" dxfId="1260" priority="1228" operator="containsText" text="Deferred">
      <formula>NOT(ISERROR(SEARCH("Deferred",G92)))</formula>
    </cfRule>
    <cfRule type="containsText" dxfId="1259" priority="1229" operator="containsText" text="Deleted">
      <formula>NOT(ISERROR(SEARCH("Deleted",G92)))</formula>
    </cfRule>
    <cfRule type="containsText" dxfId="1258" priority="1230" operator="containsText" text="In Danger of Falling Behind Target">
      <formula>NOT(ISERROR(SEARCH("In Danger of Falling Behind Target",G92)))</formula>
    </cfRule>
    <cfRule type="containsText" dxfId="1257" priority="1231" operator="containsText" text="Not yet due">
      <formula>NOT(ISERROR(SEARCH("Not yet due",G92)))</formula>
    </cfRule>
    <cfRule type="containsText" dxfId="1256" priority="1232" operator="containsText" text="Update not Provided">
      <formula>NOT(ISERROR(SEARCH("Update not Provided",G92)))</formula>
    </cfRule>
    <cfRule type="containsText" dxfId="1255" priority="1233" operator="containsText" text="Not yet due">
      <formula>NOT(ISERROR(SEARCH("Not yet due",G92)))</formula>
    </cfRule>
    <cfRule type="containsText" dxfId="1254" priority="1234" operator="containsText" text="Completed Behind Schedule">
      <formula>NOT(ISERROR(SEARCH("Completed Behind Schedule",G92)))</formula>
    </cfRule>
    <cfRule type="containsText" dxfId="1253" priority="1235" operator="containsText" text="Off Target">
      <formula>NOT(ISERROR(SEARCH("Off Target",G92)))</formula>
    </cfRule>
    <cfRule type="containsText" dxfId="1252" priority="1236" operator="containsText" text="On Track to be Achieved">
      <formula>NOT(ISERROR(SEARCH("On Track to be Achieved",G92)))</formula>
    </cfRule>
    <cfRule type="containsText" dxfId="1251" priority="1237" operator="containsText" text="Fully Achieved">
      <formula>NOT(ISERROR(SEARCH("Fully Achieved",G92)))</formula>
    </cfRule>
    <cfRule type="containsText" dxfId="1250" priority="1238" operator="containsText" text="Not yet due">
      <formula>NOT(ISERROR(SEARCH("Not yet due",G92)))</formula>
    </cfRule>
    <cfRule type="containsText" dxfId="1249" priority="1239" operator="containsText" text="Not Yet Due">
      <formula>NOT(ISERROR(SEARCH("Not Yet Due",G92)))</formula>
    </cfRule>
    <cfRule type="containsText" dxfId="1248" priority="1240" operator="containsText" text="Deferred">
      <formula>NOT(ISERROR(SEARCH("Deferred",G92)))</formula>
    </cfRule>
    <cfRule type="containsText" dxfId="1247" priority="1241" operator="containsText" text="Deleted">
      <formula>NOT(ISERROR(SEARCH("Deleted",G92)))</formula>
    </cfRule>
    <cfRule type="containsText" dxfId="1246" priority="1242" operator="containsText" text="In Danger of Falling Behind Target">
      <formula>NOT(ISERROR(SEARCH("In Danger of Falling Behind Target",G92)))</formula>
    </cfRule>
    <cfRule type="containsText" dxfId="1245" priority="1243" operator="containsText" text="Not yet due">
      <formula>NOT(ISERROR(SEARCH("Not yet due",G92)))</formula>
    </cfRule>
    <cfRule type="containsText" dxfId="1244" priority="1244" operator="containsText" text="Completed Behind Schedule">
      <formula>NOT(ISERROR(SEARCH("Completed Behind Schedule",G92)))</formula>
    </cfRule>
    <cfRule type="containsText" dxfId="1243" priority="1245" operator="containsText" text="Off Target">
      <formula>NOT(ISERROR(SEARCH("Off Target",G92)))</formula>
    </cfRule>
    <cfRule type="containsText" dxfId="1242" priority="1246" operator="containsText" text="In Danger of Falling Behind Target">
      <formula>NOT(ISERROR(SEARCH("In Danger of Falling Behind Target",G92)))</formula>
    </cfRule>
    <cfRule type="containsText" dxfId="1241" priority="1247" operator="containsText" text="On Track to be Achieved">
      <formula>NOT(ISERROR(SEARCH("On Track to be Achieved",G92)))</formula>
    </cfRule>
    <cfRule type="containsText" dxfId="1240" priority="1248" operator="containsText" text="Fully Achieved">
      <formula>NOT(ISERROR(SEARCH("Fully Achieved",G92)))</formula>
    </cfRule>
    <cfRule type="containsText" dxfId="1239" priority="1249" operator="containsText" text="Update not Provided">
      <formula>NOT(ISERROR(SEARCH("Update not Provided",G92)))</formula>
    </cfRule>
    <cfRule type="containsText" dxfId="1238" priority="1250" operator="containsText" text="Not yet due">
      <formula>NOT(ISERROR(SEARCH("Not yet due",G92)))</formula>
    </cfRule>
    <cfRule type="containsText" dxfId="1237" priority="1251" operator="containsText" text="Completed Behind Schedule">
      <formula>NOT(ISERROR(SEARCH("Completed Behind Schedule",G92)))</formula>
    </cfRule>
    <cfRule type="containsText" dxfId="1236" priority="1252" operator="containsText" text="Off Target">
      <formula>NOT(ISERROR(SEARCH("Off Target",G92)))</formula>
    </cfRule>
    <cfRule type="containsText" dxfId="1235" priority="1253" operator="containsText" text="In Danger of Falling Behind Target">
      <formula>NOT(ISERROR(SEARCH("In Danger of Falling Behind Target",G92)))</formula>
    </cfRule>
    <cfRule type="containsText" dxfId="1234" priority="1254" operator="containsText" text="On Track to be Achieved">
      <formula>NOT(ISERROR(SEARCH("On Track to be Achieved",G92)))</formula>
    </cfRule>
    <cfRule type="containsText" dxfId="1233" priority="1255" operator="containsText" text="Fully Achieved">
      <formula>NOT(ISERROR(SEARCH("Fully Achieved",G92)))</formula>
    </cfRule>
    <cfRule type="containsText" dxfId="1232" priority="1256" operator="containsText" text="Fully Achieved">
      <formula>NOT(ISERROR(SEARCH("Fully Achieved",G92)))</formula>
    </cfRule>
    <cfRule type="containsText" dxfId="1231" priority="1257" operator="containsText" text="Fully Achieved">
      <formula>NOT(ISERROR(SEARCH("Fully Achieved",G92)))</formula>
    </cfRule>
    <cfRule type="containsText" dxfId="1230" priority="1258" operator="containsText" text="Deferred">
      <formula>NOT(ISERROR(SEARCH("Deferred",G92)))</formula>
    </cfRule>
    <cfRule type="containsText" dxfId="1229" priority="1259" operator="containsText" text="Deleted">
      <formula>NOT(ISERROR(SEARCH("Deleted",G92)))</formula>
    </cfRule>
    <cfRule type="containsText" dxfId="1228" priority="1260" operator="containsText" text="In Danger of Falling Behind Target">
      <formula>NOT(ISERROR(SEARCH("In Danger of Falling Behind Target",G92)))</formula>
    </cfRule>
    <cfRule type="containsText" dxfId="1227" priority="1261" operator="containsText" text="Not yet due">
      <formula>NOT(ISERROR(SEARCH("Not yet due",G92)))</formula>
    </cfRule>
    <cfRule type="containsText" dxfId="1226" priority="1262" operator="containsText" text="Update not Provided">
      <formula>NOT(ISERROR(SEARCH("Update not Provided",G92)))</formula>
    </cfRule>
  </conditionalFormatting>
  <conditionalFormatting sqref="G94:G99">
    <cfRule type="containsText" dxfId="1225" priority="1191" operator="containsText" text="On track to be achieved">
      <formula>NOT(ISERROR(SEARCH("On track to be achieved",G94)))</formula>
    </cfRule>
    <cfRule type="containsText" dxfId="1224" priority="1192" operator="containsText" text="Deferred">
      <formula>NOT(ISERROR(SEARCH("Deferred",G94)))</formula>
    </cfRule>
    <cfRule type="containsText" dxfId="1223" priority="1193" operator="containsText" text="Deleted">
      <formula>NOT(ISERROR(SEARCH("Deleted",G94)))</formula>
    </cfRule>
    <cfRule type="containsText" dxfId="1222" priority="1194" operator="containsText" text="In Danger of Falling Behind Target">
      <formula>NOT(ISERROR(SEARCH("In Danger of Falling Behind Target",G94)))</formula>
    </cfRule>
    <cfRule type="containsText" dxfId="1221" priority="1195" operator="containsText" text="Not yet due">
      <formula>NOT(ISERROR(SEARCH("Not yet due",G94)))</formula>
    </cfRule>
    <cfRule type="containsText" dxfId="1220" priority="1196" operator="containsText" text="Update not Provided">
      <formula>NOT(ISERROR(SEARCH("Update not Provided",G94)))</formula>
    </cfRule>
    <cfRule type="containsText" dxfId="1219" priority="1197" operator="containsText" text="Not yet due">
      <formula>NOT(ISERROR(SEARCH("Not yet due",G94)))</formula>
    </cfRule>
    <cfRule type="containsText" dxfId="1218" priority="1198" operator="containsText" text="Completed Behind Schedule">
      <formula>NOT(ISERROR(SEARCH("Completed Behind Schedule",G94)))</formula>
    </cfRule>
    <cfRule type="containsText" dxfId="1217" priority="1199" operator="containsText" text="Off Target">
      <formula>NOT(ISERROR(SEARCH("Off Target",G94)))</formula>
    </cfRule>
    <cfRule type="containsText" dxfId="1216" priority="1200" operator="containsText" text="On Track to be Achieved">
      <formula>NOT(ISERROR(SEARCH("On Track to be Achieved",G94)))</formula>
    </cfRule>
    <cfRule type="containsText" dxfId="1215" priority="1201" operator="containsText" text="Fully Achieved">
      <formula>NOT(ISERROR(SEARCH("Fully Achieved",G94)))</formula>
    </cfRule>
    <cfRule type="containsText" dxfId="1214" priority="1202" operator="containsText" text="Not yet due">
      <formula>NOT(ISERROR(SEARCH("Not yet due",G94)))</formula>
    </cfRule>
    <cfRule type="containsText" dxfId="1213" priority="1203" operator="containsText" text="Not Yet Due">
      <formula>NOT(ISERROR(SEARCH("Not Yet Due",G94)))</formula>
    </cfRule>
    <cfRule type="containsText" dxfId="1212" priority="1204" operator="containsText" text="Deferred">
      <formula>NOT(ISERROR(SEARCH("Deferred",G94)))</formula>
    </cfRule>
    <cfRule type="containsText" dxfId="1211" priority="1205" operator="containsText" text="Deleted">
      <formula>NOT(ISERROR(SEARCH("Deleted",G94)))</formula>
    </cfRule>
    <cfRule type="containsText" dxfId="1210" priority="1206" operator="containsText" text="In Danger of Falling Behind Target">
      <formula>NOT(ISERROR(SEARCH("In Danger of Falling Behind Target",G94)))</formula>
    </cfRule>
    <cfRule type="containsText" dxfId="1209" priority="1207" operator="containsText" text="Not yet due">
      <formula>NOT(ISERROR(SEARCH("Not yet due",G94)))</formula>
    </cfRule>
    <cfRule type="containsText" dxfId="1208" priority="1208" operator="containsText" text="Completed Behind Schedule">
      <formula>NOT(ISERROR(SEARCH("Completed Behind Schedule",G94)))</formula>
    </cfRule>
    <cfRule type="containsText" dxfId="1207" priority="1209" operator="containsText" text="Off Target">
      <formula>NOT(ISERROR(SEARCH("Off Target",G94)))</formula>
    </cfRule>
    <cfRule type="containsText" dxfId="1206" priority="1210" operator="containsText" text="In Danger of Falling Behind Target">
      <formula>NOT(ISERROR(SEARCH("In Danger of Falling Behind Target",G94)))</formula>
    </cfRule>
    <cfRule type="containsText" dxfId="1205" priority="1211" operator="containsText" text="On Track to be Achieved">
      <formula>NOT(ISERROR(SEARCH("On Track to be Achieved",G94)))</formula>
    </cfRule>
    <cfRule type="containsText" dxfId="1204" priority="1212" operator="containsText" text="Fully Achieved">
      <formula>NOT(ISERROR(SEARCH("Fully Achieved",G94)))</formula>
    </cfRule>
    <cfRule type="containsText" dxfId="1203" priority="1213" operator="containsText" text="Update not Provided">
      <formula>NOT(ISERROR(SEARCH("Update not Provided",G94)))</formula>
    </cfRule>
    <cfRule type="containsText" dxfId="1202" priority="1214" operator="containsText" text="Not yet due">
      <formula>NOT(ISERROR(SEARCH("Not yet due",G94)))</formula>
    </cfRule>
    <cfRule type="containsText" dxfId="1201" priority="1215" operator="containsText" text="Completed Behind Schedule">
      <formula>NOT(ISERROR(SEARCH("Completed Behind Schedule",G94)))</formula>
    </cfRule>
    <cfRule type="containsText" dxfId="1200" priority="1216" operator="containsText" text="Off Target">
      <formula>NOT(ISERROR(SEARCH("Off Target",G94)))</formula>
    </cfRule>
    <cfRule type="containsText" dxfId="1199" priority="1217" operator="containsText" text="In Danger of Falling Behind Target">
      <formula>NOT(ISERROR(SEARCH("In Danger of Falling Behind Target",G94)))</formula>
    </cfRule>
    <cfRule type="containsText" dxfId="1198" priority="1218" operator="containsText" text="On Track to be Achieved">
      <formula>NOT(ISERROR(SEARCH("On Track to be Achieved",G94)))</formula>
    </cfRule>
    <cfRule type="containsText" dxfId="1197" priority="1219" operator="containsText" text="Fully Achieved">
      <formula>NOT(ISERROR(SEARCH("Fully Achieved",G94)))</formula>
    </cfRule>
    <cfRule type="containsText" dxfId="1196" priority="1220" operator="containsText" text="Fully Achieved">
      <formula>NOT(ISERROR(SEARCH("Fully Achieved",G94)))</formula>
    </cfRule>
    <cfRule type="containsText" dxfId="1195" priority="1221" operator="containsText" text="Fully Achieved">
      <formula>NOT(ISERROR(SEARCH("Fully Achieved",G94)))</formula>
    </cfRule>
    <cfRule type="containsText" dxfId="1194" priority="1222" operator="containsText" text="Deferred">
      <formula>NOT(ISERROR(SEARCH("Deferred",G94)))</formula>
    </cfRule>
    <cfRule type="containsText" dxfId="1193" priority="1223" operator="containsText" text="Deleted">
      <formula>NOT(ISERROR(SEARCH("Deleted",G94)))</formula>
    </cfRule>
    <cfRule type="containsText" dxfId="1192" priority="1224" operator="containsText" text="In Danger of Falling Behind Target">
      <formula>NOT(ISERROR(SEARCH("In Danger of Falling Behind Target",G94)))</formula>
    </cfRule>
    <cfRule type="containsText" dxfId="1191" priority="1225" operator="containsText" text="Not yet due">
      <formula>NOT(ISERROR(SEARCH("Not yet due",G94)))</formula>
    </cfRule>
    <cfRule type="containsText" dxfId="1190" priority="1226" operator="containsText" text="Update not Provided">
      <formula>NOT(ISERROR(SEARCH("Update not Provided",G94)))</formula>
    </cfRule>
  </conditionalFormatting>
  <conditionalFormatting sqref="G100">
    <cfRule type="containsText" dxfId="1189" priority="1155" operator="containsText" text="On track to be achieved">
      <formula>NOT(ISERROR(SEARCH("On track to be achieved",G100)))</formula>
    </cfRule>
    <cfRule type="containsText" dxfId="1188" priority="1156" operator="containsText" text="Deferred">
      <formula>NOT(ISERROR(SEARCH("Deferred",G100)))</formula>
    </cfRule>
    <cfRule type="containsText" dxfId="1187" priority="1157" operator="containsText" text="Deleted">
      <formula>NOT(ISERROR(SEARCH("Deleted",G100)))</formula>
    </cfRule>
    <cfRule type="containsText" dxfId="1186" priority="1158" operator="containsText" text="In Danger of Falling Behind Target">
      <formula>NOT(ISERROR(SEARCH("In Danger of Falling Behind Target",G100)))</formula>
    </cfRule>
    <cfRule type="containsText" dxfId="1185" priority="1159" operator="containsText" text="Not yet due">
      <formula>NOT(ISERROR(SEARCH("Not yet due",G100)))</formula>
    </cfRule>
    <cfRule type="containsText" dxfId="1184" priority="1160" operator="containsText" text="Update not Provided">
      <formula>NOT(ISERROR(SEARCH("Update not Provided",G100)))</formula>
    </cfRule>
    <cfRule type="containsText" dxfId="1183" priority="1161" operator="containsText" text="Not yet due">
      <formula>NOT(ISERROR(SEARCH("Not yet due",G100)))</formula>
    </cfRule>
    <cfRule type="containsText" dxfId="1182" priority="1162" operator="containsText" text="Completed Behind Schedule">
      <formula>NOT(ISERROR(SEARCH("Completed Behind Schedule",G100)))</formula>
    </cfRule>
    <cfRule type="containsText" dxfId="1181" priority="1163" operator="containsText" text="Off Target">
      <formula>NOT(ISERROR(SEARCH("Off Target",G100)))</formula>
    </cfRule>
    <cfRule type="containsText" dxfId="1180" priority="1164" operator="containsText" text="On Track to be Achieved">
      <formula>NOT(ISERROR(SEARCH("On Track to be Achieved",G100)))</formula>
    </cfRule>
    <cfRule type="containsText" dxfId="1179" priority="1165" operator="containsText" text="Fully Achieved">
      <formula>NOT(ISERROR(SEARCH("Fully Achieved",G100)))</formula>
    </cfRule>
    <cfRule type="containsText" dxfId="1178" priority="1166" operator="containsText" text="Not yet due">
      <formula>NOT(ISERROR(SEARCH("Not yet due",G100)))</formula>
    </cfRule>
    <cfRule type="containsText" dxfId="1177" priority="1167" operator="containsText" text="Not Yet Due">
      <formula>NOT(ISERROR(SEARCH("Not Yet Due",G100)))</formula>
    </cfRule>
    <cfRule type="containsText" dxfId="1176" priority="1168" operator="containsText" text="Deferred">
      <formula>NOT(ISERROR(SEARCH("Deferred",G100)))</formula>
    </cfRule>
    <cfRule type="containsText" dxfId="1175" priority="1169" operator="containsText" text="Deleted">
      <formula>NOT(ISERROR(SEARCH("Deleted",G100)))</formula>
    </cfRule>
    <cfRule type="containsText" dxfId="1174" priority="1170" operator="containsText" text="In Danger of Falling Behind Target">
      <formula>NOT(ISERROR(SEARCH("In Danger of Falling Behind Target",G100)))</formula>
    </cfRule>
    <cfRule type="containsText" dxfId="1173" priority="1171" operator="containsText" text="Not yet due">
      <formula>NOT(ISERROR(SEARCH("Not yet due",G100)))</formula>
    </cfRule>
    <cfRule type="containsText" dxfId="1172" priority="1172" operator="containsText" text="Completed Behind Schedule">
      <formula>NOT(ISERROR(SEARCH("Completed Behind Schedule",G100)))</formula>
    </cfRule>
    <cfRule type="containsText" dxfId="1171" priority="1173" operator="containsText" text="Off Target">
      <formula>NOT(ISERROR(SEARCH("Off Target",G100)))</formula>
    </cfRule>
    <cfRule type="containsText" dxfId="1170" priority="1174" operator="containsText" text="In Danger of Falling Behind Target">
      <formula>NOT(ISERROR(SEARCH("In Danger of Falling Behind Target",G100)))</formula>
    </cfRule>
    <cfRule type="containsText" dxfId="1169" priority="1175" operator="containsText" text="On Track to be Achieved">
      <formula>NOT(ISERROR(SEARCH("On Track to be Achieved",G100)))</formula>
    </cfRule>
    <cfRule type="containsText" dxfId="1168" priority="1176" operator="containsText" text="Fully Achieved">
      <formula>NOT(ISERROR(SEARCH("Fully Achieved",G100)))</formula>
    </cfRule>
    <cfRule type="containsText" dxfId="1167" priority="1177" operator="containsText" text="Update not Provided">
      <formula>NOT(ISERROR(SEARCH("Update not Provided",G100)))</formula>
    </cfRule>
    <cfRule type="containsText" dxfId="1166" priority="1178" operator="containsText" text="Not yet due">
      <formula>NOT(ISERROR(SEARCH("Not yet due",G100)))</formula>
    </cfRule>
    <cfRule type="containsText" dxfId="1165" priority="1179" operator="containsText" text="Completed Behind Schedule">
      <formula>NOT(ISERROR(SEARCH("Completed Behind Schedule",G100)))</formula>
    </cfRule>
    <cfRule type="containsText" dxfId="1164" priority="1180" operator="containsText" text="Off Target">
      <formula>NOT(ISERROR(SEARCH("Off Target",G100)))</formula>
    </cfRule>
    <cfRule type="containsText" dxfId="1163" priority="1181" operator="containsText" text="In Danger of Falling Behind Target">
      <formula>NOT(ISERROR(SEARCH("In Danger of Falling Behind Target",G100)))</formula>
    </cfRule>
    <cfRule type="containsText" dxfId="1162" priority="1182" operator="containsText" text="On Track to be Achieved">
      <formula>NOT(ISERROR(SEARCH("On Track to be Achieved",G100)))</formula>
    </cfRule>
    <cfRule type="containsText" dxfId="1161" priority="1183" operator="containsText" text="Fully Achieved">
      <formula>NOT(ISERROR(SEARCH("Fully Achieved",G100)))</formula>
    </cfRule>
    <cfRule type="containsText" dxfId="1160" priority="1184" operator="containsText" text="Fully Achieved">
      <formula>NOT(ISERROR(SEARCH("Fully Achieved",G100)))</formula>
    </cfRule>
    <cfRule type="containsText" dxfId="1159" priority="1185" operator="containsText" text="Fully Achieved">
      <formula>NOT(ISERROR(SEARCH("Fully Achieved",G100)))</formula>
    </cfRule>
    <cfRule type="containsText" dxfId="1158" priority="1186" operator="containsText" text="Deferred">
      <formula>NOT(ISERROR(SEARCH("Deferred",G100)))</formula>
    </cfRule>
    <cfRule type="containsText" dxfId="1157" priority="1187" operator="containsText" text="Deleted">
      <formula>NOT(ISERROR(SEARCH("Deleted",G100)))</formula>
    </cfRule>
    <cfRule type="containsText" dxfId="1156" priority="1188" operator="containsText" text="In Danger of Falling Behind Target">
      <formula>NOT(ISERROR(SEARCH("In Danger of Falling Behind Target",G100)))</formula>
    </cfRule>
    <cfRule type="containsText" dxfId="1155" priority="1189" operator="containsText" text="Not yet due">
      <formula>NOT(ISERROR(SEARCH("Not yet due",G100)))</formula>
    </cfRule>
    <cfRule type="containsText" dxfId="1154" priority="1190" operator="containsText" text="Update not Provided">
      <formula>NOT(ISERROR(SEARCH("Update not Provided",G100)))</formula>
    </cfRule>
  </conditionalFormatting>
  <conditionalFormatting sqref="G101">
    <cfRule type="containsText" dxfId="1153" priority="1119" operator="containsText" text="On track to be achieved">
      <formula>NOT(ISERROR(SEARCH("On track to be achieved",G101)))</formula>
    </cfRule>
    <cfRule type="containsText" dxfId="1152" priority="1120" operator="containsText" text="Deferred">
      <formula>NOT(ISERROR(SEARCH("Deferred",G101)))</formula>
    </cfRule>
    <cfRule type="containsText" dxfId="1151" priority="1121" operator="containsText" text="Deleted">
      <formula>NOT(ISERROR(SEARCH("Deleted",G101)))</formula>
    </cfRule>
    <cfRule type="containsText" dxfId="1150" priority="1122" operator="containsText" text="In Danger of Falling Behind Target">
      <formula>NOT(ISERROR(SEARCH("In Danger of Falling Behind Target",G101)))</formula>
    </cfRule>
    <cfRule type="containsText" dxfId="1149" priority="1123" operator="containsText" text="Not yet due">
      <formula>NOT(ISERROR(SEARCH("Not yet due",G101)))</formula>
    </cfRule>
    <cfRule type="containsText" dxfId="1148" priority="1124" operator="containsText" text="Update not Provided">
      <formula>NOT(ISERROR(SEARCH("Update not Provided",G101)))</formula>
    </cfRule>
    <cfRule type="containsText" dxfId="1147" priority="1125" operator="containsText" text="Not yet due">
      <formula>NOT(ISERROR(SEARCH("Not yet due",G101)))</formula>
    </cfRule>
    <cfRule type="containsText" dxfId="1146" priority="1126" operator="containsText" text="Completed Behind Schedule">
      <formula>NOT(ISERROR(SEARCH("Completed Behind Schedule",G101)))</formula>
    </cfRule>
    <cfRule type="containsText" dxfId="1145" priority="1127" operator="containsText" text="Off Target">
      <formula>NOT(ISERROR(SEARCH("Off Target",G101)))</formula>
    </cfRule>
    <cfRule type="containsText" dxfId="1144" priority="1128" operator="containsText" text="On Track to be Achieved">
      <formula>NOT(ISERROR(SEARCH("On Track to be Achieved",G101)))</formula>
    </cfRule>
    <cfRule type="containsText" dxfId="1143" priority="1129" operator="containsText" text="Fully Achieved">
      <formula>NOT(ISERROR(SEARCH("Fully Achieved",G101)))</formula>
    </cfRule>
    <cfRule type="containsText" dxfId="1142" priority="1130" operator="containsText" text="Not yet due">
      <formula>NOT(ISERROR(SEARCH("Not yet due",G101)))</formula>
    </cfRule>
    <cfRule type="containsText" dxfId="1141" priority="1131" operator="containsText" text="Not Yet Due">
      <formula>NOT(ISERROR(SEARCH("Not Yet Due",G101)))</formula>
    </cfRule>
    <cfRule type="containsText" dxfId="1140" priority="1132" operator="containsText" text="Deferred">
      <formula>NOT(ISERROR(SEARCH("Deferred",G101)))</formula>
    </cfRule>
    <cfRule type="containsText" dxfId="1139" priority="1133" operator="containsText" text="Deleted">
      <formula>NOT(ISERROR(SEARCH("Deleted",G101)))</formula>
    </cfRule>
    <cfRule type="containsText" dxfId="1138" priority="1134" operator="containsText" text="In Danger of Falling Behind Target">
      <formula>NOT(ISERROR(SEARCH("In Danger of Falling Behind Target",G101)))</formula>
    </cfRule>
    <cfRule type="containsText" dxfId="1137" priority="1135" operator="containsText" text="Not yet due">
      <formula>NOT(ISERROR(SEARCH("Not yet due",G101)))</formula>
    </cfRule>
    <cfRule type="containsText" dxfId="1136" priority="1136" operator="containsText" text="Completed Behind Schedule">
      <formula>NOT(ISERROR(SEARCH("Completed Behind Schedule",G101)))</formula>
    </cfRule>
    <cfRule type="containsText" dxfId="1135" priority="1137" operator="containsText" text="Off Target">
      <formula>NOT(ISERROR(SEARCH("Off Target",G101)))</formula>
    </cfRule>
    <cfRule type="containsText" dxfId="1134" priority="1138" operator="containsText" text="In Danger of Falling Behind Target">
      <formula>NOT(ISERROR(SEARCH("In Danger of Falling Behind Target",G101)))</formula>
    </cfRule>
    <cfRule type="containsText" dxfId="1133" priority="1139" operator="containsText" text="On Track to be Achieved">
      <formula>NOT(ISERROR(SEARCH("On Track to be Achieved",G101)))</formula>
    </cfRule>
    <cfRule type="containsText" dxfId="1132" priority="1140" operator="containsText" text="Fully Achieved">
      <formula>NOT(ISERROR(SEARCH("Fully Achieved",G101)))</formula>
    </cfRule>
    <cfRule type="containsText" dxfId="1131" priority="1141" operator="containsText" text="Update not Provided">
      <formula>NOT(ISERROR(SEARCH("Update not Provided",G101)))</formula>
    </cfRule>
    <cfRule type="containsText" dxfId="1130" priority="1142" operator="containsText" text="Not yet due">
      <formula>NOT(ISERROR(SEARCH("Not yet due",G101)))</formula>
    </cfRule>
    <cfRule type="containsText" dxfId="1129" priority="1143" operator="containsText" text="Completed Behind Schedule">
      <formula>NOT(ISERROR(SEARCH("Completed Behind Schedule",G101)))</formula>
    </cfRule>
    <cfRule type="containsText" dxfId="1128" priority="1144" operator="containsText" text="Off Target">
      <formula>NOT(ISERROR(SEARCH("Off Target",G101)))</formula>
    </cfRule>
    <cfRule type="containsText" dxfId="1127" priority="1145" operator="containsText" text="In Danger of Falling Behind Target">
      <formula>NOT(ISERROR(SEARCH("In Danger of Falling Behind Target",G101)))</formula>
    </cfRule>
    <cfRule type="containsText" dxfId="1126" priority="1146" operator="containsText" text="On Track to be Achieved">
      <formula>NOT(ISERROR(SEARCH("On Track to be Achieved",G101)))</formula>
    </cfRule>
    <cfRule type="containsText" dxfId="1125" priority="1147" operator="containsText" text="Fully Achieved">
      <formula>NOT(ISERROR(SEARCH("Fully Achieved",G101)))</formula>
    </cfRule>
    <cfRule type="containsText" dxfId="1124" priority="1148" operator="containsText" text="Fully Achieved">
      <formula>NOT(ISERROR(SEARCH("Fully Achieved",G101)))</formula>
    </cfRule>
    <cfRule type="containsText" dxfId="1123" priority="1149" operator="containsText" text="Fully Achieved">
      <formula>NOT(ISERROR(SEARCH("Fully Achieved",G101)))</formula>
    </cfRule>
    <cfRule type="containsText" dxfId="1122" priority="1150" operator="containsText" text="Deferred">
      <formula>NOT(ISERROR(SEARCH("Deferred",G101)))</formula>
    </cfRule>
    <cfRule type="containsText" dxfId="1121" priority="1151" operator="containsText" text="Deleted">
      <formula>NOT(ISERROR(SEARCH("Deleted",G101)))</formula>
    </cfRule>
    <cfRule type="containsText" dxfId="1120" priority="1152" operator="containsText" text="In Danger of Falling Behind Target">
      <formula>NOT(ISERROR(SEARCH("In Danger of Falling Behind Target",G101)))</formula>
    </cfRule>
    <cfRule type="containsText" dxfId="1119" priority="1153" operator="containsText" text="Not yet due">
      <formula>NOT(ISERROR(SEARCH("Not yet due",G101)))</formula>
    </cfRule>
    <cfRule type="containsText" dxfId="1118" priority="1154" operator="containsText" text="Update not Provided">
      <formula>NOT(ISERROR(SEARCH("Update not Provided",G101)))</formula>
    </cfRule>
  </conditionalFormatting>
  <conditionalFormatting sqref="G102">
    <cfRule type="containsText" dxfId="1117" priority="1083" operator="containsText" text="On track to be achieved">
      <formula>NOT(ISERROR(SEARCH("On track to be achieved",G102)))</formula>
    </cfRule>
    <cfRule type="containsText" dxfId="1116" priority="1084" operator="containsText" text="Deferred">
      <formula>NOT(ISERROR(SEARCH("Deferred",G102)))</formula>
    </cfRule>
    <cfRule type="containsText" dxfId="1115" priority="1085" operator="containsText" text="Deleted">
      <formula>NOT(ISERROR(SEARCH("Deleted",G102)))</formula>
    </cfRule>
    <cfRule type="containsText" dxfId="1114" priority="1086" operator="containsText" text="In Danger of Falling Behind Target">
      <formula>NOT(ISERROR(SEARCH("In Danger of Falling Behind Target",G102)))</formula>
    </cfRule>
    <cfRule type="containsText" dxfId="1113" priority="1087" operator="containsText" text="Not yet due">
      <formula>NOT(ISERROR(SEARCH("Not yet due",G102)))</formula>
    </cfRule>
    <cfRule type="containsText" dxfId="1112" priority="1088" operator="containsText" text="Update not Provided">
      <formula>NOT(ISERROR(SEARCH("Update not Provided",G102)))</formula>
    </cfRule>
    <cfRule type="containsText" dxfId="1111" priority="1089" operator="containsText" text="Not yet due">
      <formula>NOT(ISERROR(SEARCH("Not yet due",G102)))</formula>
    </cfRule>
    <cfRule type="containsText" dxfId="1110" priority="1090" operator="containsText" text="Completed Behind Schedule">
      <formula>NOT(ISERROR(SEARCH("Completed Behind Schedule",G102)))</formula>
    </cfRule>
    <cfRule type="containsText" dxfId="1109" priority="1091" operator="containsText" text="Off Target">
      <formula>NOT(ISERROR(SEARCH("Off Target",G102)))</formula>
    </cfRule>
    <cfRule type="containsText" dxfId="1108" priority="1092" operator="containsText" text="On Track to be Achieved">
      <formula>NOT(ISERROR(SEARCH("On Track to be Achieved",G102)))</formula>
    </cfRule>
    <cfRule type="containsText" dxfId="1107" priority="1093" operator="containsText" text="Fully Achieved">
      <formula>NOT(ISERROR(SEARCH("Fully Achieved",G102)))</formula>
    </cfRule>
    <cfRule type="containsText" dxfId="1106" priority="1094" operator="containsText" text="Not yet due">
      <formula>NOT(ISERROR(SEARCH("Not yet due",G102)))</formula>
    </cfRule>
    <cfRule type="containsText" dxfId="1105" priority="1095" operator="containsText" text="Not Yet Due">
      <formula>NOT(ISERROR(SEARCH("Not Yet Due",G102)))</formula>
    </cfRule>
    <cfRule type="containsText" dxfId="1104" priority="1096" operator="containsText" text="Deferred">
      <formula>NOT(ISERROR(SEARCH("Deferred",G102)))</formula>
    </cfRule>
    <cfRule type="containsText" dxfId="1103" priority="1097" operator="containsText" text="Deleted">
      <formula>NOT(ISERROR(SEARCH("Deleted",G102)))</formula>
    </cfRule>
    <cfRule type="containsText" dxfId="1102" priority="1098" operator="containsText" text="In Danger of Falling Behind Target">
      <formula>NOT(ISERROR(SEARCH("In Danger of Falling Behind Target",G102)))</formula>
    </cfRule>
    <cfRule type="containsText" dxfId="1101" priority="1099" operator="containsText" text="Not yet due">
      <formula>NOT(ISERROR(SEARCH("Not yet due",G102)))</formula>
    </cfRule>
    <cfRule type="containsText" dxfId="1100" priority="1100" operator="containsText" text="Completed Behind Schedule">
      <formula>NOT(ISERROR(SEARCH("Completed Behind Schedule",G102)))</formula>
    </cfRule>
    <cfRule type="containsText" dxfId="1099" priority="1101" operator="containsText" text="Off Target">
      <formula>NOT(ISERROR(SEARCH("Off Target",G102)))</formula>
    </cfRule>
    <cfRule type="containsText" dxfId="1098" priority="1102" operator="containsText" text="In Danger of Falling Behind Target">
      <formula>NOT(ISERROR(SEARCH("In Danger of Falling Behind Target",G102)))</formula>
    </cfRule>
    <cfRule type="containsText" dxfId="1097" priority="1103" operator="containsText" text="On Track to be Achieved">
      <formula>NOT(ISERROR(SEARCH("On Track to be Achieved",G102)))</formula>
    </cfRule>
    <cfRule type="containsText" dxfId="1096" priority="1104" operator="containsText" text="Fully Achieved">
      <formula>NOT(ISERROR(SEARCH("Fully Achieved",G102)))</formula>
    </cfRule>
    <cfRule type="containsText" dxfId="1095" priority="1105" operator="containsText" text="Update not Provided">
      <formula>NOT(ISERROR(SEARCH("Update not Provided",G102)))</formula>
    </cfRule>
    <cfRule type="containsText" dxfId="1094" priority="1106" operator="containsText" text="Not yet due">
      <formula>NOT(ISERROR(SEARCH("Not yet due",G102)))</formula>
    </cfRule>
    <cfRule type="containsText" dxfId="1093" priority="1107" operator="containsText" text="Completed Behind Schedule">
      <formula>NOT(ISERROR(SEARCH("Completed Behind Schedule",G102)))</formula>
    </cfRule>
    <cfRule type="containsText" dxfId="1092" priority="1108" operator="containsText" text="Off Target">
      <formula>NOT(ISERROR(SEARCH("Off Target",G102)))</formula>
    </cfRule>
    <cfRule type="containsText" dxfId="1091" priority="1109" operator="containsText" text="In Danger of Falling Behind Target">
      <formula>NOT(ISERROR(SEARCH("In Danger of Falling Behind Target",G102)))</formula>
    </cfRule>
    <cfRule type="containsText" dxfId="1090" priority="1110" operator="containsText" text="On Track to be Achieved">
      <formula>NOT(ISERROR(SEARCH("On Track to be Achieved",G102)))</formula>
    </cfRule>
    <cfRule type="containsText" dxfId="1089" priority="1111" operator="containsText" text="Fully Achieved">
      <formula>NOT(ISERROR(SEARCH("Fully Achieved",G102)))</formula>
    </cfRule>
    <cfRule type="containsText" dxfId="1088" priority="1112" operator="containsText" text="Fully Achieved">
      <formula>NOT(ISERROR(SEARCH("Fully Achieved",G102)))</formula>
    </cfRule>
    <cfRule type="containsText" dxfId="1087" priority="1113" operator="containsText" text="Fully Achieved">
      <formula>NOT(ISERROR(SEARCH("Fully Achieved",G102)))</formula>
    </cfRule>
    <cfRule type="containsText" dxfId="1086" priority="1114" operator="containsText" text="Deferred">
      <formula>NOT(ISERROR(SEARCH("Deferred",G102)))</formula>
    </cfRule>
    <cfRule type="containsText" dxfId="1085" priority="1115" operator="containsText" text="Deleted">
      <formula>NOT(ISERROR(SEARCH("Deleted",G102)))</formula>
    </cfRule>
    <cfRule type="containsText" dxfId="1084" priority="1116" operator="containsText" text="In Danger of Falling Behind Target">
      <formula>NOT(ISERROR(SEARCH("In Danger of Falling Behind Target",G102)))</formula>
    </cfRule>
    <cfRule type="containsText" dxfId="1083" priority="1117" operator="containsText" text="Not yet due">
      <formula>NOT(ISERROR(SEARCH("Not yet due",G102)))</formula>
    </cfRule>
    <cfRule type="containsText" dxfId="1082" priority="1118" operator="containsText" text="Update not Provided">
      <formula>NOT(ISERROR(SEARCH("Update not Provided",G102)))</formula>
    </cfRule>
  </conditionalFormatting>
  <conditionalFormatting sqref="G103:G115">
    <cfRule type="containsText" dxfId="1081" priority="1047" operator="containsText" text="On track to be achieved">
      <formula>NOT(ISERROR(SEARCH("On track to be achieved",G103)))</formula>
    </cfRule>
    <cfRule type="containsText" dxfId="1080" priority="1048" operator="containsText" text="Deferred">
      <formula>NOT(ISERROR(SEARCH("Deferred",G103)))</formula>
    </cfRule>
    <cfRule type="containsText" dxfId="1079" priority="1049" operator="containsText" text="Deleted">
      <formula>NOT(ISERROR(SEARCH("Deleted",G103)))</formula>
    </cfRule>
    <cfRule type="containsText" dxfId="1078" priority="1050" operator="containsText" text="In Danger of Falling Behind Target">
      <formula>NOT(ISERROR(SEARCH("In Danger of Falling Behind Target",G103)))</formula>
    </cfRule>
    <cfRule type="containsText" dxfId="1077" priority="1051" operator="containsText" text="Not yet due">
      <formula>NOT(ISERROR(SEARCH("Not yet due",G103)))</formula>
    </cfRule>
    <cfRule type="containsText" dxfId="1076" priority="1052" operator="containsText" text="Update not Provided">
      <formula>NOT(ISERROR(SEARCH("Update not Provided",G103)))</formula>
    </cfRule>
    <cfRule type="containsText" dxfId="1075" priority="1053" operator="containsText" text="Not yet due">
      <formula>NOT(ISERROR(SEARCH("Not yet due",G103)))</formula>
    </cfRule>
    <cfRule type="containsText" dxfId="1074" priority="1054" operator="containsText" text="Completed Behind Schedule">
      <formula>NOT(ISERROR(SEARCH("Completed Behind Schedule",G103)))</formula>
    </cfRule>
    <cfRule type="containsText" dxfId="1073" priority="1055" operator="containsText" text="Off Target">
      <formula>NOT(ISERROR(SEARCH("Off Target",G103)))</formula>
    </cfRule>
    <cfRule type="containsText" dxfId="1072" priority="1056" operator="containsText" text="On Track to be Achieved">
      <formula>NOT(ISERROR(SEARCH("On Track to be Achieved",G103)))</formula>
    </cfRule>
    <cfRule type="containsText" dxfId="1071" priority="1057" operator="containsText" text="Fully Achieved">
      <formula>NOT(ISERROR(SEARCH("Fully Achieved",G103)))</formula>
    </cfRule>
    <cfRule type="containsText" dxfId="1070" priority="1058" operator="containsText" text="Not yet due">
      <formula>NOT(ISERROR(SEARCH("Not yet due",G103)))</formula>
    </cfRule>
    <cfRule type="containsText" dxfId="1069" priority="1059" operator="containsText" text="Not Yet Due">
      <formula>NOT(ISERROR(SEARCH("Not Yet Due",G103)))</formula>
    </cfRule>
    <cfRule type="containsText" dxfId="1068" priority="1060" operator="containsText" text="Deferred">
      <formula>NOT(ISERROR(SEARCH("Deferred",G103)))</formula>
    </cfRule>
    <cfRule type="containsText" dxfId="1067" priority="1061" operator="containsText" text="Deleted">
      <formula>NOT(ISERROR(SEARCH("Deleted",G103)))</formula>
    </cfRule>
    <cfRule type="containsText" dxfId="1066" priority="1062" operator="containsText" text="In Danger of Falling Behind Target">
      <formula>NOT(ISERROR(SEARCH("In Danger of Falling Behind Target",G103)))</formula>
    </cfRule>
    <cfRule type="containsText" dxfId="1065" priority="1063" operator="containsText" text="Not yet due">
      <formula>NOT(ISERROR(SEARCH("Not yet due",G103)))</formula>
    </cfRule>
    <cfRule type="containsText" dxfId="1064" priority="1064" operator="containsText" text="Completed Behind Schedule">
      <formula>NOT(ISERROR(SEARCH("Completed Behind Schedule",G103)))</formula>
    </cfRule>
    <cfRule type="containsText" dxfId="1063" priority="1065" operator="containsText" text="Off Target">
      <formula>NOT(ISERROR(SEARCH("Off Target",G103)))</formula>
    </cfRule>
    <cfRule type="containsText" dxfId="1062" priority="1066" operator="containsText" text="In Danger of Falling Behind Target">
      <formula>NOT(ISERROR(SEARCH("In Danger of Falling Behind Target",G103)))</formula>
    </cfRule>
    <cfRule type="containsText" dxfId="1061" priority="1067" operator="containsText" text="On Track to be Achieved">
      <formula>NOT(ISERROR(SEARCH("On Track to be Achieved",G103)))</formula>
    </cfRule>
    <cfRule type="containsText" dxfId="1060" priority="1068" operator="containsText" text="Fully Achieved">
      <formula>NOT(ISERROR(SEARCH("Fully Achieved",G103)))</formula>
    </cfRule>
    <cfRule type="containsText" dxfId="1059" priority="1069" operator="containsText" text="Update not Provided">
      <formula>NOT(ISERROR(SEARCH("Update not Provided",G103)))</formula>
    </cfRule>
    <cfRule type="containsText" dxfId="1058" priority="1070" operator="containsText" text="Not yet due">
      <formula>NOT(ISERROR(SEARCH("Not yet due",G103)))</formula>
    </cfRule>
    <cfRule type="containsText" dxfId="1057" priority="1071" operator="containsText" text="Completed Behind Schedule">
      <formula>NOT(ISERROR(SEARCH("Completed Behind Schedule",G103)))</formula>
    </cfRule>
    <cfRule type="containsText" dxfId="1056" priority="1072" operator="containsText" text="Off Target">
      <formula>NOT(ISERROR(SEARCH("Off Target",G103)))</formula>
    </cfRule>
    <cfRule type="containsText" dxfId="1055" priority="1073" operator="containsText" text="In Danger of Falling Behind Target">
      <formula>NOT(ISERROR(SEARCH("In Danger of Falling Behind Target",G103)))</formula>
    </cfRule>
    <cfRule type="containsText" dxfId="1054" priority="1074" operator="containsText" text="On Track to be Achieved">
      <formula>NOT(ISERROR(SEARCH("On Track to be Achieved",G103)))</formula>
    </cfRule>
    <cfRule type="containsText" dxfId="1053" priority="1075" operator="containsText" text="Fully Achieved">
      <formula>NOT(ISERROR(SEARCH("Fully Achieved",G103)))</formula>
    </cfRule>
    <cfRule type="containsText" dxfId="1052" priority="1076" operator="containsText" text="Fully Achieved">
      <formula>NOT(ISERROR(SEARCH("Fully Achieved",G103)))</formula>
    </cfRule>
    <cfRule type="containsText" dxfId="1051" priority="1077" operator="containsText" text="Fully Achieved">
      <formula>NOT(ISERROR(SEARCH("Fully Achieved",G103)))</formula>
    </cfRule>
    <cfRule type="containsText" dxfId="1050" priority="1078" operator="containsText" text="Deferred">
      <formula>NOT(ISERROR(SEARCH("Deferred",G103)))</formula>
    </cfRule>
    <cfRule type="containsText" dxfId="1049" priority="1079" operator="containsText" text="Deleted">
      <formula>NOT(ISERROR(SEARCH("Deleted",G103)))</formula>
    </cfRule>
    <cfRule type="containsText" dxfId="1048" priority="1080" operator="containsText" text="In Danger of Falling Behind Target">
      <formula>NOT(ISERROR(SEARCH("In Danger of Falling Behind Target",G103)))</formula>
    </cfRule>
    <cfRule type="containsText" dxfId="1047" priority="1081" operator="containsText" text="Not yet due">
      <formula>NOT(ISERROR(SEARCH("Not yet due",G103)))</formula>
    </cfRule>
    <cfRule type="containsText" dxfId="1046" priority="1082" operator="containsText" text="Update not Provided">
      <formula>NOT(ISERROR(SEARCH("Update not Provided",G103)))</formula>
    </cfRule>
  </conditionalFormatting>
  <conditionalFormatting sqref="J1:J1048576">
    <cfRule type="containsText" dxfId="1045" priority="1046" operator="containsText" text="Target Partially Met">
      <formula>NOT(ISERROR(SEARCH("Target Partially Met",J1)))</formula>
    </cfRule>
    <cfRule type="containsText" dxfId="1044" priority="1045" operator="containsText" text="numerical outturn within 5% tolerance">
      <formula>NOT(ISERROR(SEARCH("numerical outturn within 5% tolerance",J1)))</formula>
    </cfRule>
  </conditionalFormatting>
  <conditionalFormatting sqref="I4">
    <cfRule type="containsText" dxfId="1043" priority="1009" operator="containsText" text="On track to be achieved">
      <formula>NOT(ISERROR(SEARCH("On track to be achieved",I4)))</formula>
    </cfRule>
    <cfRule type="containsText" dxfId="1042" priority="1010" operator="containsText" text="Deferred">
      <formula>NOT(ISERROR(SEARCH("Deferred",I4)))</formula>
    </cfRule>
    <cfRule type="containsText" dxfId="1041" priority="1011" operator="containsText" text="Deleted">
      <formula>NOT(ISERROR(SEARCH("Deleted",I4)))</formula>
    </cfRule>
    <cfRule type="containsText" dxfId="1040" priority="1012" operator="containsText" text="In Danger of Falling Behind Target">
      <formula>NOT(ISERROR(SEARCH("In Danger of Falling Behind Target",I4)))</formula>
    </cfRule>
    <cfRule type="containsText" dxfId="1039" priority="1013" operator="containsText" text="Not yet due">
      <formula>NOT(ISERROR(SEARCH("Not yet due",I4)))</formula>
    </cfRule>
    <cfRule type="containsText" dxfId="1038" priority="1014" operator="containsText" text="Update not Provided">
      <formula>NOT(ISERROR(SEARCH("Update not Provided",I4)))</formula>
    </cfRule>
    <cfRule type="containsText" dxfId="1037" priority="1015" operator="containsText" text="Not yet due">
      <formula>NOT(ISERROR(SEARCH("Not yet due",I4)))</formula>
    </cfRule>
    <cfRule type="containsText" dxfId="1036" priority="1016" operator="containsText" text="Completed Behind Schedule">
      <formula>NOT(ISERROR(SEARCH("Completed Behind Schedule",I4)))</formula>
    </cfRule>
    <cfRule type="containsText" dxfId="1035" priority="1017" operator="containsText" text="Off Target">
      <formula>NOT(ISERROR(SEARCH("Off Target",I4)))</formula>
    </cfRule>
    <cfRule type="containsText" dxfId="1034" priority="1018" operator="containsText" text="On Track to be Achieved">
      <formula>NOT(ISERROR(SEARCH("On Track to be Achieved",I4)))</formula>
    </cfRule>
    <cfRule type="containsText" dxfId="1033" priority="1019" operator="containsText" text="Fully Achieved">
      <formula>NOT(ISERROR(SEARCH("Fully Achieved",I4)))</formula>
    </cfRule>
    <cfRule type="containsText" dxfId="1032" priority="1020" operator="containsText" text="Not yet due">
      <formula>NOT(ISERROR(SEARCH("Not yet due",I4)))</formula>
    </cfRule>
    <cfRule type="containsText" dxfId="1031" priority="1021" operator="containsText" text="Not Yet Due">
      <formula>NOT(ISERROR(SEARCH("Not Yet Due",I4)))</formula>
    </cfRule>
    <cfRule type="containsText" dxfId="1030" priority="1022" operator="containsText" text="Deferred">
      <formula>NOT(ISERROR(SEARCH("Deferred",I4)))</formula>
    </cfRule>
    <cfRule type="containsText" dxfId="1029" priority="1023" operator="containsText" text="Deleted">
      <formula>NOT(ISERROR(SEARCH("Deleted",I4)))</formula>
    </cfRule>
    <cfRule type="containsText" dxfId="1028" priority="1024" operator="containsText" text="In Danger of Falling Behind Target">
      <formula>NOT(ISERROR(SEARCH("In Danger of Falling Behind Target",I4)))</formula>
    </cfRule>
    <cfRule type="containsText" dxfId="1027" priority="1025" operator="containsText" text="Not yet due">
      <formula>NOT(ISERROR(SEARCH("Not yet due",I4)))</formula>
    </cfRule>
    <cfRule type="containsText" dxfId="1026" priority="1026" operator="containsText" text="Completed Behind Schedule">
      <formula>NOT(ISERROR(SEARCH("Completed Behind Schedule",I4)))</formula>
    </cfRule>
    <cfRule type="containsText" dxfId="1025" priority="1027" operator="containsText" text="Off Target">
      <formula>NOT(ISERROR(SEARCH("Off Target",I4)))</formula>
    </cfRule>
    <cfRule type="containsText" dxfId="1024" priority="1028" operator="containsText" text="In Danger of Falling Behind Target">
      <formula>NOT(ISERROR(SEARCH("In Danger of Falling Behind Target",I4)))</formula>
    </cfRule>
    <cfRule type="containsText" dxfId="1023" priority="1029" operator="containsText" text="On Track to be Achieved">
      <formula>NOT(ISERROR(SEARCH("On Track to be Achieved",I4)))</formula>
    </cfRule>
    <cfRule type="containsText" dxfId="1022" priority="1030" operator="containsText" text="Fully Achieved">
      <formula>NOT(ISERROR(SEARCH("Fully Achieved",I4)))</formula>
    </cfRule>
    <cfRule type="containsText" dxfId="1021" priority="1031" operator="containsText" text="Update not Provided">
      <formula>NOT(ISERROR(SEARCH("Update not Provided",I4)))</formula>
    </cfRule>
    <cfRule type="containsText" dxfId="1020" priority="1032" operator="containsText" text="Not yet due">
      <formula>NOT(ISERROR(SEARCH("Not yet due",I4)))</formula>
    </cfRule>
    <cfRule type="containsText" dxfId="1019" priority="1033" operator="containsText" text="Completed Behind Schedule">
      <formula>NOT(ISERROR(SEARCH("Completed Behind Schedule",I4)))</formula>
    </cfRule>
    <cfRule type="containsText" dxfId="1018" priority="1034" operator="containsText" text="Off Target">
      <formula>NOT(ISERROR(SEARCH("Off Target",I4)))</formula>
    </cfRule>
    <cfRule type="containsText" dxfId="1017" priority="1035" operator="containsText" text="In Danger of Falling Behind Target">
      <formula>NOT(ISERROR(SEARCH("In Danger of Falling Behind Target",I4)))</formula>
    </cfRule>
    <cfRule type="containsText" dxfId="1016" priority="1036" operator="containsText" text="On Track to be Achieved">
      <formula>NOT(ISERROR(SEARCH("On Track to be Achieved",I4)))</formula>
    </cfRule>
    <cfRule type="containsText" dxfId="1015" priority="1037" operator="containsText" text="Fully Achieved">
      <formula>NOT(ISERROR(SEARCH("Fully Achieved",I4)))</formula>
    </cfRule>
    <cfRule type="containsText" dxfId="1014" priority="1038" operator="containsText" text="Fully Achieved">
      <formula>NOT(ISERROR(SEARCH("Fully Achieved",I4)))</formula>
    </cfRule>
    <cfRule type="containsText" dxfId="1013" priority="1039" operator="containsText" text="Fully Achieved">
      <formula>NOT(ISERROR(SEARCH("Fully Achieved",I4)))</formula>
    </cfRule>
    <cfRule type="containsText" dxfId="1012" priority="1040" operator="containsText" text="Deferred">
      <formula>NOT(ISERROR(SEARCH("Deferred",I4)))</formula>
    </cfRule>
    <cfRule type="containsText" dxfId="1011" priority="1041" operator="containsText" text="Deleted">
      <formula>NOT(ISERROR(SEARCH("Deleted",I4)))</formula>
    </cfRule>
    <cfRule type="containsText" dxfId="1010" priority="1042" operator="containsText" text="In Danger of Falling Behind Target">
      <formula>NOT(ISERROR(SEARCH("In Danger of Falling Behind Target",I4)))</formula>
    </cfRule>
    <cfRule type="containsText" dxfId="1009" priority="1043" operator="containsText" text="Not yet due">
      <formula>NOT(ISERROR(SEARCH("Not yet due",I4)))</formula>
    </cfRule>
    <cfRule type="containsText" dxfId="1008" priority="1044" operator="containsText" text="Update not Provided">
      <formula>NOT(ISERROR(SEARCH("Update not Provided",I4)))</formula>
    </cfRule>
  </conditionalFormatting>
  <conditionalFormatting sqref="I6:I11">
    <cfRule type="containsText" dxfId="1007" priority="973" operator="containsText" text="On track to be achieved">
      <formula>NOT(ISERROR(SEARCH("On track to be achieved",I6)))</formula>
    </cfRule>
    <cfRule type="containsText" dxfId="1006" priority="974" operator="containsText" text="Deferred">
      <formula>NOT(ISERROR(SEARCH("Deferred",I6)))</formula>
    </cfRule>
    <cfRule type="containsText" dxfId="1005" priority="975" operator="containsText" text="Deleted">
      <formula>NOT(ISERROR(SEARCH("Deleted",I6)))</formula>
    </cfRule>
    <cfRule type="containsText" dxfId="1004" priority="976" operator="containsText" text="In Danger of Falling Behind Target">
      <formula>NOT(ISERROR(SEARCH("In Danger of Falling Behind Target",I6)))</formula>
    </cfRule>
    <cfRule type="containsText" dxfId="1003" priority="977" operator="containsText" text="Not yet due">
      <formula>NOT(ISERROR(SEARCH("Not yet due",I6)))</formula>
    </cfRule>
    <cfRule type="containsText" dxfId="1002" priority="978" operator="containsText" text="Update not Provided">
      <formula>NOT(ISERROR(SEARCH("Update not Provided",I6)))</formula>
    </cfRule>
    <cfRule type="containsText" dxfId="1001" priority="979" operator="containsText" text="Not yet due">
      <formula>NOT(ISERROR(SEARCH("Not yet due",I6)))</formula>
    </cfRule>
    <cfRule type="containsText" dxfId="1000" priority="980" operator="containsText" text="Completed Behind Schedule">
      <formula>NOT(ISERROR(SEARCH("Completed Behind Schedule",I6)))</formula>
    </cfRule>
    <cfRule type="containsText" dxfId="999" priority="981" operator="containsText" text="Off Target">
      <formula>NOT(ISERROR(SEARCH("Off Target",I6)))</formula>
    </cfRule>
    <cfRule type="containsText" dxfId="998" priority="982" operator="containsText" text="On Track to be Achieved">
      <formula>NOT(ISERROR(SEARCH("On Track to be Achieved",I6)))</formula>
    </cfRule>
    <cfRule type="containsText" dxfId="997" priority="983" operator="containsText" text="Fully Achieved">
      <formula>NOT(ISERROR(SEARCH("Fully Achieved",I6)))</formula>
    </cfRule>
    <cfRule type="containsText" dxfId="996" priority="984" operator="containsText" text="Not yet due">
      <formula>NOT(ISERROR(SEARCH("Not yet due",I6)))</formula>
    </cfRule>
    <cfRule type="containsText" dxfId="995" priority="985" operator="containsText" text="Not Yet Due">
      <formula>NOT(ISERROR(SEARCH("Not Yet Due",I6)))</formula>
    </cfRule>
    <cfRule type="containsText" dxfId="994" priority="986" operator="containsText" text="Deferred">
      <formula>NOT(ISERROR(SEARCH("Deferred",I6)))</formula>
    </cfRule>
    <cfRule type="containsText" dxfId="993" priority="987" operator="containsText" text="Deleted">
      <formula>NOT(ISERROR(SEARCH("Deleted",I6)))</formula>
    </cfRule>
    <cfRule type="containsText" dxfId="992" priority="988" operator="containsText" text="In Danger of Falling Behind Target">
      <formula>NOT(ISERROR(SEARCH("In Danger of Falling Behind Target",I6)))</formula>
    </cfRule>
    <cfRule type="containsText" dxfId="991" priority="989" operator="containsText" text="Not yet due">
      <formula>NOT(ISERROR(SEARCH("Not yet due",I6)))</formula>
    </cfRule>
    <cfRule type="containsText" dxfId="990" priority="990" operator="containsText" text="Completed Behind Schedule">
      <formula>NOT(ISERROR(SEARCH("Completed Behind Schedule",I6)))</formula>
    </cfRule>
    <cfRule type="containsText" dxfId="989" priority="991" operator="containsText" text="Off Target">
      <formula>NOT(ISERROR(SEARCH("Off Target",I6)))</formula>
    </cfRule>
    <cfRule type="containsText" dxfId="988" priority="992" operator="containsText" text="In Danger of Falling Behind Target">
      <formula>NOT(ISERROR(SEARCH("In Danger of Falling Behind Target",I6)))</formula>
    </cfRule>
    <cfRule type="containsText" dxfId="987" priority="993" operator="containsText" text="On Track to be Achieved">
      <formula>NOT(ISERROR(SEARCH("On Track to be Achieved",I6)))</formula>
    </cfRule>
    <cfRule type="containsText" dxfId="986" priority="994" operator="containsText" text="Fully Achieved">
      <formula>NOT(ISERROR(SEARCH("Fully Achieved",I6)))</formula>
    </cfRule>
    <cfRule type="containsText" dxfId="985" priority="995" operator="containsText" text="Update not Provided">
      <formula>NOT(ISERROR(SEARCH("Update not Provided",I6)))</formula>
    </cfRule>
    <cfRule type="containsText" dxfId="984" priority="996" operator="containsText" text="Not yet due">
      <formula>NOT(ISERROR(SEARCH("Not yet due",I6)))</formula>
    </cfRule>
    <cfRule type="containsText" dxfId="983" priority="997" operator="containsText" text="Completed Behind Schedule">
      <formula>NOT(ISERROR(SEARCH("Completed Behind Schedule",I6)))</formula>
    </cfRule>
    <cfRule type="containsText" dxfId="982" priority="998" operator="containsText" text="Off Target">
      <formula>NOT(ISERROR(SEARCH("Off Target",I6)))</formula>
    </cfRule>
    <cfRule type="containsText" dxfId="981" priority="999" operator="containsText" text="In Danger of Falling Behind Target">
      <formula>NOT(ISERROR(SEARCH("In Danger of Falling Behind Target",I6)))</formula>
    </cfRule>
    <cfRule type="containsText" dxfId="980" priority="1000" operator="containsText" text="On Track to be Achieved">
      <formula>NOT(ISERROR(SEARCH("On Track to be Achieved",I6)))</formula>
    </cfRule>
    <cfRule type="containsText" dxfId="979" priority="1001" operator="containsText" text="Fully Achieved">
      <formula>NOT(ISERROR(SEARCH("Fully Achieved",I6)))</formula>
    </cfRule>
    <cfRule type="containsText" dxfId="978" priority="1002" operator="containsText" text="Fully Achieved">
      <formula>NOT(ISERROR(SEARCH("Fully Achieved",I6)))</formula>
    </cfRule>
    <cfRule type="containsText" dxfId="977" priority="1003" operator="containsText" text="Fully Achieved">
      <formula>NOT(ISERROR(SEARCH("Fully Achieved",I6)))</formula>
    </cfRule>
    <cfRule type="containsText" dxfId="976" priority="1004" operator="containsText" text="Deferred">
      <formula>NOT(ISERROR(SEARCH("Deferred",I6)))</formula>
    </cfRule>
    <cfRule type="containsText" dxfId="975" priority="1005" operator="containsText" text="Deleted">
      <formula>NOT(ISERROR(SEARCH("Deleted",I6)))</formula>
    </cfRule>
    <cfRule type="containsText" dxfId="974" priority="1006" operator="containsText" text="In Danger of Falling Behind Target">
      <formula>NOT(ISERROR(SEARCH("In Danger of Falling Behind Target",I6)))</formula>
    </cfRule>
    <cfRule type="containsText" dxfId="973" priority="1007" operator="containsText" text="Not yet due">
      <formula>NOT(ISERROR(SEARCH("Not yet due",I6)))</formula>
    </cfRule>
    <cfRule type="containsText" dxfId="972" priority="1008" operator="containsText" text="Update not Provided">
      <formula>NOT(ISERROR(SEARCH("Update not Provided",I6)))</formula>
    </cfRule>
  </conditionalFormatting>
  <conditionalFormatting sqref="I12:I13">
    <cfRule type="containsText" dxfId="971" priority="937" operator="containsText" text="On track to be achieved">
      <formula>NOT(ISERROR(SEARCH("On track to be achieved",I12)))</formula>
    </cfRule>
    <cfRule type="containsText" dxfId="970" priority="938" operator="containsText" text="Deferred">
      <formula>NOT(ISERROR(SEARCH("Deferred",I12)))</formula>
    </cfRule>
    <cfRule type="containsText" dxfId="969" priority="939" operator="containsText" text="Deleted">
      <formula>NOT(ISERROR(SEARCH("Deleted",I12)))</formula>
    </cfRule>
    <cfRule type="containsText" dxfId="968" priority="940" operator="containsText" text="In Danger of Falling Behind Target">
      <formula>NOT(ISERROR(SEARCH("In Danger of Falling Behind Target",I12)))</formula>
    </cfRule>
    <cfRule type="containsText" dxfId="967" priority="941" operator="containsText" text="Not yet due">
      <formula>NOT(ISERROR(SEARCH("Not yet due",I12)))</formula>
    </cfRule>
    <cfRule type="containsText" dxfId="966" priority="942" operator="containsText" text="Update not Provided">
      <formula>NOT(ISERROR(SEARCH("Update not Provided",I12)))</formula>
    </cfRule>
    <cfRule type="containsText" dxfId="965" priority="943" operator="containsText" text="Not yet due">
      <formula>NOT(ISERROR(SEARCH("Not yet due",I12)))</formula>
    </cfRule>
    <cfRule type="containsText" dxfId="964" priority="944" operator="containsText" text="Completed Behind Schedule">
      <formula>NOT(ISERROR(SEARCH("Completed Behind Schedule",I12)))</formula>
    </cfRule>
    <cfRule type="containsText" dxfId="963" priority="945" operator="containsText" text="Off Target">
      <formula>NOT(ISERROR(SEARCH("Off Target",I12)))</formula>
    </cfRule>
    <cfRule type="containsText" dxfId="962" priority="946" operator="containsText" text="On Track to be Achieved">
      <formula>NOT(ISERROR(SEARCH("On Track to be Achieved",I12)))</formula>
    </cfRule>
    <cfRule type="containsText" dxfId="961" priority="947" operator="containsText" text="Fully Achieved">
      <formula>NOT(ISERROR(SEARCH("Fully Achieved",I12)))</formula>
    </cfRule>
    <cfRule type="containsText" dxfId="960" priority="948" operator="containsText" text="Not yet due">
      <formula>NOT(ISERROR(SEARCH("Not yet due",I12)))</formula>
    </cfRule>
    <cfRule type="containsText" dxfId="959" priority="949" operator="containsText" text="Not Yet Due">
      <formula>NOT(ISERROR(SEARCH("Not Yet Due",I12)))</formula>
    </cfRule>
    <cfRule type="containsText" dxfId="958" priority="950" operator="containsText" text="Deferred">
      <formula>NOT(ISERROR(SEARCH("Deferred",I12)))</formula>
    </cfRule>
    <cfRule type="containsText" dxfId="957" priority="951" operator="containsText" text="Deleted">
      <formula>NOT(ISERROR(SEARCH("Deleted",I12)))</formula>
    </cfRule>
    <cfRule type="containsText" dxfId="956" priority="952" operator="containsText" text="In Danger of Falling Behind Target">
      <formula>NOT(ISERROR(SEARCH("In Danger of Falling Behind Target",I12)))</formula>
    </cfRule>
    <cfRule type="containsText" dxfId="955" priority="953" operator="containsText" text="Not yet due">
      <formula>NOT(ISERROR(SEARCH("Not yet due",I12)))</formula>
    </cfRule>
    <cfRule type="containsText" dxfId="954" priority="954" operator="containsText" text="Completed Behind Schedule">
      <formula>NOT(ISERROR(SEARCH("Completed Behind Schedule",I12)))</formula>
    </cfRule>
    <cfRule type="containsText" dxfId="953" priority="955" operator="containsText" text="Off Target">
      <formula>NOT(ISERROR(SEARCH("Off Target",I12)))</formula>
    </cfRule>
    <cfRule type="containsText" dxfId="952" priority="956" operator="containsText" text="In Danger of Falling Behind Target">
      <formula>NOT(ISERROR(SEARCH("In Danger of Falling Behind Target",I12)))</formula>
    </cfRule>
    <cfRule type="containsText" dxfId="951" priority="957" operator="containsText" text="On Track to be Achieved">
      <formula>NOT(ISERROR(SEARCH("On Track to be Achieved",I12)))</formula>
    </cfRule>
    <cfRule type="containsText" dxfId="950" priority="958" operator="containsText" text="Fully Achieved">
      <formula>NOT(ISERROR(SEARCH("Fully Achieved",I12)))</formula>
    </cfRule>
    <cfRule type="containsText" dxfId="949" priority="959" operator="containsText" text="Update not Provided">
      <formula>NOT(ISERROR(SEARCH("Update not Provided",I12)))</formula>
    </cfRule>
    <cfRule type="containsText" dxfId="948" priority="960" operator="containsText" text="Not yet due">
      <formula>NOT(ISERROR(SEARCH("Not yet due",I12)))</formula>
    </cfRule>
    <cfRule type="containsText" dxfId="947" priority="961" operator="containsText" text="Completed Behind Schedule">
      <formula>NOT(ISERROR(SEARCH("Completed Behind Schedule",I12)))</formula>
    </cfRule>
    <cfRule type="containsText" dxfId="946" priority="962" operator="containsText" text="Off Target">
      <formula>NOT(ISERROR(SEARCH("Off Target",I12)))</formula>
    </cfRule>
    <cfRule type="containsText" dxfId="945" priority="963" operator="containsText" text="In Danger of Falling Behind Target">
      <formula>NOT(ISERROR(SEARCH("In Danger of Falling Behind Target",I12)))</formula>
    </cfRule>
    <cfRule type="containsText" dxfId="944" priority="964" operator="containsText" text="On Track to be Achieved">
      <formula>NOT(ISERROR(SEARCH("On Track to be Achieved",I12)))</formula>
    </cfRule>
    <cfRule type="containsText" dxfId="943" priority="965" operator="containsText" text="Fully Achieved">
      <formula>NOT(ISERROR(SEARCH("Fully Achieved",I12)))</formula>
    </cfRule>
    <cfRule type="containsText" dxfId="942" priority="966" operator="containsText" text="Fully Achieved">
      <formula>NOT(ISERROR(SEARCH("Fully Achieved",I12)))</formula>
    </cfRule>
    <cfRule type="containsText" dxfId="941" priority="967" operator="containsText" text="Fully Achieved">
      <formula>NOT(ISERROR(SEARCH("Fully Achieved",I12)))</formula>
    </cfRule>
    <cfRule type="containsText" dxfId="940" priority="968" operator="containsText" text="Deferred">
      <formula>NOT(ISERROR(SEARCH("Deferred",I12)))</formula>
    </cfRule>
    <cfRule type="containsText" dxfId="939" priority="969" operator="containsText" text="Deleted">
      <formula>NOT(ISERROR(SEARCH("Deleted",I12)))</formula>
    </cfRule>
    <cfRule type="containsText" dxfId="938" priority="970" operator="containsText" text="In Danger of Falling Behind Target">
      <formula>NOT(ISERROR(SEARCH("In Danger of Falling Behind Target",I12)))</formula>
    </cfRule>
    <cfRule type="containsText" dxfId="937" priority="971" operator="containsText" text="Not yet due">
      <formula>NOT(ISERROR(SEARCH("Not yet due",I12)))</formula>
    </cfRule>
    <cfRule type="containsText" dxfId="936" priority="972" operator="containsText" text="Update not Provided">
      <formula>NOT(ISERROR(SEARCH("Update not Provided",I12)))</formula>
    </cfRule>
  </conditionalFormatting>
  <conditionalFormatting sqref="I14:I19">
    <cfRule type="containsText" dxfId="935" priority="901" operator="containsText" text="On track to be achieved">
      <formula>NOT(ISERROR(SEARCH("On track to be achieved",I14)))</formula>
    </cfRule>
    <cfRule type="containsText" dxfId="934" priority="902" operator="containsText" text="Deferred">
      <formula>NOT(ISERROR(SEARCH("Deferred",I14)))</formula>
    </cfRule>
    <cfRule type="containsText" dxfId="933" priority="903" operator="containsText" text="Deleted">
      <formula>NOT(ISERROR(SEARCH("Deleted",I14)))</formula>
    </cfRule>
    <cfRule type="containsText" dxfId="932" priority="904" operator="containsText" text="In Danger of Falling Behind Target">
      <formula>NOT(ISERROR(SEARCH("In Danger of Falling Behind Target",I14)))</formula>
    </cfRule>
    <cfRule type="containsText" dxfId="931" priority="905" operator="containsText" text="Not yet due">
      <formula>NOT(ISERROR(SEARCH("Not yet due",I14)))</formula>
    </cfRule>
    <cfRule type="containsText" dxfId="930" priority="906" operator="containsText" text="Update not Provided">
      <formula>NOT(ISERROR(SEARCH("Update not Provided",I14)))</formula>
    </cfRule>
    <cfRule type="containsText" dxfId="929" priority="907" operator="containsText" text="Not yet due">
      <formula>NOT(ISERROR(SEARCH("Not yet due",I14)))</formula>
    </cfRule>
    <cfRule type="containsText" dxfId="928" priority="908" operator="containsText" text="Completed Behind Schedule">
      <formula>NOT(ISERROR(SEARCH("Completed Behind Schedule",I14)))</formula>
    </cfRule>
    <cfRule type="containsText" dxfId="927" priority="909" operator="containsText" text="Off Target">
      <formula>NOT(ISERROR(SEARCH("Off Target",I14)))</formula>
    </cfRule>
    <cfRule type="containsText" dxfId="926" priority="910" operator="containsText" text="On Track to be Achieved">
      <formula>NOT(ISERROR(SEARCH("On Track to be Achieved",I14)))</formula>
    </cfRule>
    <cfRule type="containsText" dxfId="925" priority="911" operator="containsText" text="Fully Achieved">
      <formula>NOT(ISERROR(SEARCH("Fully Achieved",I14)))</formula>
    </cfRule>
    <cfRule type="containsText" dxfId="924" priority="912" operator="containsText" text="Not yet due">
      <formula>NOT(ISERROR(SEARCH("Not yet due",I14)))</formula>
    </cfRule>
    <cfRule type="containsText" dxfId="923" priority="913" operator="containsText" text="Not Yet Due">
      <formula>NOT(ISERROR(SEARCH("Not Yet Due",I14)))</formula>
    </cfRule>
    <cfRule type="containsText" dxfId="922" priority="914" operator="containsText" text="Deferred">
      <formula>NOT(ISERROR(SEARCH("Deferred",I14)))</formula>
    </cfRule>
    <cfRule type="containsText" dxfId="921" priority="915" operator="containsText" text="Deleted">
      <formula>NOT(ISERROR(SEARCH("Deleted",I14)))</formula>
    </cfRule>
    <cfRule type="containsText" dxfId="920" priority="916" operator="containsText" text="In Danger of Falling Behind Target">
      <formula>NOT(ISERROR(SEARCH("In Danger of Falling Behind Target",I14)))</formula>
    </cfRule>
    <cfRule type="containsText" dxfId="919" priority="917" operator="containsText" text="Not yet due">
      <formula>NOT(ISERROR(SEARCH("Not yet due",I14)))</formula>
    </cfRule>
    <cfRule type="containsText" dxfId="918" priority="918" operator="containsText" text="Completed Behind Schedule">
      <formula>NOT(ISERROR(SEARCH("Completed Behind Schedule",I14)))</formula>
    </cfRule>
    <cfRule type="containsText" dxfId="917" priority="919" operator="containsText" text="Off Target">
      <formula>NOT(ISERROR(SEARCH("Off Target",I14)))</formula>
    </cfRule>
    <cfRule type="containsText" dxfId="916" priority="920" operator="containsText" text="In Danger of Falling Behind Target">
      <formula>NOT(ISERROR(SEARCH("In Danger of Falling Behind Target",I14)))</formula>
    </cfRule>
    <cfRule type="containsText" dxfId="915" priority="921" operator="containsText" text="On Track to be Achieved">
      <formula>NOT(ISERROR(SEARCH("On Track to be Achieved",I14)))</formula>
    </cfRule>
    <cfRule type="containsText" dxfId="914" priority="922" operator="containsText" text="Fully Achieved">
      <formula>NOT(ISERROR(SEARCH("Fully Achieved",I14)))</formula>
    </cfRule>
    <cfRule type="containsText" dxfId="913" priority="923" operator="containsText" text="Update not Provided">
      <formula>NOT(ISERROR(SEARCH("Update not Provided",I14)))</formula>
    </cfRule>
    <cfRule type="containsText" dxfId="912" priority="924" operator="containsText" text="Not yet due">
      <formula>NOT(ISERROR(SEARCH("Not yet due",I14)))</formula>
    </cfRule>
    <cfRule type="containsText" dxfId="911" priority="925" operator="containsText" text="Completed Behind Schedule">
      <formula>NOT(ISERROR(SEARCH("Completed Behind Schedule",I14)))</formula>
    </cfRule>
    <cfRule type="containsText" dxfId="910" priority="926" operator="containsText" text="Off Target">
      <formula>NOT(ISERROR(SEARCH("Off Target",I14)))</formula>
    </cfRule>
    <cfRule type="containsText" dxfId="909" priority="927" operator="containsText" text="In Danger of Falling Behind Target">
      <formula>NOT(ISERROR(SEARCH("In Danger of Falling Behind Target",I14)))</formula>
    </cfRule>
    <cfRule type="containsText" dxfId="908" priority="928" operator="containsText" text="On Track to be Achieved">
      <formula>NOT(ISERROR(SEARCH("On Track to be Achieved",I14)))</formula>
    </cfRule>
    <cfRule type="containsText" dxfId="907" priority="929" operator="containsText" text="Fully Achieved">
      <formula>NOT(ISERROR(SEARCH("Fully Achieved",I14)))</formula>
    </cfRule>
    <cfRule type="containsText" dxfId="906" priority="930" operator="containsText" text="Fully Achieved">
      <formula>NOT(ISERROR(SEARCH("Fully Achieved",I14)))</formula>
    </cfRule>
    <cfRule type="containsText" dxfId="905" priority="931" operator="containsText" text="Fully Achieved">
      <formula>NOT(ISERROR(SEARCH("Fully Achieved",I14)))</formula>
    </cfRule>
    <cfRule type="containsText" dxfId="904" priority="932" operator="containsText" text="Deferred">
      <formula>NOT(ISERROR(SEARCH("Deferred",I14)))</formula>
    </cfRule>
    <cfRule type="containsText" dxfId="903" priority="933" operator="containsText" text="Deleted">
      <formula>NOT(ISERROR(SEARCH("Deleted",I14)))</formula>
    </cfRule>
    <cfRule type="containsText" dxfId="902" priority="934" operator="containsText" text="In Danger of Falling Behind Target">
      <formula>NOT(ISERROR(SEARCH("In Danger of Falling Behind Target",I14)))</formula>
    </cfRule>
    <cfRule type="containsText" dxfId="901" priority="935" operator="containsText" text="Not yet due">
      <formula>NOT(ISERROR(SEARCH("Not yet due",I14)))</formula>
    </cfRule>
    <cfRule type="containsText" dxfId="900" priority="936" operator="containsText" text="Update not Provided">
      <formula>NOT(ISERROR(SEARCH("Update not Provided",I14)))</formula>
    </cfRule>
  </conditionalFormatting>
  <conditionalFormatting sqref="I20">
    <cfRule type="containsText" dxfId="899" priority="865" operator="containsText" text="On track to be achieved">
      <formula>NOT(ISERROR(SEARCH("On track to be achieved",I20)))</formula>
    </cfRule>
    <cfRule type="containsText" dxfId="898" priority="866" operator="containsText" text="Deferred">
      <formula>NOT(ISERROR(SEARCH("Deferred",I20)))</formula>
    </cfRule>
    <cfRule type="containsText" dxfId="897" priority="867" operator="containsText" text="Deleted">
      <formula>NOT(ISERROR(SEARCH("Deleted",I20)))</formula>
    </cfRule>
    <cfRule type="containsText" dxfId="896" priority="868" operator="containsText" text="In Danger of Falling Behind Target">
      <formula>NOT(ISERROR(SEARCH("In Danger of Falling Behind Target",I20)))</formula>
    </cfRule>
    <cfRule type="containsText" dxfId="895" priority="869" operator="containsText" text="Not yet due">
      <formula>NOT(ISERROR(SEARCH("Not yet due",I20)))</formula>
    </cfRule>
    <cfRule type="containsText" dxfId="894" priority="870" operator="containsText" text="Update not Provided">
      <formula>NOT(ISERROR(SEARCH("Update not Provided",I20)))</formula>
    </cfRule>
    <cfRule type="containsText" dxfId="893" priority="871" operator="containsText" text="Not yet due">
      <formula>NOT(ISERROR(SEARCH("Not yet due",I20)))</formula>
    </cfRule>
    <cfRule type="containsText" dxfId="892" priority="872" operator="containsText" text="Completed Behind Schedule">
      <formula>NOT(ISERROR(SEARCH("Completed Behind Schedule",I20)))</formula>
    </cfRule>
    <cfRule type="containsText" dxfId="891" priority="873" operator="containsText" text="Off Target">
      <formula>NOT(ISERROR(SEARCH("Off Target",I20)))</formula>
    </cfRule>
    <cfRule type="containsText" dxfId="890" priority="874" operator="containsText" text="On Track to be Achieved">
      <formula>NOT(ISERROR(SEARCH("On Track to be Achieved",I20)))</formula>
    </cfRule>
    <cfRule type="containsText" dxfId="889" priority="875" operator="containsText" text="Fully Achieved">
      <formula>NOT(ISERROR(SEARCH("Fully Achieved",I20)))</formula>
    </cfRule>
    <cfRule type="containsText" dxfId="888" priority="876" operator="containsText" text="Not yet due">
      <formula>NOT(ISERROR(SEARCH("Not yet due",I20)))</formula>
    </cfRule>
    <cfRule type="containsText" dxfId="887" priority="877" operator="containsText" text="Not Yet Due">
      <formula>NOT(ISERROR(SEARCH("Not Yet Due",I20)))</formula>
    </cfRule>
    <cfRule type="containsText" dxfId="886" priority="878" operator="containsText" text="Deferred">
      <formula>NOT(ISERROR(SEARCH("Deferred",I20)))</formula>
    </cfRule>
    <cfRule type="containsText" dxfId="885" priority="879" operator="containsText" text="Deleted">
      <formula>NOT(ISERROR(SEARCH("Deleted",I20)))</formula>
    </cfRule>
    <cfRule type="containsText" dxfId="884" priority="880" operator="containsText" text="In Danger of Falling Behind Target">
      <formula>NOT(ISERROR(SEARCH("In Danger of Falling Behind Target",I20)))</formula>
    </cfRule>
    <cfRule type="containsText" dxfId="883" priority="881" operator="containsText" text="Not yet due">
      <formula>NOT(ISERROR(SEARCH("Not yet due",I20)))</formula>
    </cfRule>
    <cfRule type="containsText" dxfId="882" priority="882" operator="containsText" text="Completed Behind Schedule">
      <formula>NOT(ISERROR(SEARCH("Completed Behind Schedule",I20)))</formula>
    </cfRule>
    <cfRule type="containsText" dxfId="881" priority="883" operator="containsText" text="Off Target">
      <formula>NOT(ISERROR(SEARCH("Off Target",I20)))</formula>
    </cfRule>
    <cfRule type="containsText" dxfId="880" priority="884" operator="containsText" text="In Danger of Falling Behind Target">
      <formula>NOT(ISERROR(SEARCH("In Danger of Falling Behind Target",I20)))</formula>
    </cfRule>
    <cfRule type="containsText" dxfId="879" priority="885" operator="containsText" text="On Track to be Achieved">
      <formula>NOT(ISERROR(SEARCH("On Track to be Achieved",I20)))</formula>
    </cfRule>
    <cfRule type="containsText" dxfId="878" priority="886" operator="containsText" text="Fully Achieved">
      <formula>NOT(ISERROR(SEARCH("Fully Achieved",I20)))</formula>
    </cfRule>
    <cfRule type="containsText" dxfId="877" priority="887" operator="containsText" text="Update not Provided">
      <formula>NOT(ISERROR(SEARCH("Update not Provided",I20)))</formula>
    </cfRule>
    <cfRule type="containsText" dxfId="876" priority="888" operator="containsText" text="Not yet due">
      <formula>NOT(ISERROR(SEARCH("Not yet due",I20)))</formula>
    </cfRule>
    <cfRule type="containsText" dxfId="875" priority="889" operator="containsText" text="Completed Behind Schedule">
      <formula>NOT(ISERROR(SEARCH("Completed Behind Schedule",I20)))</formula>
    </cfRule>
    <cfRule type="containsText" dxfId="874" priority="890" operator="containsText" text="Off Target">
      <formula>NOT(ISERROR(SEARCH("Off Target",I20)))</formula>
    </cfRule>
    <cfRule type="containsText" dxfId="873" priority="891" operator="containsText" text="In Danger of Falling Behind Target">
      <formula>NOT(ISERROR(SEARCH("In Danger of Falling Behind Target",I20)))</formula>
    </cfRule>
    <cfRule type="containsText" dxfId="872" priority="892" operator="containsText" text="On Track to be Achieved">
      <formula>NOT(ISERROR(SEARCH("On Track to be Achieved",I20)))</formula>
    </cfRule>
    <cfRule type="containsText" dxfId="871" priority="893" operator="containsText" text="Fully Achieved">
      <formula>NOT(ISERROR(SEARCH("Fully Achieved",I20)))</formula>
    </cfRule>
    <cfRule type="containsText" dxfId="870" priority="894" operator="containsText" text="Fully Achieved">
      <formula>NOT(ISERROR(SEARCH("Fully Achieved",I20)))</formula>
    </cfRule>
    <cfRule type="containsText" dxfId="869" priority="895" operator="containsText" text="Fully Achieved">
      <formula>NOT(ISERROR(SEARCH("Fully Achieved",I20)))</formula>
    </cfRule>
    <cfRule type="containsText" dxfId="868" priority="896" operator="containsText" text="Deferred">
      <formula>NOT(ISERROR(SEARCH("Deferred",I20)))</formula>
    </cfRule>
    <cfRule type="containsText" dxfId="867" priority="897" operator="containsText" text="Deleted">
      <formula>NOT(ISERROR(SEARCH("Deleted",I20)))</formula>
    </cfRule>
    <cfRule type="containsText" dxfId="866" priority="898" operator="containsText" text="In Danger of Falling Behind Target">
      <formula>NOT(ISERROR(SEARCH("In Danger of Falling Behind Target",I20)))</formula>
    </cfRule>
    <cfRule type="containsText" dxfId="865" priority="899" operator="containsText" text="Not yet due">
      <formula>NOT(ISERROR(SEARCH("Not yet due",I20)))</formula>
    </cfRule>
    <cfRule type="containsText" dxfId="864" priority="900" operator="containsText" text="Update not Provided">
      <formula>NOT(ISERROR(SEARCH("Update not Provided",I20)))</formula>
    </cfRule>
  </conditionalFormatting>
  <conditionalFormatting sqref="I22">
    <cfRule type="containsText" dxfId="863" priority="829" operator="containsText" text="On track to be achieved">
      <formula>NOT(ISERROR(SEARCH("On track to be achieved",I22)))</formula>
    </cfRule>
    <cfRule type="containsText" dxfId="862" priority="830" operator="containsText" text="Deferred">
      <formula>NOT(ISERROR(SEARCH("Deferred",I22)))</formula>
    </cfRule>
    <cfRule type="containsText" dxfId="861" priority="831" operator="containsText" text="Deleted">
      <formula>NOT(ISERROR(SEARCH("Deleted",I22)))</formula>
    </cfRule>
    <cfRule type="containsText" dxfId="860" priority="832" operator="containsText" text="In Danger of Falling Behind Target">
      <formula>NOT(ISERROR(SEARCH("In Danger of Falling Behind Target",I22)))</formula>
    </cfRule>
    <cfRule type="containsText" dxfId="859" priority="833" operator="containsText" text="Not yet due">
      <formula>NOT(ISERROR(SEARCH("Not yet due",I22)))</formula>
    </cfRule>
    <cfRule type="containsText" dxfId="858" priority="834" operator="containsText" text="Update not Provided">
      <formula>NOT(ISERROR(SEARCH("Update not Provided",I22)))</formula>
    </cfRule>
    <cfRule type="containsText" dxfId="857" priority="835" operator="containsText" text="Not yet due">
      <formula>NOT(ISERROR(SEARCH("Not yet due",I22)))</formula>
    </cfRule>
    <cfRule type="containsText" dxfId="856" priority="836" operator="containsText" text="Completed Behind Schedule">
      <formula>NOT(ISERROR(SEARCH("Completed Behind Schedule",I22)))</formula>
    </cfRule>
    <cfRule type="containsText" dxfId="855" priority="837" operator="containsText" text="Off Target">
      <formula>NOT(ISERROR(SEARCH("Off Target",I22)))</formula>
    </cfRule>
    <cfRule type="containsText" dxfId="854" priority="838" operator="containsText" text="On Track to be Achieved">
      <formula>NOT(ISERROR(SEARCH("On Track to be Achieved",I22)))</formula>
    </cfRule>
    <cfRule type="containsText" dxfId="853" priority="839" operator="containsText" text="Fully Achieved">
      <formula>NOT(ISERROR(SEARCH("Fully Achieved",I22)))</formula>
    </cfRule>
    <cfRule type="containsText" dxfId="852" priority="840" operator="containsText" text="Not yet due">
      <formula>NOT(ISERROR(SEARCH("Not yet due",I22)))</formula>
    </cfRule>
    <cfRule type="containsText" dxfId="851" priority="841" operator="containsText" text="Not Yet Due">
      <formula>NOT(ISERROR(SEARCH("Not Yet Due",I22)))</formula>
    </cfRule>
    <cfRule type="containsText" dxfId="850" priority="842" operator="containsText" text="Deferred">
      <formula>NOT(ISERROR(SEARCH("Deferred",I22)))</formula>
    </cfRule>
    <cfRule type="containsText" dxfId="849" priority="843" operator="containsText" text="Deleted">
      <formula>NOT(ISERROR(SEARCH("Deleted",I22)))</formula>
    </cfRule>
    <cfRule type="containsText" dxfId="848" priority="844" operator="containsText" text="In Danger of Falling Behind Target">
      <formula>NOT(ISERROR(SEARCH("In Danger of Falling Behind Target",I22)))</formula>
    </cfRule>
    <cfRule type="containsText" dxfId="847" priority="845" operator="containsText" text="Not yet due">
      <formula>NOT(ISERROR(SEARCH("Not yet due",I22)))</formula>
    </cfRule>
    <cfRule type="containsText" dxfId="846" priority="846" operator="containsText" text="Completed Behind Schedule">
      <formula>NOT(ISERROR(SEARCH("Completed Behind Schedule",I22)))</formula>
    </cfRule>
    <cfRule type="containsText" dxfId="845" priority="847" operator="containsText" text="Off Target">
      <formula>NOT(ISERROR(SEARCH("Off Target",I22)))</formula>
    </cfRule>
    <cfRule type="containsText" dxfId="844" priority="848" operator="containsText" text="In Danger of Falling Behind Target">
      <formula>NOT(ISERROR(SEARCH("In Danger of Falling Behind Target",I22)))</formula>
    </cfRule>
    <cfRule type="containsText" dxfId="843" priority="849" operator="containsText" text="On Track to be Achieved">
      <formula>NOT(ISERROR(SEARCH("On Track to be Achieved",I22)))</formula>
    </cfRule>
    <cfRule type="containsText" dxfId="842" priority="850" operator="containsText" text="Fully Achieved">
      <formula>NOT(ISERROR(SEARCH("Fully Achieved",I22)))</formula>
    </cfRule>
    <cfRule type="containsText" dxfId="841" priority="851" operator="containsText" text="Update not Provided">
      <formula>NOT(ISERROR(SEARCH("Update not Provided",I22)))</formula>
    </cfRule>
    <cfRule type="containsText" dxfId="840" priority="852" operator="containsText" text="Not yet due">
      <formula>NOT(ISERROR(SEARCH("Not yet due",I22)))</formula>
    </cfRule>
    <cfRule type="containsText" dxfId="839" priority="853" operator="containsText" text="Completed Behind Schedule">
      <formula>NOT(ISERROR(SEARCH("Completed Behind Schedule",I22)))</formula>
    </cfRule>
    <cfRule type="containsText" dxfId="838" priority="854" operator="containsText" text="Off Target">
      <formula>NOT(ISERROR(SEARCH("Off Target",I22)))</formula>
    </cfRule>
    <cfRule type="containsText" dxfId="837" priority="855" operator="containsText" text="In Danger of Falling Behind Target">
      <formula>NOT(ISERROR(SEARCH("In Danger of Falling Behind Target",I22)))</formula>
    </cfRule>
    <cfRule type="containsText" dxfId="836" priority="856" operator="containsText" text="On Track to be Achieved">
      <formula>NOT(ISERROR(SEARCH("On Track to be Achieved",I22)))</formula>
    </cfRule>
    <cfRule type="containsText" dxfId="835" priority="857" operator="containsText" text="Fully Achieved">
      <formula>NOT(ISERROR(SEARCH("Fully Achieved",I22)))</formula>
    </cfRule>
    <cfRule type="containsText" dxfId="834" priority="858" operator="containsText" text="Fully Achieved">
      <formula>NOT(ISERROR(SEARCH("Fully Achieved",I22)))</formula>
    </cfRule>
    <cfRule type="containsText" dxfId="833" priority="859" operator="containsText" text="Fully Achieved">
      <formula>NOT(ISERROR(SEARCH("Fully Achieved",I22)))</formula>
    </cfRule>
    <cfRule type="containsText" dxfId="832" priority="860" operator="containsText" text="Deferred">
      <formula>NOT(ISERROR(SEARCH("Deferred",I22)))</formula>
    </cfRule>
    <cfRule type="containsText" dxfId="831" priority="861" operator="containsText" text="Deleted">
      <formula>NOT(ISERROR(SEARCH("Deleted",I22)))</formula>
    </cfRule>
    <cfRule type="containsText" dxfId="830" priority="862" operator="containsText" text="In Danger of Falling Behind Target">
      <formula>NOT(ISERROR(SEARCH("In Danger of Falling Behind Target",I22)))</formula>
    </cfRule>
    <cfRule type="containsText" dxfId="829" priority="863" operator="containsText" text="Not yet due">
      <formula>NOT(ISERROR(SEARCH("Not yet due",I22)))</formula>
    </cfRule>
    <cfRule type="containsText" dxfId="828" priority="864" operator="containsText" text="Update not Provided">
      <formula>NOT(ISERROR(SEARCH("Update not Provided",I22)))</formula>
    </cfRule>
  </conditionalFormatting>
  <conditionalFormatting sqref="I23:I24">
    <cfRule type="containsText" dxfId="827" priority="793" operator="containsText" text="On track to be achieved">
      <formula>NOT(ISERROR(SEARCH("On track to be achieved",I23)))</formula>
    </cfRule>
    <cfRule type="containsText" dxfId="826" priority="794" operator="containsText" text="Deferred">
      <formula>NOT(ISERROR(SEARCH("Deferred",I23)))</formula>
    </cfRule>
    <cfRule type="containsText" dxfId="825" priority="795" operator="containsText" text="Deleted">
      <formula>NOT(ISERROR(SEARCH("Deleted",I23)))</formula>
    </cfRule>
    <cfRule type="containsText" dxfId="824" priority="796" operator="containsText" text="In Danger of Falling Behind Target">
      <formula>NOT(ISERROR(SEARCH("In Danger of Falling Behind Target",I23)))</formula>
    </cfRule>
    <cfRule type="containsText" dxfId="823" priority="797" operator="containsText" text="Not yet due">
      <formula>NOT(ISERROR(SEARCH("Not yet due",I23)))</formula>
    </cfRule>
    <cfRule type="containsText" dxfId="822" priority="798" operator="containsText" text="Update not Provided">
      <formula>NOT(ISERROR(SEARCH("Update not Provided",I23)))</formula>
    </cfRule>
    <cfRule type="containsText" dxfId="821" priority="799" operator="containsText" text="Not yet due">
      <formula>NOT(ISERROR(SEARCH("Not yet due",I23)))</formula>
    </cfRule>
    <cfRule type="containsText" dxfId="820" priority="800" operator="containsText" text="Completed Behind Schedule">
      <formula>NOT(ISERROR(SEARCH("Completed Behind Schedule",I23)))</formula>
    </cfRule>
    <cfRule type="containsText" dxfId="819" priority="801" operator="containsText" text="Off Target">
      <formula>NOT(ISERROR(SEARCH("Off Target",I23)))</formula>
    </cfRule>
    <cfRule type="containsText" dxfId="818" priority="802" operator="containsText" text="On Track to be Achieved">
      <formula>NOT(ISERROR(SEARCH("On Track to be Achieved",I23)))</formula>
    </cfRule>
    <cfRule type="containsText" dxfId="817" priority="803" operator="containsText" text="Fully Achieved">
      <formula>NOT(ISERROR(SEARCH("Fully Achieved",I23)))</formula>
    </cfRule>
    <cfRule type="containsText" dxfId="816" priority="804" operator="containsText" text="Not yet due">
      <formula>NOT(ISERROR(SEARCH("Not yet due",I23)))</formula>
    </cfRule>
    <cfRule type="containsText" dxfId="815" priority="805" operator="containsText" text="Not Yet Due">
      <formula>NOT(ISERROR(SEARCH("Not Yet Due",I23)))</formula>
    </cfRule>
    <cfRule type="containsText" dxfId="814" priority="806" operator="containsText" text="Deferred">
      <formula>NOT(ISERROR(SEARCH("Deferred",I23)))</formula>
    </cfRule>
    <cfRule type="containsText" dxfId="813" priority="807" operator="containsText" text="Deleted">
      <formula>NOT(ISERROR(SEARCH("Deleted",I23)))</formula>
    </cfRule>
    <cfRule type="containsText" dxfId="812" priority="808" operator="containsText" text="In Danger of Falling Behind Target">
      <formula>NOT(ISERROR(SEARCH("In Danger of Falling Behind Target",I23)))</formula>
    </cfRule>
    <cfRule type="containsText" dxfId="811" priority="809" operator="containsText" text="Not yet due">
      <formula>NOT(ISERROR(SEARCH("Not yet due",I23)))</formula>
    </cfRule>
    <cfRule type="containsText" dxfId="810" priority="810" operator="containsText" text="Completed Behind Schedule">
      <formula>NOT(ISERROR(SEARCH("Completed Behind Schedule",I23)))</formula>
    </cfRule>
    <cfRule type="containsText" dxfId="809" priority="811" operator="containsText" text="Off Target">
      <formula>NOT(ISERROR(SEARCH("Off Target",I23)))</formula>
    </cfRule>
    <cfRule type="containsText" dxfId="808" priority="812" operator="containsText" text="In Danger of Falling Behind Target">
      <formula>NOT(ISERROR(SEARCH("In Danger of Falling Behind Target",I23)))</formula>
    </cfRule>
    <cfRule type="containsText" dxfId="807" priority="813" operator="containsText" text="On Track to be Achieved">
      <formula>NOT(ISERROR(SEARCH("On Track to be Achieved",I23)))</formula>
    </cfRule>
    <cfRule type="containsText" dxfId="806" priority="814" operator="containsText" text="Fully Achieved">
      <formula>NOT(ISERROR(SEARCH("Fully Achieved",I23)))</formula>
    </cfRule>
    <cfRule type="containsText" dxfId="805" priority="815" operator="containsText" text="Update not Provided">
      <formula>NOT(ISERROR(SEARCH("Update not Provided",I23)))</formula>
    </cfRule>
    <cfRule type="containsText" dxfId="804" priority="816" operator="containsText" text="Not yet due">
      <formula>NOT(ISERROR(SEARCH("Not yet due",I23)))</formula>
    </cfRule>
    <cfRule type="containsText" dxfId="803" priority="817" operator="containsText" text="Completed Behind Schedule">
      <formula>NOT(ISERROR(SEARCH("Completed Behind Schedule",I23)))</formula>
    </cfRule>
    <cfRule type="containsText" dxfId="802" priority="818" operator="containsText" text="Off Target">
      <formula>NOT(ISERROR(SEARCH("Off Target",I23)))</formula>
    </cfRule>
    <cfRule type="containsText" dxfId="801" priority="819" operator="containsText" text="In Danger of Falling Behind Target">
      <formula>NOT(ISERROR(SEARCH("In Danger of Falling Behind Target",I23)))</formula>
    </cfRule>
    <cfRule type="containsText" dxfId="800" priority="820" operator="containsText" text="On Track to be Achieved">
      <formula>NOT(ISERROR(SEARCH("On Track to be Achieved",I23)))</formula>
    </cfRule>
    <cfRule type="containsText" dxfId="799" priority="821" operator="containsText" text="Fully Achieved">
      <formula>NOT(ISERROR(SEARCH("Fully Achieved",I23)))</formula>
    </cfRule>
    <cfRule type="containsText" dxfId="798" priority="822" operator="containsText" text="Fully Achieved">
      <formula>NOT(ISERROR(SEARCH("Fully Achieved",I23)))</formula>
    </cfRule>
    <cfRule type="containsText" dxfId="797" priority="823" operator="containsText" text="Fully Achieved">
      <formula>NOT(ISERROR(SEARCH("Fully Achieved",I23)))</formula>
    </cfRule>
    <cfRule type="containsText" dxfId="796" priority="824" operator="containsText" text="Deferred">
      <formula>NOT(ISERROR(SEARCH("Deferred",I23)))</formula>
    </cfRule>
    <cfRule type="containsText" dxfId="795" priority="825" operator="containsText" text="Deleted">
      <formula>NOT(ISERROR(SEARCH("Deleted",I23)))</formula>
    </cfRule>
    <cfRule type="containsText" dxfId="794" priority="826" operator="containsText" text="In Danger of Falling Behind Target">
      <formula>NOT(ISERROR(SEARCH("In Danger of Falling Behind Target",I23)))</formula>
    </cfRule>
    <cfRule type="containsText" dxfId="793" priority="827" operator="containsText" text="Not yet due">
      <formula>NOT(ISERROR(SEARCH("Not yet due",I23)))</formula>
    </cfRule>
    <cfRule type="containsText" dxfId="792" priority="828" operator="containsText" text="Update not Provided">
      <formula>NOT(ISERROR(SEARCH("Update not Provided",I23)))</formula>
    </cfRule>
  </conditionalFormatting>
  <conditionalFormatting sqref="I26:I28">
    <cfRule type="containsText" dxfId="791" priority="757" operator="containsText" text="On track to be achieved">
      <formula>NOT(ISERROR(SEARCH("On track to be achieved",I26)))</formula>
    </cfRule>
    <cfRule type="containsText" dxfId="790" priority="758" operator="containsText" text="Deferred">
      <formula>NOT(ISERROR(SEARCH("Deferred",I26)))</formula>
    </cfRule>
    <cfRule type="containsText" dxfId="789" priority="759" operator="containsText" text="Deleted">
      <formula>NOT(ISERROR(SEARCH("Deleted",I26)))</formula>
    </cfRule>
    <cfRule type="containsText" dxfId="788" priority="760" operator="containsText" text="In Danger of Falling Behind Target">
      <formula>NOT(ISERROR(SEARCH("In Danger of Falling Behind Target",I26)))</formula>
    </cfRule>
    <cfRule type="containsText" dxfId="787" priority="761" operator="containsText" text="Not yet due">
      <formula>NOT(ISERROR(SEARCH("Not yet due",I26)))</formula>
    </cfRule>
    <cfRule type="containsText" dxfId="786" priority="762" operator="containsText" text="Update not Provided">
      <formula>NOT(ISERROR(SEARCH("Update not Provided",I26)))</formula>
    </cfRule>
    <cfRule type="containsText" dxfId="785" priority="763" operator="containsText" text="Not yet due">
      <formula>NOT(ISERROR(SEARCH("Not yet due",I26)))</formula>
    </cfRule>
    <cfRule type="containsText" dxfId="784" priority="764" operator="containsText" text="Completed Behind Schedule">
      <formula>NOT(ISERROR(SEARCH("Completed Behind Schedule",I26)))</formula>
    </cfRule>
    <cfRule type="containsText" dxfId="783" priority="765" operator="containsText" text="Off Target">
      <formula>NOT(ISERROR(SEARCH("Off Target",I26)))</formula>
    </cfRule>
    <cfRule type="containsText" dxfId="782" priority="766" operator="containsText" text="On Track to be Achieved">
      <formula>NOT(ISERROR(SEARCH("On Track to be Achieved",I26)))</formula>
    </cfRule>
    <cfRule type="containsText" dxfId="781" priority="767" operator="containsText" text="Fully Achieved">
      <formula>NOT(ISERROR(SEARCH("Fully Achieved",I26)))</formula>
    </cfRule>
    <cfRule type="containsText" dxfId="780" priority="768" operator="containsText" text="Not yet due">
      <formula>NOT(ISERROR(SEARCH("Not yet due",I26)))</formula>
    </cfRule>
    <cfRule type="containsText" dxfId="779" priority="769" operator="containsText" text="Not Yet Due">
      <formula>NOT(ISERROR(SEARCH("Not Yet Due",I26)))</formula>
    </cfRule>
    <cfRule type="containsText" dxfId="778" priority="770" operator="containsText" text="Deferred">
      <formula>NOT(ISERROR(SEARCH("Deferred",I26)))</formula>
    </cfRule>
    <cfRule type="containsText" dxfId="777" priority="771" operator="containsText" text="Deleted">
      <formula>NOT(ISERROR(SEARCH("Deleted",I26)))</formula>
    </cfRule>
    <cfRule type="containsText" dxfId="776" priority="772" operator="containsText" text="In Danger of Falling Behind Target">
      <formula>NOT(ISERROR(SEARCH("In Danger of Falling Behind Target",I26)))</formula>
    </cfRule>
    <cfRule type="containsText" dxfId="775" priority="773" operator="containsText" text="Not yet due">
      <formula>NOT(ISERROR(SEARCH("Not yet due",I26)))</formula>
    </cfRule>
    <cfRule type="containsText" dxfId="774" priority="774" operator="containsText" text="Completed Behind Schedule">
      <formula>NOT(ISERROR(SEARCH("Completed Behind Schedule",I26)))</formula>
    </cfRule>
    <cfRule type="containsText" dxfId="773" priority="775" operator="containsText" text="Off Target">
      <formula>NOT(ISERROR(SEARCH("Off Target",I26)))</formula>
    </cfRule>
    <cfRule type="containsText" dxfId="772" priority="776" operator="containsText" text="In Danger of Falling Behind Target">
      <formula>NOT(ISERROR(SEARCH("In Danger of Falling Behind Target",I26)))</formula>
    </cfRule>
    <cfRule type="containsText" dxfId="771" priority="777" operator="containsText" text="On Track to be Achieved">
      <formula>NOT(ISERROR(SEARCH("On Track to be Achieved",I26)))</formula>
    </cfRule>
    <cfRule type="containsText" dxfId="770" priority="778" operator="containsText" text="Fully Achieved">
      <formula>NOT(ISERROR(SEARCH("Fully Achieved",I26)))</formula>
    </cfRule>
    <cfRule type="containsText" dxfId="769" priority="779" operator="containsText" text="Update not Provided">
      <formula>NOT(ISERROR(SEARCH("Update not Provided",I26)))</formula>
    </cfRule>
    <cfRule type="containsText" dxfId="768" priority="780" operator="containsText" text="Not yet due">
      <formula>NOT(ISERROR(SEARCH("Not yet due",I26)))</formula>
    </cfRule>
    <cfRule type="containsText" dxfId="767" priority="781" operator="containsText" text="Completed Behind Schedule">
      <formula>NOT(ISERROR(SEARCH("Completed Behind Schedule",I26)))</formula>
    </cfRule>
    <cfRule type="containsText" dxfId="766" priority="782" operator="containsText" text="Off Target">
      <formula>NOT(ISERROR(SEARCH("Off Target",I26)))</formula>
    </cfRule>
    <cfRule type="containsText" dxfId="765" priority="783" operator="containsText" text="In Danger of Falling Behind Target">
      <formula>NOT(ISERROR(SEARCH("In Danger of Falling Behind Target",I26)))</formula>
    </cfRule>
    <cfRule type="containsText" dxfId="764" priority="784" operator="containsText" text="On Track to be Achieved">
      <formula>NOT(ISERROR(SEARCH("On Track to be Achieved",I26)))</formula>
    </cfRule>
    <cfRule type="containsText" dxfId="763" priority="785" operator="containsText" text="Fully Achieved">
      <formula>NOT(ISERROR(SEARCH("Fully Achieved",I26)))</formula>
    </cfRule>
    <cfRule type="containsText" dxfId="762" priority="786" operator="containsText" text="Fully Achieved">
      <formula>NOT(ISERROR(SEARCH("Fully Achieved",I26)))</formula>
    </cfRule>
    <cfRule type="containsText" dxfId="761" priority="787" operator="containsText" text="Fully Achieved">
      <formula>NOT(ISERROR(SEARCH("Fully Achieved",I26)))</formula>
    </cfRule>
    <cfRule type="containsText" dxfId="760" priority="788" operator="containsText" text="Deferred">
      <formula>NOT(ISERROR(SEARCH("Deferred",I26)))</formula>
    </cfRule>
    <cfRule type="containsText" dxfId="759" priority="789" operator="containsText" text="Deleted">
      <formula>NOT(ISERROR(SEARCH("Deleted",I26)))</formula>
    </cfRule>
    <cfRule type="containsText" dxfId="758" priority="790" operator="containsText" text="In Danger of Falling Behind Target">
      <formula>NOT(ISERROR(SEARCH("In Danger of Falling Behind Target",I26)))</formula>
    </cfRule>
    <cfRule type="containsText" dxfId="757" priority="791" operator="containsText" text="Not yet due">
      <formula>NOT(ISERROR(SEARCH("Not yet due",I26)))</formula>
    </cfRule>
    <cfRule type="containsText" dxfId="756" priority="792" operator="containsText" text="Update not Provided">
      <formula>NOT(ISERROR(SEARCH("Update not Provided",I26)))</formula>
    </cfRule>
  </conditionalFormatting>
  <conditionalFormatting sqref="I29:I34">
    <cfRule type="containsText" dxfId="755" priority="721" operator="containsText" text="On track to be achieved">
      <formula>NOT(ISERROR(SEARCH("On track to be achieved",I29)))</formula>
    </cfRule>
    <cfRule type="containsText" dxfId="754" priority="722" operator="containsText" text="Deferred">
      <formula>NOT(ISERROR(SEARCH("Deferred",I29)))</formula>
    </cfRule>
    <cfRule type="containsText" dxfId="753" priority="723" operator="containsText" text="Deleted">
      <formula>NOT(ISERROR(SEARCH("Deleted",I29)))</formula>
    </cfRule>
    <cfRule type="containsText" dxfId="752" priority="724" operator="containsText" text="In Danger of Falling Behind Target">
      <formula>NOT(ISERROR(SEARCH("In Danger of Falling Behind Target",I29)))</formula>
    </cfRule>
    <cfRule type="containsText" dxfId="751" priority="725" operator="containsText" text="Not yet due">
      <formula>NOT(ISERROR(SEARCH("Not yet due",I29)))</formula>
    </cfRule>
    <cfRule type="containsText" dxfId="750" priority="726" operator="containsText" text="Update not Provided">
      <formula>NOT(ISERROR(SEARCH("Update not Provided",I29)))</formula>
    </cfRule>
    <cfRule type="containsText" dxfId="749" priority="727" operator="containsText" text="Not yet due">
      <formula>NOT(ISERROR(SEARCH("Not yet due",I29)))</formula>
    </cfRule>
    <cfRule type="containsText" dxfId="748" priority="728" operator="containsText" text="Completed Behind Schedule">
      <formula>NOT(ISERROR(SEARCH("Completed Behind Schedule",I29)))</formula>
    </cfRule>
    <cfRule type="containsText" dxfId="747" priority="729" operator="containsText" text="Off Target">
      <formula>NOT(ISERROR(SEARCH("Off Target",I29)))</formula>
    </cfRule>
    <cfRule type="containsText" dxfId="746" priority="730" operator="containsText" text="On Track to be Achieved">
      <formula>NOT(ISERROR(SEARCH("On Track to be Achieved",I29)))</formula>
    </cfRule>
    <cfRule type="containsText" dxfId="745" priority="731" operator="containsText" text="Fully Achieved">
      <formula>NOT(ISERROR(SEARCH("Fully Achieved",I29)))</formula>
    </cfRule>
    <cfRule type="containsText" dxfId="744" priority="732" operator="containsText" text="Not yet due">
      <formula>NOT(ISERROR(SEARCH("Not yet due",I29)))</formula>
    </cfRule>
    <cfRule type="containsText" dxfId="743" priority="733" operator="containsText" text="Not Yet Due">
      <formula>NOT(ISERROR(SEARCH("Not Yet Due",I29)))</formula>
    </cfRule>
    <cfRule type="containsText" dxfId="742" priority="734" operator="containsText" text="Deferred">
      <formula>NOT(ISERROR(SEARCH("Deferred",I29)))</formula>
    </cfRule>
    <cfRule type="containsText" dxfId="741" priority="735" operator="containsText" text="Deleted">
      <formula>NOT(ISERROR(SEARCH("Deleted",I29)))</formula>
    </cfRule>
    <cfRule type="containsText" dxfId="740" priority="736" operator="containsText" text="In Danger of Falling Behind Target">
      <formula>NOT(ISERROR(SEARCH("In Danger of Falling Behind Target",I29)))</formula>
    </cfRule>
    <cfRule type="containsText" dxfId="739" priority="737" operator="containsText" text="Not yet due">
      <formula>NOT(ISERROR(SEARCH("Not yet due",I29)))</formula>
    </cfRule>
    <cfRule type="containsText" dxfId="738" priority="738" operator="containsText" text="Completed Behind Schedule">
      <formula>NOT(ISERROR(SEARCH("Completed Behind Schedule",I29)))</formula>
    </cfRule>
    <cfRule type="containsText" dxfId="737" priority="739" operator="containsText" text="Off Target">
      <formula>NOT(ISERROR(SEARCH("Off Target",I29)))</formula>
    </cfRule>
    <cfRule type="containsText" dxfId="736" priority="740" operator="containsText" text="In Danger of Falling Behind Target">
      <formula>NOT(ISERROR(SEARCH("In Danger of Falling Behind Target",I29)))</formula>
    </cfRule>
    <cfRule type="containsText" dxfId="735" priority="741" operator="containsText" text="On Track to be Achieved">
      <formula>NOT(ISERROR(SEARCH("On Track to be Achieved",I29)))</formula>
    </cfRule>
    <cfRule type="containsText" dxfId="734" priority="742" operator="containsText" text="Fully Achieved">
      <formula>NOT(ISERROR(SEARCH("Fully Achieved",I29)))</formula>
    </cfRule>
    <cfRule type="containsText" dxfId="733" priority="743" operator="containsText" text="Update not Provided">
      <formula>NOT(ISERROR(SEARCH("Update not Provided",I29)))</formula>
    </cfRule>
    <cfRule type="containsText" dxfId="732" priority="744" operator="containsText" text="Not yet due">
      <formula>NOT(ISERROR(SEARCH("Not yet due",I29)))</formula>
    </cfRule>
    <cfRule type="containsText" dxfId="731" priority="745" operator="containsText" text="Completed Behind Schedule">
      <formula>NOT(ISERROR(SEARCH("Completed Behind Schedule",I29)))</formula>
    </cfRule>
    <cfRule type="containsText" dxfId="730" priority="746" operator="containsText" text="Off Target">
      <formula>NOT(ISERROR(SEARCH("Off Target",I29)))</formula>
    </cfRule>
    <cfRule type="containsText" dxfId="729" priority="747" operator="containsText" text="In Danger of Falling Behind Target">
      <formula>NOT(ISERROR(SEARCH("In Danger of Falling Behind Target",I29)))</formula>
    </cfRule>
    <cfRule type="containsText" dxfId="728" priority="748" operator="containsText" text="On Track to be Achieved">
      <formula>NOT(ISERROR(SEARCH("On Track to be Achieved",I29)))</formula>
    </cfRule>
    <cfRule type="containsText" dxfId="727" priority="749" operator="containsText" text="Fully Achieved">
      <formula>NOT(ISERROR(SEARCH("Fully Achieved",I29)))</formula>
    </cfRule>
    <cfRule type="containsText" dxfId="726" priority="750" operator="containsText" text="Fully Achieved">
      <formula>NOT(ISERROR(SEARCH("Fully Achieved",I29)))</formula>
    </cfRule>
    <cfRule type="containsText" dxfId="725" priority="751" operator="containsText" text="Fully Achieved">
      <formula>NOT(ISERROR(SEARCH("Fully Achieved",I29)))</formula>
    </cfRule>
    <cfRule type="containsText" dxfId="724" priority="752" operator="containsText" text="Deferred">
      <formula>NOT(ISERROR(SEARCH("Deferred",I29)))</formula>
    </cfRule>
    <cfRule type="containsText" dxfId="723" priority="753" operator="containsText" text="Deleted">
      <formula>NOT(ISERROR(SEARCH("Deleted",I29)))</formula>
    </cfRule>
    <cfRule type="containsText" dxfId="722" priority="754" operator="containsText" text="In Danger of Falling Behind Target">
      <formula>NOT(ISERROR(SEARCH("In Danger of Falling Behind Target",I29)))</formula>
    </cfRule>
    <cfRule type="containsText" dxfId="721" priority="755" operator="containsText" text="Not yet due">
      <formula>NOT(ISERROR(SEARCH("Not yet due",I29)))</formula>
    </cfRule>
    <cfRule type="containsText" dxfId="720" priority="756" operator="containsText" text="Update not Provided">
      <formula>NOT(ISERROR(SEARCH("Update not Provided",I29)))</formula>
    </cfRule>
  </conditionalFormatting>
  <conditionalFormatting sqref="I35:I39">
    <cfRule type="containsText" dxfId="719" priority="685" operator="containsText" text="On track to be achieved">
      <formula>NOT(ISERROR(SEARCH("On track to be achieved",I35)))</formula>
    </cfRule>
    <cfRule type="containsText" dxfId="718" priority="686" operator="containsText" text="Deferred">
      <formula>NOT(ISERROR(SEARCH("Deferred",I35)))</formula>
    </cfRule>
    <cfRule type="containsText" dxfId="717" priority="687" operator="containsText" text="Deleted">
      <formula>NOT(ISERROR(SEARCH("Deleted",I35)))</formula>
    </cfRule>
    <cfRule type="containsText" dxfId="716" priority="688" operator="containsText" text="In Danger of Falling Behind Target">
      <formula>NOT(ISERROR(SEARCH("In Danger of Falling Behind Target",I35)))</formula>
    </cfRule>
    <cfRule type="containsText" dxfId="715" priority="689" operator="containsText" text="Not yet due">
      <formula>NOT(ISERROR(SEARCH("Not yet due",I35)))</formula>
    </cfRule>
    <cfRule type="containsText" dxfId="714" priority="690" operator="containsText" text="Update not Provided">
      <formula>NOT(ISERROR(SEARCH("Update not Provided",I35)))</formula>
    </cfRule>
    <cfRule type="containsText" dxfId="713" priority="691" operator="containsText" text="Not yet due">
      <formula>NOT(ISERROR(SEARCH("Not yet due",I35)))</formula>
    </cfRule>
    <cfRule type="containsText" dxfId="712" priority="692" operator="containsText" text="Completed Behind Schedule">
      <formula>NOT(ISERROR(SEARCH("Completed Behind Schedule",I35)))</formula>
    </cfRule>
    <cfRule type="containsText" dxfId="711" priority="693" operator="containsText" text="Off Target">
      <formula>NOT(ISERROR(SEARCH("Off Target",I35)))</formula>
    </cfRule>
    <cfRule type="containsText" dxfId="710" priority="694" operator="containsText" text="On Track to be Achieved">
      <formula>NOT(ISERROR(SEARCH("On Track to be Achieved",I35)))</formula>
    </cfRule>
    <cfRule type="containsText" dxfId="709" priority="695" operator="containsText" text="Fully Achieved">
      <formula>NOT(ISERROR(SEARCH("Fully Achieved",I35)))</formula>
    </cfRule>
    <cfRule type="containsText" dxfId="708" priority="696" operator="containsText" text="Not yet due">
      <formula>NOT(ISERROR(SEARCH("Not yet due",I35)))</formula>
    </cfRule>
    <cfRule type="containsText" dxfId="707" priority="697" operator="containsText" text="Not Yet Due">
      <formula>NOT(ISERROR(SEARCH("Not Yet Due",I35)))</formula>
    </cfRule>
    <cfRule type="containsText" dxfId="706" priority="698" operator="containsText" text="Deferred">
      <formula>NOT(ISERROR(SEARCH("Deferred",I35)))</formula>
    </cfRule>
    <cfRule type="containsText" dxfId="705" priority="699" operator="containsText" text="Deleted">
      <formula>NOT(ISERROR(SEARCH("Deleted",I35)))</formula>
    </cfRule>
    <cfRule type="containsText" dxfId="704" priority="700" operator="containsText" text="In Danger of Falling Behind Target">
      <formula>NOT(ISERROR(SEARCH("In Danger of Falling Behind Target",I35)))</formula>
    </cfRule>
    <cfRule type="containsText" dxfId="703" priority="701" operator="containsText" text="Not yet due">
      <formula>NOT(ISERROR(SEARCH("Not yet due",I35)))</formula>
    </cfRule>
    <cfRule type="containsText" dxfId="702" priority="702" operator="containsText" text="Completed Behind Schedule">
      <formula>NOT(ISERROR(SEARCH("Completed Behind Schedule",I35)))</formula>
    </cfRule>
    <cfRule type="containsText" dxfId="701" priority="703" operator="containsText" text="Off Target">
      <formula>NOT(ISERROR(SEARCH("Off Target",I35)))</formula>
    </cfRule>
    <cfRule type="containsText" dxfId="700" priority="704" operator="containsText" text="In Danger of Falling Behind Target">
      <formula>NOT(ISERROR(SEARCH("In Danger of Falling Behind Target",I35)))</formula>
    </cfRule>
    <cfRule type="containsText" dxfId="699" priority="705" operator="containsText" text="On Track to be Achieved">
      <formula>NOT(ISERROR(SEARCH("On Track to be Achieved",I35)))</formula>
    </cfRule>
    <cfRule type="containsText" dxfId="698" priority="706" operator="containsText" text="Fully Achieved">
      <formula>NOT(ISERROR(SEARCH("Fully Achieved",I35)))</formula>
    </cfRule>
    <cfRule type="containsText" dxfId="697" priority="707" operator="containsText" text="Update not Provided">
      <formula>NOT(ISERROR(SEARCH("Update not Provided",I35)))</formula>
    </cfRule>
    <cfRule type="containsText" dxfId="696" priority="708" operator="containsText" text="Not yet due">
      <formula>NOT(ISERROR(SEARCH("Not yet due",I35)))</formula>
    </cfRule>
    <cfRule type="containsText" dxfId="695" priority="709" operator="containsText" text="Completed Behind Schedule">
      <formula>NOT(ISERROR(SEARCH("Completed Behind Schedule",I35)))</formula>
    </cfRule>
    <cfRule type="containsText" dxfId="694" priority="710" operator="containsText" text="Off Target">
      <formula>NOT(ISERROR(SEARCH("Off Target",I35)))</formula>
    </cfRule>
    <cfRule type="containsText" dxfId="693" priority="711" operator="containsText" text="In Danger of Falling Behind Target">
      <formula>NOT(ISERROR(SEARCH("In Danger of Falling Behind Target",I35)))</formula>
    </cfRule>
    <cfRule type="containsText" dxfId="692" priority="712" operator="containsText" text="On Track to be Achieved">
      <formula>NOT(ISERROR(SEARCH("On Track to be Achieved",I35)))</formula>
    </cfRule>
    <cfRule type="containsText" dxfId="691" priority="713" operator="containsText" text="Fully Achieved">
      <formula>NOT(ISERROR(SEARCH("Fully Achieved",I35)))</formula>
    </cfRule>
    <cfRule type="containsText" dxfId="690" priority="714" operator="containsText" text="Fully Achieved">
      <formula>NOT(ISERROR(SEARCH("Fully Achieved",I35)))</formula>
    </cfRule>
    <cfRule type="containsText" dxfId="689" priority="715" operator="containsText" text="Fully Achieved">
      <formula>NOT(ISERROR(SEARCH("Fully Achieved",I35)))</formula>
    </cfRule>
    <cfRule type="containsText" dxfId="688" priority="716" operator="containsText" text="Deferred">
      <formula>NOT(ISERROR(SEARCH("Deferred",I35)))</formula>
    </cfRule>
    <cfRule type="containsText" dxfId="687" priority="717" operator="containsText" text="Deleted">
      <formula>NOT(ISERROR(SEARCH("Deleted",I35)))</formula>
    </cfRule>
    <cfRule type="containsText" dxfId="686" priority="718" operator="containsText" text="In Danger of Falling Behind Target">
      <formula>NOT(ISERROR(SEARCH("In Danger of Falling Behind Target",I35)))</formula>
    </cfRule>
    <cfRule type="containsText" dxfId="685" priority="719" operator="containsText" text="Not yet due">
      <formula>NOT(ISERROR(SEARCH("Not yet due",I35)))</formula>
    </cfRule>
    <cfRule type="containsText" dxfId="684" priority="720" operator="containsText" text="Update not Provided">
      <formula>NOT(ISERROR(SEARCH("Update not Provided",I35)))</formula>
    </cfRule>
  </conditionalFormatting>
  <conditionalFormatting sqref="I40">
    <cfRule type="containsText" dxfId="683" priority="649" operator="containsText" text="On track to be achieved">
      <formula>NOT(ISERROR(SEARCH("On track to be achieved",I40)))</formula>
    </cfRule>
    <cfRule type="containsText" dxfId="682" priority="650" operator="containsText" text="Deferred">
      <formula>NOT(ISERROR(SEARCH("Deferred",I40)))</formula>
    </cfRule>
    <cfRule type="containsText" dxfId="681" priority="651" operator="containsText" text="Deleted">
      <formula>NOT(ISERROR(SEARCH("Deleted",I40)))</formula>
    </cfRule>
    <cfRule type="containsText" dxfId="680" priority="652" operator="containsText" text="In Danger of Falling Behind Target">
      <formula>NOT(ISERROR(SEARCH("In Danger of Falling Behind Target",I40)))</formula>
    </cfRule>
    <cfRule type="containsText" dxfId="679" priority="653" operator="containsText" text="Not yet due">
      <formula>NOT(ISERROR(SEARCH("Not yet due",I40)))</formula>
    </cfRule>
    <cfRule type="containsText" dxfId="678" priority="654" operator="containsText" text="Update not Provided">
      <formula>NOT(ISERROR(SEARCH("Update not Provided",I40)))</formula>
    </cfRule>
    <cfRule type="containsText" dxfId="677" priority="655" operator="containsText" text="Not yet due">
      <formula>NOT(ISERROR(SEARCH("Not yet due",I40)))</formula>
    </cfRule>
    <cfRule type="containsText" dxfId="676" priority="656" operator="containsText" text="Completed Behind Schedule">
      <formula>NOT(ISERROR(SEARCH("Completed Behind Schedule",I40)))</formula>
    </cfRule>
    <cfRule type="containsText" dxfId="675" priority="657" operator="containsText" text="Off Target">
      <formula>NOT(ISERROR(SEARCH("Off Target",I40)))</formula>
    </cfRule>
    <cfRule type="containsText" dxfId="674" priority="658" operator="containsText" text="On Track to be Achieved">
      <formula>NOT(ISERROR(SEARCH("On Track to be Achieved",I40)))</formula>
    </cfRule>
    <cfRule type="containsText" dxfId="673" priority="659" operator="containsText" text="Fully Achieved">
      <formula>NOT(ISERROR(SEARCH("Fully Achieved",I40)))</formula>
    </cfRule>
    <cfRule type="containsText" dxfId="672" priority="660" operator="containsText" text="Not yet due">
      <formula>NOT(ISERROR(SEARCH("Not yet due",I40)))</formula>
    </cfRule>
    <cfRule type="containsText" dxfId="671" priority="661" operator="containsText" text="Not Yet Due">
      <formula>NOT(ISERROR(SEARCH("Not Yet Due",I40)))</formula>
    </cfRule>
    <cfRule type="containsText" dxfId="670" priority="662" operator="containsText" text="Deferred">
      <formula>NOT(ISERROR(SEARCH("Deferred",I40)))</formula>
    </cfRule>
    <cfRule type="containsText" dxfId="669" priority="663" operator="containsText" text="Deleted">
      <formula>NOT(ISERROR(SEARCH("Deleted",I40)))</formula>
    </cfRule>
    <cfRule type="containsText" dxfId="668" priority="664" operator="containsText" text="In Danger of Falling Behind Target">
      <formula>NOT(ISERROR(SEARCH("In Danger of Falling Behind Target",I40)))</formula>
    </cfRule>
    <cfRule type="containsText" dxfId="667" priority="665" operator="containsText" text="Not yet due">
      <formula>NOT(ISERROR(SEARCH("Not yet due",I40)))</formula>
    </cfRule>
    <cfRule type="containsText" dxfId="666" priority="666" operator="containsText" text="Completed Behind Schedule">
      <formula>NOT(ISERROR(SEARCH("Completed Behind Schedule",I40)))</formula>
    </cfRule>
    <cfRule type="containsText" dxfId="665" priority="667" operator="containsText" text="Off Target">
      <formula>NOT(ISERROR(SEARCH("Off Target",I40)))</formula>
    </cfRule>
    <cfRule type="containsText" dxfId="664" priority="668" operator="containsText" text="In Danger of Falling Behind Target">
      <formula>NOT(ISERROR(SEARCH("In Danger of Falling Behind Target",I40)))</formula>
    </cfRule>
    <cfRule type="containsText" dxfId="663" priority="669" operator="containsText" text="On Track to be Achieved">
      <formula>NOT(ISERROR(SEARCH("On Track to be Achieved",I40)))</formula>
    </cfRule>
    <cfRule type="containsText" dxfId="662" priority="670" operator="containsText" text="Fully Achieved">
      <formula>NOT(ISERROR(SEARCH("Fully Achieved",I40)))</formula>
    </cfRule>
    <cfRule type="containsText" dxfId="661" priority="671" operator="containsText" text="Update not Provided">
      <formula>NOT(ISERROR(SEARCH("Update not Provided",I40)))</formula>
    </cfRule>
    <cfRule type="containsText" dxfId="660" priority="672" operator="containsText" text="Not yet due">
      <formula>NOT(ISERROR(SEARCH("Not yet due",I40)))</formula>
    </cfRule>
    <cfRule type="containsText" dxfId="659" priority="673" operator="containsText" text="Completed Behind Schedule">
      <formula>NOT(ISERROR(SEARCH("Completed Behind Schedule",I40)))</formula>
    </cfRule>
    <cfRule type="containsText" dxfId="658" priority="674" operator="containsText" text="Off Target">
      <formula>NOT(ISERROR(SEARCH("Off Target",I40)))</formula>
    </cfRule>
    <cfRule type="containsText" dxfId="657" priority="675" operator="containsText" text="In Danger of Falling Behind Target">
      <formula>NOT(ISERROR(SEARCH("In Danger of Falling Behind Target",I40)))</formula>
    </cfRule>
    <cfRule type="containsText" dxfId="656" priority="676" operator="containsText" text="On Track to be Achieved">
      <formula>NOT(ISERROR(SEARCH("On Track to be Achieved",I40)))</formula>
    </cfRule>
    <cfRule type="containsText" dxfId="655" priority="677" operator="containsText" text="Fully Achieved">
      <formula>NOT(ISERROR(SEARCH("Fully Achieved",I40)))</formula>
    </cfRule>
    <cfRule type="containsText" dxfId="654" priority="678" operator="containsText" text="Fully Achieved">
      <formula>NOT(ISERROR(SEARCH("Fully Achieved",I40)))</formula>
    </cfRule>
    <cfRule type="containsText" dxfId="653" priority="679" operator="containsText" text="Fully Achieved">
      <formula>NOT(ISERROR(SEARCH("Fully Achieved",I40)))</formula>
    </cfRule>
    <cfRule type="containsText" dxfId="652" priority="680" operator="containsText" text="Deferred">
      <formula>NOT(ISERROR(SEARCH("Deferred",I40)))</formula>
    </cfRule>
    <cfRule type="containsText" dxfId="651" priority="681" operator="containsText" text="Deleted">
      <formula>NOT(ISERROR(SEARCH("Deleted",I40)))</formula>
    </cfRule>
    <cfRule type="containsText" dxfId="650" priority="682" operator="containsText" text="In Danger of Falling Behind Target">
      <formula>NOT(ISERROR(SEARCH("In Danger of Falling Behind Target",I40)))</formula>
    </cfRule>
    <cfRule type="containsText" dxfId="649" priority="683" operator="containsText" text="Not yet due">
      <formula>NOT(ISERROR(SEARCH("Not yet due",I40)))</formula>
    </cfRule>
    <cfRule type="containsText" dxfId="648" priority="684" operator="containsText" text="Update not Provided">
      <formula>NOT(ISERROR(SEARCH("Update not Provided",I40)))</formula>
    </cfRule>
  </conditionalFormatting>
  <conditionalFormatting sqref="I42:I43">
    <cfRule type="containsText" dxfId="647" priority="613" operator="containsText" text="On track to be achieved">
      <formula>NOT(ISERROR(SEARCH("On track to be achieved",I42)))</formula>
    </cfRule>
    <cfRule type="containsText" dxfId="646" priority="614" operator="containsText" text="Deferred">
      <formula>NOT(ISERROR(SEARCH("Deferred",I42)))</formula>
    </cfRule>
    <cfRule type="containsText" dxfId="645" priority="615" operator="containsText" text="Deleted">
      <formula>NOT(ISERROR(SEARCH("Deleted",I42)))</formula>
    </cfRule>
    <cfRule type="containsText" dxfId="644" priority="616" operator="containsText" text="In Danger of Falling Behind Target">
      <formula>NOT(ISERROR(SEARCH("In Danger of Falling Behind Target",I42)))</formula>
    </cfRule>
    <cfRule type="containsText" dxfId="643" priority="617" operator="containsText" text="Not yet due">
      <formula>NOT(ISERROR(SEARCH("Not yet due",I42)))</formula>
    </cfRule>
    <cfRule type="containsText" dxfId="642" priority="618" operator="containsText" text="Update not Provided">
      <formula>NOT(ISERROR(SEARCH("Update not Provided",I42)))</formula>
    </cfRule>
    <cfRule type="containsText" dxfId="641" priority="619" operator="containsText" text="Not yet due">
      <formula>NOT(ISERROR(SEARCH("Not yet due",I42)))</formula>
    </cfRule>
    <cfRule type="containsText" dxfId="640" priority="620" operator="containsText" text="Completed Behind Schedule">
      <formula>NOT(ISERROR(SEARCH("Completed Behind Schedule",I42)))</formula>
    </cfRule>
    <cfRule type="containsText" dxfId="639" priority="621" operator="containsText" text="Off Target">
      <formula>NOT(ISERROR(SEARCH("Off Target",I42)))</formula>
    </cfRule>
    <cfRule type="containsText" dxfId="638" priority="622" operator="containsText" text="On Track to be Achieved">
      <formula>NOT(ISERROR(SEARCH("On Track to be Achieved",I42)))</formula>
    </cfRule>
    <cfRule type="containsText" dxfId="637" priority="623" operator="containsText" text="Fully Achieved">
      <formula>NOT(ISERROR(SEARCH("Fully Achieved",I42)))</formula>
    </cfRule>
    <cfRule type="containsText" dxfId="636" priority="624" operator="containsText" text="Not yet due">
      <formula>NOT(ISERROR(SEARCH("Not yet due",I42)))</formula>
    </cfRule>
    <cfRule type="containsText" dxfId="635" priority="625" operator="containsText" text="Not Yet Due">
      <formula>NOT(ISERROR(SEARCH("Not Yet Due",I42)))</formula>
    </cfRule>
    <cfRule type="containsText" dxfId="634" priority="626" operator="containsText" text="Deferred">
      <formula>NOT(ISERROR(SEARCH("Deferred",I42)))</formula>
    </cfRule>
    <cfRule type="containsText" dxfId="633" priority="627" operator="containsText" text="Deleted">
      <formula>NOT(ISERROR(SEARCH("Deleted",I42)))</formula>
    </cfRule>
    <cfRule type="containsText" dxfId="632" priority="628" operator="containsText" text="In Danger of Falling Behind Target">
      <formula>NOT(ISERROR(SEARCH("In Danger of Falling Behind Target",I42)))</formula>
    </cfRule>
    <cfRule type="containsText" dxfId="631" priority="629" operator="containsText" text="Not yet due">
      <formula>NOT(ISERROR(SEARCH("Not yet due",I42)))</formula>
    </cfRule>
    <cfRule type="containsText" dxfId="630" priority="630" operator="containsText" text="Completed Behind Schedule">
      <formula>NOT(ISERROR(SEARCH("Completed Behind Schedule",I42)))</formula>
    </cfRule>
    <cfRule type="containsText" dxfId="629" priority="631" operator="containsText" text="Off Target">
      <formula>NOT(ISERROR(SEARCH("Off Target",I42)))</formula>
    </cfRule>
    <cfRule type="containsText" dxfId="628" priority="632" operator="containsText" text="In Danger of Falling Behind Target">
      <formula>NOT(ISERROR(SEARCH("In Danger of Falling Behind Target",I42)))</formula>
    </cfRule>
    <cfRule type="containsText" dxfId="627" priority="633" operator="containsText" text="On Track to be Achieved">
      <formula>NOT(ISERROR(SEARCH("On Track to be Achieved",I42)))</formula>
    </cfRule>
    <cfRule type="containsText" dxfId="626" priority="634" operator="containsText" text="Fully Achieved">
      <formula>NOT(ISERROR(SEARCH("Fully Achieved",I42)))</formula>
    </cfRule>
    <cfRule type="containsText" dxfId="625" priority="635" operator="containsText" text="Update not Provided">
      <formula>NOT(ISERROR(SEARCH("Update not Provided",I42)))</formula>
    </cfRule>
    <cfRule type="containsText" dxfId="624" priority="636" operator="containsText" text="Not yet due">
      <formula>NOT(ISERROR(SEARCH("Not yet due",I42)))</formula>
    </cfRule>
    <cfRule type="containsText" dxfId="623" priority="637" operator="containsText" text="Completed Behind Schedule">
      <formula>NOT(ISERROR(SEARCH("Completed Behind Schedule",I42)))</formula>
    </cfRule>
    <cfRule type="containsText" dxfId="622" priority="638" operator="containsText" text="Off Target">
      <formula>NOT(ISERROR(SEARCH("Off Target",I42)))</formula>
    </cfRule>
    <cfRule type="containsText" dxfId="621" priority="639" operator="containsText" text="In Danger of Falling Behind Target">
      <formula>NOT(ISERROR(SEARCH("In Danger of Falling Behind Target",I42)))</formula>
    </cfRule>
    <cfRule type="containsText" dxfId="620" priority="640" operator="containsText" text="On Track to be Achieved">
      <formula>NOT(ISERROR(SEARCH("On Track to be Achieved",I42)))</formula>
    </cfRule>
    <cfRule type="containsText" dxfId="619" priority="641" operator="containsText" text="Fully Achieved">
      <formula>NOT(ISERROR(SEARCH("Fully Achieved",I42)))</formula>
    </cfRule>
    <cfRule type="containsText" dxfId="618" priority="642" operator="containsText" text="Fully Achieved">
      <formula>NOT(ISERROR(SEARCH("Fully Achieved",I42)))</formula>
    </cfRule>
    <cfRule type="containsText" dxfId="617" priority="643" operator="containsText" text="Fully Achieved">
      <formula>NOT(ISERROR(SEARCH("Fully Achieved",I42)))</formula>
    </cfRule>
    <cfRule type="containsText" dxfId="616" priority="644" operator="containsText" text="Deferred">
      <formula>NOT(ISERROR(SEARCH("Deferred",I42)))</formula>
    </cfRule>
    <cfRule type="containsText" dxfId="615" priority="645" operator="containsText" text="Deleted">
      <formula>NOT(ISERROR(SEARCH("Deleted",I42)))</formula>
    </cfRule>
    <cfRule type="containsText" dxfId="614" priority="646" operator="containsText" text="In Danger of Falling Behind Target">
      <formula>NOT(ISERROR(SEARCH("In Danger of Falling Behind Target",I42)))</formula>
    </cfRule>
    <cfRule type="containsText" dxfId="613" priority="647" operator="containsText" text="Not yet due">
      <formula>NOT(ISERROR(SEARCH("Not yet due",I42)))</formula>
    </cfRule>
    <cfRule type="containsText" dxfId="612" priority="648" operator="containsText" text="Update not Provided">
      <formula>NOT(ISERROR(SEARCH("Update not Provided",I42)))</formula>
    </cfRule>
  </conditionalFormatting>
  <conditionalFormatting sqref="I44:I49">
    <cfRule type="containsText" dxfId="611" priority="577" operator="containsText" text="On track to be achieved">
      <formula>NOT(ISERROR(SEARCH("On track to be achieved",I44)))</formula>
    </cfRule>
    <cfRule type="containsText" dxfId="610" priority="578" operator="containsText" text="Deferred">
      <formula>NOT(ISERROR(SEARCH("Deferred",I44)))</formula>
    </cfRule>
    <cfRule type="containsText" dxfId="609" priority="579" operator="containsText" text="Deleted">
      <formula>NOT(ISERROR(SEARCH("Deleted",I44)))</formula>
    </cfRule>
    <cfRule type="containsText" dxfId="608" priority="580" operator="containsText" text="In Danger of Falling Behind Target">
      <formula>NOT(ISERROR(SEARCH("In Danger of Falling Behind Target",I44)))</formula>
    </cfRule>
    <cfRule type="containsText" dxfId="607" priority="581" operator="containsText" text="Not yet due">
      <formula>NOT(ISERROR(SEARCH("Not yet due",I44)))</formula>
    </cfRule>
    <cfRule type="containsText" dxfId="606" priority="582" operator="containsText" text="Update not Provided">
      <formula>NOT(ISERROR(SEARCH("Update not Provided",I44)))</formula>
    </cfRule>
    <cfRule type="containsText" dxfId="605" priority="583" operator="containsText" text="Not yet due">
      <formula>NOT(ISERROR(SEARCH("Not yet due",I44)))</formula>
    </cfRule>
    <cfRule type="containsText" dxfId="604" priority="584" operator="containsText" text="Completed Behind Schedule">
      <formula>NOT(ISERROR(SEARCH("Completed Behind Schedule",I44)))</formula>
    </cfRule>
    <cfRule type="containsText" dxfId="603" priority="585" operator="containsText" text="Off Target">
      <formula>NOT(ISERROR(SEARCH("Off Target",I44)))</formula>
    </cfRule>
    <cfRule type="containsText" dxfId="602" priority="586" operator="containsText" text="On Track to be Achieved">
      <formula>NOT(ISERROR(SEARCH("On Track to be Achieved",I44)))</formula>
    </cfRule>
    <cfRule type="containsText" dxfId="601" priority="587" operator="containsText" text="Fully Achieved">
      <formula>NOT(ISERROR(SEARCH("Fully Achieved",I44)))</formula>
    </cfRule>
    <cfRule type="containsText" dxfId="600" priority="588" operator="containsText" text="Not yet due">
      <formula>NOT(ISERROR(SEARCH("Not yet due",I44)))</formula>
    </cfRule>
    <cfRule type="containsText" dxfId="599" priority="589" operator="containsText" text="Not Yet Due">
      <formula>NOT(ISERROR(SEARCH("Not Yet Due",I44)))</formula>
    </cfRule>
    <cfRule type="containsText" dxfId="598" priority="590" operator="containsText" text="Deferred">
      <formula>NOT(ISERROR(SEARCH("Deferred",I44)))</formula>
    </cfRule>
    <cfRule type="containsText" dxfId="597" priority="591" operator="containsText" text="Deleted">
      <formula>NOT(ISERROR(SEARCH("Deleted",I44)))</formula>
    </cfRule>
    <cfRule type="containsText" dxfId="596" priority="592" operator="containsText" text="In Danger of Falling Behind Target">
      <formula>NOT(ISERROR(SEARCH("In Danger of Falling Behind Target",I44)))</formula>
    </cfRule>
    <cfRule type="containsText" dxfId="595" priority="593" operator="containsText" text="Not yet due">
      <formula>NOT(ISERROR(SEARCH("Not yet due",I44)))</formula>
    </cfRule>
    <cfRule type="containsText" dxfId="594" priority="594" operator="containsText" text="Completed Behind Schedule">
      <formula>NOT(ISERROR(SEARCH("Completed Behind Schedule",I44)))</formula>
    </cfRule>
    <cfRule type="containsText" dxfId="593" priority="595" operator="containsText" text="Off Target">
      <formula>NOT(ISERROR(SEARCH("Off Target",I44)))</formula>
    </cfRule>
    <cfRule type="containsText" dxfId="592" priority="596" operator="containsText" text="In Danger of Falling Behind Target">
      <formula>NOT(ISERROR(SEARCH("In Danger of Falling Behind Target",I44)))</formula>
    </cfRule>
    <cfRule type="containsText" dxfId="591" priority="597" operator="containsText" text="On Track to be Achieved">
      <formula>NOT(ISERROR(SEARCH("On Track to be Achieved",I44)))</formula>
    </cfRule>
    <cfRule type="containsText" dxfId="590" priority="598" operator="containsText" text="Fully Achieved">
      <formula>NOT(ISERROR(SEARCH("Fully Achieved",I44)))</formula>
    </cfRule>
    <cfRule type="containsText" dxfId="589" priority="599" operator="containsText" text="Update not Provided">
      <formula>NOT(ISERROR(SEARCH("Update not Provided",I44)))</formula>
    </cfRule>
    <cfRule type="containsText" dxfId="588" priority="600" operator="containsText" text="Not yet due">
      <formula>NOT(ISERROR(SEARCH("Not yet due",I44)))</formula>
    </cfRule>
    <cfRule type="containsText" dxfId="587" priority="601" operator="containsText" text="Completed Behind Schedule">
      <formula>NOT(ISERROR(SEARCH("Completed Behind Schedule",I44)))</formula>
    </cfRule>
    <cfRule type="containsText" dxfId="586" priority="602" operator="containsText" text="Off Target">
      <formula>NOT(ISERROR(SEARCH("Off Target",I44)))</formula>
    </cfRule>
    <cfRule type="containsText" dxfId="585" priority="603" operator="containsText" text="In Danger of Falling Behind Target">
      <formula>NOT(ISERROR(SEARCH("In Danger of Falling Behind Target",I44)))</formula>
    </cfRule>
    <cfRule type="containsText" dxfId="584" priority="604" operator="containsText" text="On Track to be Achieved">
      <formula>NOT(ISERROR(SEARCH("On Track to be Achieved",I44)))</formula>
    </cfRule>
    <cfRule type="containsText" dxfId="583" priority="605" operator="containsText" text="Fully Achieved">
      <formula>NOT(ISERROR(SEARCH("Fully Achieved",I44)))</formula>
    </cfRule>
    <cfRule type="containsText" dxfId="582" priority="606" operator="containsText" text="Fully Achieved">
      <formula>NOT(ISERROR(SEARCH("Fully Achieved",I44)))</formula>
    </cfRule>
    <cfRule type="containsText" dxfId="581" priority="607" operator="containsText" text="Fully Achieved">
      <formula>NOT(ISERROR(SEARCH("Fully Achieved",I44)))</formula>
    </cfRule>
    <cfRule type="containsText" dxfId="580" priority="608" operator="containsText" text="Deferred">
      <formula>NOT(ISERROR(SEARCH("Deferred",I44)))</formula>
    </cfRule>
    <cfRule type="containsText" dxfId="579" priority="609" operator="containsText" text="Deleted">
      <formula>NOT(ISERROR(SEARCH("Deleted",I44)))</formula>
    </cfRule>
    <cfRule type="containsText" dxfId="578" priority="610" operator="containsText" text="In Danger of Falling Behind Target">
      <formula>NOT(ISERROR(SEARCH("In Danger of Falling Behind Target",I44)))</formula>
    </cfRule>
    <cfRule type="containsText" dxfId="577" priority="611" operator="containsText" text="Not yet due">
      <formula>NOT(ISERROR(SEARCH("Not yet due",I44)))</formula>
    </cfRule>
    <cfRule type="containsText" dxfId="576" priority="612" operator="containsText" text="Update not Provided">
      <formula>NOT(ISERROR(SEARCH("Update not Provided",I44)))</formula>
    </cfRule>
  </conditionalFormatting>
  <conditionalFormatting sqref="I50:I54">
    <cfRule type="containsText" dxfId="575" priority="541" operator="containsText" text="On track to be achieved">
      <formula>NOT(ISERROR(SEARCH("On track to be achieved",I50)))</formula>
    </cfRule>
    <cfRule type="containsText" dxfId="574" priority="542" operator="containsText" text="Deferred">
      <formula>NOT(ISERROR(SEARCH("Deferred",I50)))</formula>
    </cfRule>
    <cfRule type="containsText" dxfId="573" priority="543" operator="containsText" text="Deleted">
      <formula>NOT(ISERROR(SEARCH("Deleted",I50)))</formula>
    </cfRule>
    <cfRule type="containsText" dxfId="572" priority="544" operator="containsText" text="In Danger of Falling Behind Target">
      <formula>NOT(ISERROR(SEARCH("In Danger of Falling Behind Target",I50)))</formula>
    </cfRule>
    <cfRule type="containsText" dxfId="571" priority="545" operator="containsText" text="Not yet due">
      <formula>NOT(ISERROR(SEARCH("Not yet due",I50)))</formula>
    </cfRule>
    <cfRule type="containsText" dxfId="570" priority="546" operator="containsText" text="Update not Provided">
      <formula>NOT(ISERROR(SEARCH("Update not Provided",I50)))</formula>
    </cfRule>
    <cfRule type="containsText" dxfId="569" priority="547" operator="containsText" text="Not yet due">
      <formula>NOT(ISERROR(SEARCH("Not yet due",I50)))</formula>
    </cfRule>
    <cfRule type="containsText" dxfId="568" priority="548" operator="containsText" text="Completed Behind Schedule">
      <formula>NOT(ISERROR(SEARCH("Completed Behind Schedule",I50)))</formula>
    </cfRule>
    <cfRule type="containsText" dxfId="567" priority="549" operator="containsText" text="Off Target">
      <formula>NOT(ISERROR(SEARCH("Off Target",I50)))</formula>
    </cfRule>
    <cfRule type="containsText" dxfId="566" priority="550" operator="containsText" text="On Track to be Achieved">
      <formula>NOT(ISERROR(SEARCH("On Track to be Achieved",I50)))</formula>
    </cfRule>
    <cfRule type="containsText" dxfId="565" priority="551" operator="containsText" text="Fully Achieved">
      <formula>NOT(ISERROR(SEARCH("Fully Achieved",I50)))</formula>
    </cfRule>
    <cfRule type="containsText" dxfId="564" priority="552" operator="containsText" text="Not yet due">
      <formula>NOT(ISERROR(SEARCH("Not yet due",I50)))</formula>
    </cfRule>
    <cfRule type="containsText" dxfId="563" priority="553" operator="containsText" text="Not Yet Due">
      <formula>NOT(ISERROR(SEARCH("Not Yet Due",I50)))</formula>
    </cfRule>
    <cfRule type="containsText" dxfId="562" priority="554" operator="containsText" text="Deferred">
      <formula>NOT(ISERROR(SEARCH("Deferred",I50)))</formula>
    </cfRule>
    <cfRule type="containsText" dxfId="561" priority="555" operator="containsText" text="Deleted">
      <formula>NOT(ISERROR(SEARCH("Deleted",I50)))</formula>
    </cfRule>
    <cfRule type="containsText" dxfId="560" priority="556" operator="containsText" text="In Danger of Falling Behind Target">
      <formula>NOT(ISERROR(SEARCH("In Danger of Falling Behind Target",I50)))</formula>
    </cfRule>
    <cfRule type="containsText" dxfId="559" priority="557" operator="containsText" text="Not yet due">
      <formula>NOT(ISERROR(SEARCH("Not yet due",I50)))</formula>
    </cfRule>
    <cfRule type="containsText" dxfId="558" priority="558" operator="containsText" text="Completed Behind Schedule">
      <formula>NOT(ISERROR(SEARCH("Completed Behind Schedule",I50)))</formula>
    </cfRule>
    <cfRule type="containsText" dxfId="557" priority="559" operator="containsText" text="Off Target">
      <formula>NOT(ISERROR(SEARCH("Off Target",I50)))</formula>
    </cfRule>
    <cfRule type="containsText" dxfId="556" priority="560" operator="containsText" text="In Danger of Falling Behind Target">
      <formula>NOT(ISERROR(SEARCH("In Danger of Falling Behind Target",I50)))</formula>
    </cfRule>
    <cfRule type="containsText" dxfId="555" priority="561" operator="containsText" text="On Track to be Achieved">
      <formula>NOT(ISERROR(SEARCH("On Track to be Achieved",I50)))</formula>
    </cfRule>
    <cfRule type="containsText" dxfId="554" priority="562" operator="containsText" text="Fully Achieved">
      <formula>NOT(ISERROR(SEARCH("Fully Achieved",I50)))</formula>
    </cfRule>
    <cfRule type="containsText" dxfId="553" priority="563" operator="containsText" text="Update not Provided">
      <formula>NOT(ISERROR(SEARCH("Update not Provided",I50)))</formula>
    </cfRule>
    <cfRule type="containsText" dxfId="552" priority="564" operator="containsText" text="Not yet due">
      <formula>NOT(ISERROR(SEARCH("Not yet due",I50)))</formula>
    </cfRule>
    <cfRule type="containsText" dxfId="551" priority="565" operator="containsText" text="Completed Behind Schedule">
      <formula>NOT(ISERROR(SEARCH("Completed Behind Schedule",I50)))</formula>
    </cfRule>
    <cfRule type="containsText" dxfId="550" priority="566" operator="containsText" text="Off Target">
      <formula>NOT(ISERROR(SEARCH("Off Target",I50)))</formula>
    </cfRule>
    <cfRule type="containsText" dxfId="549" priority="567" operator="containsText" text="In Danger of Falling Behind Target">
      <formula>NOT(ISERROR(SEARCH("In Danger of Falling Behind Target",I50)))</formula>
    </cfRule>
    <cfRule type="containsText" dxfId="548" priority="568" operator="containsText" text="On Track to be Achieved">
      <formula>NOT(ISERROR(SEARCH("On Track to be Achieved",I50)))</formula>
    </cfRule>
    <cfRule type="containsText" dxfId="547" priority="569" operator="containsText" text="Fully Achieved">
      <formula>NOT(ISERROR(SEARCH("Fully Achieved",I50)))</formula>
    </cfRule>
    <cfRule type="containsText" dxfId="546" priority="570" operator="containsText" text="Fully Achieved">
      <formula>NOT(ISERROR(SEARCH("Fully Achieved",I50)))</formula>
    </cfRule>
    <cfRule type="containsText" dxfId="545" priority="571" operator="containsText" text="Fully Achieved">
      <formula>NOT(ISERROR(SEARCH("Fully Achieved",I50)))</formula>
    </cfRule>
    <cfRule type="containsText" dxfId="544" priority="572" operator="containsText" text="Deferred">
      <formula>NOT(ISERROR(SEARCH("Deferred",I50)))</formula>
    </cfRule>
    <cfRule type="containsText" dxfId="543" priority="573" operator="containsText" text="Deleted">
      <formula>NOT(ISERROR(SEARCH("Deleted",I50)))</formula>
    </cfRule>
    <cfRule type="containsText" dxfId="542" priority="574" operator="containsText" text="In Danger of Falling Behind Target">
      <formula>NOT(ISERROR(SEARCH("In Danger of Falling Behind Target",I50)))</formula>
    </cfRule>
    <cfRule type="containsText" dxfId="541" priority="575" operator="containsText" text="Not yet due">
      <formula>NOT(ISERROR(SEARCH("Not yet due",I50)))</formula>
    </cfRule>
    <cfRule type="containsText" dxfId="540" priority="576" operator="containsText" text="Update not Provided">
      <formula>NOT(ISERROR(SEARCH("Update not Provided",I50)))</formula>
    </cfRule>
  </conditionalFormatting>
  <conditionalFormatting sqref="I56:I62">
    <cfRule type="containsText" dxfId="539" priority="505" operator="containsText" text="On track to be achieved">
      <formula>NOT(ISERROR(SEARCH("On track to be achieved",I56)))</formula>
    </cfRule>
    <cfRule type="containsText" dxfId="538" priority="506" operator="containsText" text="Deferred">
      <formula>NOT(ISERROR(SEARCH("Deferred",I56)))</formula>
    </cfRule>
    <cfRule type="containsText" dxfId="537" priority="507" operator="containsText" text="Deleted">
      <formula>NOT(ISERROR(SEARCH("Deleted",I56)))</formula>
    </cfRule>
    <cfRule type="containsText" dxfId="536" priority="508" operator="containsText" text="In Danger of Falling Behind Target">
      <formula>NOT(ISERROR(SEARCH("In Danger of Falling Behind Target",I56)))</formula>
    </cfRule>
    <cfRule type="containsText" dxfId="535" priority="509" operator="containsText" text="Not yet due">
      <formula>NOT(ISERROR(SEARCH("Not yet due",I56)))</formula>
    </cfRule>
    <cfRule type="containsText" dxfId="534" priority="510" operator="containsText" text="Update not Provided">
      <formula>NOT(ISERROR(SEARCH("Update not Provided",I56)))</formula>
    </cfRule>
    <cfRule type="containsText" dxfId="533" priority="511" operator="containsText" text="Not yet due">
      <formula>NOT(ISERROR(SEARCH("Not yet due",I56)))</formula>
    </cfRule>
    <cfRule type="containsText" dxfId="532" priority="512" operator="containsText" text="Completed Behind Schedule">
      <formula>NOT(ISERROR(SEARCH("Completed Behind Schedule",I56)))</formula>
    </cfRule>
    <cfRule type="containsText" dxfId="531" priority="513" operator="containsText" text="Off Target">
      <formula>NOT(ISERROR(SEARCH("Off Target",I56)))</formula>
    </cfRule>
    <cfRule type="containsText" dxfId="530" priority="514" operator="containsText" text="On Track to be Achieved">
      <formula>NOT(ISERROR(SEARCH("On Track to be Achieved",I56)))</formula>
    </cfRule>
    <cfRule type="containsText" dxfId="529" priority="515" operator="containsText" text="Fully Achieved">
      <formula>NOT(ISERROR(SEARCH("Fully Achieved",I56)))</formula>
    </cfRule>
    <cfRule type="containsText" dxfId="528" priority="516" operator="containsText" text="Not yet due">
      <formula>NOT(ISERROR(SEARCH("Not yet due",I56)))</formula>
    </cfRule>
    <cfRule type="containsText" dxfId="527" priority="517" operator="containsText" text="Not Yet Due">
      <formula>NOT(ISERROR(SEARCH("Not Yet Due",I56)))</formula>
    </cfRule>
    <cfRule type="containsText" dxfId="526" priority="518" operator="containsText" text="Deferred">
      <formula>NOT(ISERROR(SEARCH("Deferred",I56)))</formula>
    </cfRule>
    <cfRule type="containsText" dxfId="525" priority="519" operator="containsText" text="Deleted">
      <formula>NOT(ISERROR(SEARCH("Deleted",I56)))</formula>
    </cfRule>
    <cfRule type="containsText" dxfId="524" priority="520" operator="containsText" text="In Danger of Falling Behind Target">
      <formula>NOT(ISERROR(SEARCH("In Danger of Falling Behind Target",I56)))</formula>
    </cfRule>
    <cfRule type="containsText" dxfId="523" priority="521" operator="containsText" text="Not yet due">
      <formula>NOT(ISERROR(SEARCH("Not yet due",I56)))</formula>
    </cfRule>
    <cfRule type="containsText" dxfId="522" priority="522" operator="containsText" text="Completed Behind Schedule">
      <formula>NOT(ISERROR(SEARCH("Completed Behind Schedule",I56)))</formula>
    </cfRule>
    <cfRule type="containsText" dxfId="521" priority="523" operator="containsText" text="Off Target">
      <formula>NOT(ISERROR(SEARCH("Off Target",I56)))</formula>
    </cfRule>
    <cfRule type="containsText" dxfId="520" priority="524" operator="containsText" text="In Danger of Falling Behind Target">
      <formula>NOT(ISERROR(SEARCH("In Danger of Falling Behind Target",I56)))</formula>
    </cfRule>
    <cfRule type="containsText" dxfId="519" priority="525" operator="containsText" text="On Track to be Achieved">
      <formula>NOT(ISERROR(SEARCH("On Track to be Achieved",I56)))</formula>
    </cfRule>
    <cfRule type="containsText" dxfId="518" priority="526" operator="containsText" text="Fully Achieved">
      <formula>NOT(ISERROR(SEARCH("Fully Achieved",I56)))</formula>
    </cfRule>
    <cfRule type="containsText" dxfId="517" priority="527" operator="containsText" text="Update not Provided">
      <formula>NOT(ISERROR(SEARCH("Update not Provided",I56)))</formula>
    </cfRule>
    <cfRule type="containsText" dxfId="516" priority="528" operator="containsText" text="Not yet due">
      <formula>NOT(ISERROR(SEARCH("Not yet due",I56)))</formula>
    </cfRule>
    <cfRule type="containsText" dxfId="515" priority="529" operator="containsText" text="Completed Behind Schedule">
      <formula>NOT(ISERROR(SEARCH("Completed Behind Schedule",I56)))</formula>
    </cfRule>
    <cfRule type="containsText" dxfId="514" priority="530" operator="containsText" text="Off Target">
      <formula>NOT(ISERROR(SEARCH("Off Target",I56)))</formula>
    </cfRule>
    <cfRule type="containsText" dxfId="513" priority="531" operator="containsText" text="In Danger of Falling Behind Target">
      <formula>NOT(ISERROR(SEARCH("In Danger of Falling Behind Target",I56)))</formula>
    </cfRule>
    <cfRule type="containsText" dxfId="512" priority="532" operator="containsText" text="On Track to be Achieved">
      <formula>NOT(ISERROR(SEARCH("On Track to be Achieved",I56)))</formula>
    </cfRule>
    <cfRule type="containsText" dxfId="511" priority="533" operator="containsText" text="Fully Achieved">
      <formula>NOT(ISERROR(SEARCH("Fully Achieved",I56)))</formula>
    </cfRule>
    <cfRule type="containsText" dxfId="510" priority="534" operator="containsText" text="Fully Achieved">
      <formula>NOT(ISERROR(SEARCH("Fully Achieved",I56)))</formula>
    </cfRule>
    <cfRule type="containsText" dxfId="509" priority="535" operator="containsText" text="Fully Achieved">
      <formula>NOT(ISERROR(SEARCH("Fully Achieved",I56)))</formula>
    </cfRule>
    <cfRule type="containsText" dxfId="508" priority="536" operator="containsText" text="Deferred">
      <formula>NOT(ISERROR(SEARCH("Deferred",I56)))</formula>
    </cfRule>
    <cfRule type="containsText" dxfId="507" priority="537" operator="containsText" text="Deleted">
      <formula>NOT(ISERROR(SEARCH("Deleted",I56)))</formula>
    </cfRule>
    <cfRule type="containsText" dxfId="506" priority="538" operator="containsText" text="In Danger of Falling Behind Target">
      <formula>NOT(ISERROR(SEARCH("In Danger of Falling Behind Target",I56)))</formula>
    </cfRule>
    <cfRule type="containsText" dxfId="505" priority="539" operator="containsText" text="Not yet due">
      <formula>NOT(ISERROR(SEARCH("Not yet due",I56)))</formula>
    </cfRule>
    <cfRule type="containsText" dxfId="504" priority="540" operator="containsText" text="Update not Provided">
      <formula>NOT(ISERROR(SEARCH("Update not Provided",I56)))</formula>
    </cfRule>
  </conditionalFormatting>
  <conditionalFormatting sqref="I63:I64 I66:I67">
    <cfRule type="containsText" dxfId="503" priority="469" operator="containsText" text="On track to be achieved">
      <formula>NOT(ISERROR(SEARCH("On track to be achieved",I63)))</formula>
    </cfRule>
    <cfRule type="containsText" dxfId="502" priority="470" operator="containsText" text="Deferred">
      <formula>NOT(ISERROR(SEARCH("Deferred",I63)))</formula>
    </cfRule>
    <cfRule type="containsText" dxfId="501" priority="471" operator="containsText" text="Deleted">
      <formula>NOT(ISERROR(SEARCH("Deleted",I63)))</formula>
    </cfRule>
    <cfRule type="containsText" dxfId="500" priority="472" operator="containsText" text="In Danger of Falling Behind Target">
      <formula>NOT(ISERROR(SEARCH("In Danger of Falling Behind Target",I63)))</formula>
    </cfRule>
    <cfRule type="containsText" dxfId="499" priority="473" operator="containsText" text="Not yet due">
      <formula>NOT(ISERROR(SEARCH("Not yet due",I63)))</formula>
    </cfRule>
    <cfRule type="containsText" dxfId="498" priority="474" operator="containsText" text="Update not Provided">
      <formula>NOT(ISERROR(SEARCH("Update not Provided",I63)))</formula>
    </cfRule>
    <cfRule type="containsText" dxfId="497" priority="475" operator="containsText" text="Not yet due">
      <formula>NOT(ISERROR(SEARCH("Not yet due",I63)))</formula>
    </cfRule>
    <cfRule type="containsText" dxfId="496" priority="476" operator="containsText" text="Completed Behind Schedule">
      <formula>NOT(ISERROR(SEARCH("Completed Behind Schedule",I63)))</formula>
    </cfRule>
    <cfRule type="containsText" dxfId="495" priority="477" operator="containsText" text="Off Target">
      <formula>NOT(ISERROR(SEARCH("Off Target",I63)))</formula>
    </cfRule>
    <cfRule type="containsText" dxfId="494" priority="478" operator="containsText" text="On Track to be Achieved">
      <formula>NOT(ISERROR(SEARCH("On Track to be Achieved",I63)))</formula>
    </cfRule>
    <cfRule type="containsText" dxfId="493" priority="479" operator="containsText" text="Fully Achieved">
      <formula>NOT(ISERROR(SEARCH("Fully Achieved",I63)))</formula>
    </cfRule>
    <cfRule type="containsText" dxfId="492" priority="480" operator="containsText" text="Not yet due">
      <formula>NOT(ISERROR(SEARCH("Not yet due",I63)))</formula>
    </cfRule>
    <cfRule type="containsText" dxfId="491" priority="481" operator="containsText" text="Not Yet Due">
      <formula>NOT(ISERROR(SEARCH("Not Yet Due",I63)))</formula>
    </cfRule>
    <cfRule type="containsText" dxfId="490" priority="482" operator="containsText" text="Deferred">
      <formula>NOT(ISERROR(SEARCH("Deferred",I63)))</formula>
    </cfRule>
    <cfRule type="containsText" dxfId="489" priority="483" operator="containsText" text="Deleted">
      <formula>NOT(ISERROR(SEARCH("Deleted",I63)))</formula>
    </cfRule>
    <cfRule type="containsText" dxfId="488" priority="484" operator="containsText" text="In Danger of Falling Behind Target">
      <formula>NOT(ISERROR(SEARCH("In Danger of Falling Behind Target",I63)))</formula>
    </cfRule>
    <cfRule type="containsText" dxfId="487" priority="485" operator="containsText" text="Not yet due">
      <formula>NOT(ISERROR(SEARCH("Not yet due",I63)))</formula>
    </cfRule>
    <cfRule type="containsText" dxfId="486" priority="486" operator="containsText" text="Completed Behind Schedule">
      <formula>NOT(ISERROR(SEARCH("Completed Behind Schedule",I63)))</formula>
    </cfRule>
    <cfRule type="containsText" dxfId="485" priority="487" operator="containsText" text="Off Target">
      <formula>NOT(ISERROR(SEARCH("Off Target",I63)))</formula>
    </cfRule>
    <cfRule type="containsText" dxfId="484" priority="488" operator="containsText" text="In Danger of Falling Behind Target">
      <formula>NOT(ISERROR(SEARCH("In Danger of Falling Behind Target",I63)))</formula>
    </cfRule>
    <cfRule type="containsText" dxfId="483" priority="489" operator="containsText" text="On Track to be Achieved">
      <formula>NOT(ISERROR(SEARCH("On Track to be Achieved",I63)))</formula>
    </cfRule>
    <cfRule type="containsText" dxfId="482" priority="490" operator="containsText" text="Fully Achieved">
      <formula>NOT(ISERROR(SEARCH("Fully Achieved",I63)))</formula>
    </cfRule>
    <cfRule type="containsText" dxfId="481" priority="491" operator="containsText" text="Update not Provided">
      <formula>NOT(ISERROR(SEARCH("Update not Provided",I63)))</formula>
    </cfRule>
    <cfRule type="containsText" dxfId="480" priority="492" operator="containsText" text="Not yet due">
      <formula>NOT(ISERROR(SEARCH("Not yet due",I63)))</formula>
    </cfRule>
    <cfRule type="containsText" dxfId="479" priority="493" operator="containsText" text="Completed Behind Schedule">
      <formula>NOT(ISERROR(SEARCH("Completed Behind Schedule",I63)))</formula>
    </cfRule>
    <cfRule type="containsText" dxfId="478" priority="494" operator="containsText" text="Off Target">
      <formula>NOT(ISERROR(SEARCH("Off Target",I63)))</formula>
    </cfRule>
    <cfRule type="containsText" dxfId="477" priority="495" operator="containsText" text="In Danger of Falling Behind Target">
      <formula>NOT(ISERROR(SEARCH("In Danger of Falling Behind Target",I63)))</formula>
    </cfRule>
    <cfRule type="containsText" dxfId="476" priority="496" operator="containsText" text="On Track to be Achieved">
      <formula>NOT(ISERROR(SEARCH("On Track to be Achieved",I63)))</formula>
    </cfRule>
    <cfRule type="containsText" dxfId="475" priority="497" operator="containsText" text="Fully Achieved">
      <formula>NOT(ISERROR(SEARCH("Fully Achieved",I63)))</formula>
    </cfRule>
    <cfRule type="containsText" dxfId="474" priority="498" operator="containsText" text="Fully Achieved">
      <formula>NOT(ISERROR(SEARCH("Fully Achieved",I63)))</formula>
    </cfRule>
    <cfRule type="containsText" dxfId="473" priority="499" operator="containsText" text="Fully Achieved">
      <formula>NOT(ISERROR(SEARCH("Fully Achieved",I63)))</formula>
    </cfRule>
    <cfRule type="containsText" dxfId="472" priority="500" operator="containsText" text="Deferred">
      <formula>NOT(ISERROR(SEARCH("Deferred",I63)))</formula>
    </cfRule>
    <cfRule type="containsText" dxfId="471" priority="501" operator="containsText" text="Deleted">
      <formula>NOT(ISERROR(SEARCH("Deleted",I63)))</formula>
    </cfRule>
    <cfRule type="containsText" dxfId="470" priority="502" operator="containsText" text="In Danger of Falling Behind Target">
      <formula>NOT(ISERROR(SEARCH("In Danger of Falling Behind Target",I63)))</formula>
    </cfRule>
    <cfRule type="containsText" dxfId="469" priority="503" operator="containsText" text="Not yet due">
      <formula>NOT(ISERROR(SEARCH("Not yet due",I63)))</formula>
    </cfRule>
    <cfRule type="containsText" dxfId="468" priority="504" operator="containsText" text="Update not Provided">
      <formula>NOT(ISERROR(SEARCH("Update not Provided",I63)))</formula>
    </cfRule>
  </conditionalFormatting>
  <conditionalFormatting sqref="I68:I73">
    <cfRule type="containsText" dxfId="467" priority="433" operator="containsText" text="On track to be achieved">
      <formula>NOT(ISERROR(SEARCH("On track to be achieved",I68)))</formula>
    </cfRule>
    <cfRule type="containsText" dxfId="466" priority="434" operator="containsText" text="Deferred">
      <formula>NOT(ISERROR(SEARCH("Deferred",I68)))</formula>
    </cfRule>
    <cfRule type="containsText" dxfId="465" priority="435" operator="containsText" text="Deleted">
      <formula>NOT(ISERROR(SEARCH("Deleted",I68)))</formula>
    </cfRule>
    <cfRule type="containsText" dxfId="464" priority="436" operator="containsText" text="In Danger of Falling Behind Target">
      <formula>NOT(ISERROR(SEARCH("In Danger of Falling Behind Target",I68)))</formula>
    </cfRule>
    <cfRule type="containsText" dxfId="463" priority="437" operator="containsText" text="Not yet due">
      <formula>NOT(ISERROR(SEARCH("Not yet due",I68)))</formula>
    </cfRule>
    <cfRule type="containsText" dxfId="462" priority="438" operator="containsText" text="Update not Provided">
      <formula>NOT(ISERROR(SEARCH("Update not Provided",I68)))</formula>
    </cfRule>
    <cfRule type="containsText" dxfId="461" priority="439" operator="containsText" text="Not yet due">
      <formula>NOT(ISERROR(SEARCH("Not yet due",I68)))</formula>
    </cfRule>
    <cfRule type="containsText" dxfId="460" priority="440" operator="containsText" text="Completed Behind Schedule">
      <formula>NOT(ISERROR(SEARCH("Completed Behind Schedule",I68)))</formula>
    </cfRule>
    <cfRule type="containsText" dxfId="459" priority="441" operator="containsText" text="Off Target">
      <formula>NOT(ISERROR(SEARCH("Off Target",I68)))</formula>
    </cfRule>
    <cfRule type="containsText" dxfId="458" priority="442" operator="containsText" text="On Track to be Achieved">
      <formula>NOT(ISERROR(SEARCH("On Track to be Achieved",I68)))</formula>
    </cfRule>
    <cfRule type="containsText" dxfId="457" priority="443" operator="containsText" text="Fully Achieved">
      <formula>NOT(ISERROR(SEARCH("Fully Achieved",I68)))</formula>
    </cfRule>
    <cfRule type="containsText" dxfId="456" priority="444" operator="containsText" text="Not yet due">
      <formula>NOT(ISERROR(SEARCH("Not yet due",I68)))</formula>
    </cfRule>
    <cfRule type="containsText" dxfId="455" priority="445" operator="containsText" text="Not Yet Due">
      <formula>NOT(ISERROR(SEARCH("Not Yet Due",I68)))</formula>
    </cfRule>
    <cfRule type="containsText" dxfId="454" priority="446" operator="containsText" text="Deferred">
      <formula>NOT(ISERROR(SEARCH("Deferred",I68)))</formula>
    </cfRule>
    <cfRule type="containsText" dxfId="453" priority="447" operator="containsText" text="Deleted">
      <formula>NOT(ISERROR(SEARCH("Deleted",I68)))</formula>
    </cfRule>
    <cfRule type="containsText" dxfId="452" priority="448" operator="containsText" text="In Danger of Falling Behind Target">
      <formula>NOT(ISERROR(SEARCH("In Danger of Falling Behind Target",I68)))</formula>
    </cfRule>
    <cfRule type="containsText" dxfId="451" priority="449" operator="containsText" text="Not yet due">
      <formula>NOT(ISERROR(SEARCH("Not yet due",I68)))</formula>
    </cfRule>
    <cfRule type="containsText" dxfId="450" priority="450" operator="containsText" text="Completed Behind Schedule">
      <formula>NOT(ISERROR(SEARCH("Completed Behind Schedule",I68)))</formula>
    </cfRule>
    <cfRule type="containsText" dxfId="449" priority="451" operator="containsText" text="Off Target">
      <formula>NOT(ISERROR(SEARCH("Off Target",I68)))</formula>
    </cfRule>
    <cfRule type="containsText" dxfId="448" priority="452" operator="containsText" text="In Danger of Falling Behind Target">
      <formula>NOT(ISERROR(SEARCH("In Danger of Falling Behind Target",I68)))</formula>
    </cfRule>
    <cfRule type="containsText" dxfId="447" priority="453" operator="containsText" text="On Track to be Achieved">
      <formula>NOT(ISERROR(SEARCH("On Track to be Achieved",I68)))</formula>
    </cfRule>
    <cfRule type="containsText" dxfId="446" priority="454" operator="containsText" text="Fully Achieved">
      <formula>NOT(ISERROR(SEARCH("Fully Achieved",I68)))</formula>
    </cfRule>
    <cfRule type="containsText" dxfId="445" priority="455" operator="containsText" text="Update not Provided">
      <formula>NOT(ISERROR(SEARCH("Update not Provided",I68)))</formula>
    </cfRule>
    <cfRule type="containsText" dxfId="444" priority="456" operator="containsText" text="Not yet due">
      <formula>NOT(ISERROR(SEARCH("Not yet due",I68)))</formula>
    </cfRule>
    <cfRule type="containsText" dxfId="443" priority="457" operator="containsText" text="Completed Behind Schedule">
      <formula>NOT(ISERROR(SEARCH("Completed Behind Schedule",I68)))</formula>
    </cfRule>
    <cfRule type="containsText" dxfId="442" priority="458" operator="containsText" text="Off Target">
      <formula>NOT(ISERROR(SEARCH("Off Target",I68)))</formula>
    </cfRule>
    <cfRule type="containsText" dxfId="441" priority="459" operator="containsText" text="In Danger of Falling Behind Target">
      <formula>NOT(ISERROR(SEARCH("In Danger of Falling Behind Target",I68)))</formula>
    </cfRule>
    <cfRule type="containsText" dxfId="440" priority="460" operator="containsText" text="On Track to be Achieved">
      <formula>NOT(ISERROR(SEARCH("On Track to be Achieved",I68)))</formula>
    </cfRule>
    <cfRule type="containsText" dxfId="439" priority="461" operator="containsText" text="Fully Achieved">
      <formula>NOT(ISERROR(SEARCH("Fully Achieved",I68)))</formula>
    </cfRule>
    <cfRule type="containsText" dxfId="438" priority="462" operator="containsText" text="Fully Achieved">
      <formula>NOT(ISERROR(SEARCH("Fully Achieved",I68)))</formula>
    </cfRule>
    <cfRule type="containsText" dxfId="437" priority="463" operator="containsText" text="Fully Achieved">
      <formula>NOT(ISERROR(SEARCH("Fully Achieved",I68)))</formula>
    </cfRule>
    <cfRule type="containsText" dxfId="436" priority="464" operator="containsText" text="Deferred">
      <formula>NOT(ISERROR(SEARCH("Deferred",I68)))</formula>
    </cfRule>
    <cfRule type="containsText" dxfId="435" priority="465" operator="containsText" text="Deleted">
      <formula>NOT(ISERROR(SEARCH("Deleted",I68)))</formula>
    </cfRule>
    <cfRule type="containsText" dxfId="434" priority="466" operator="containsText" text="In Danger of Falling Behind Target">
      <formula>NOT(ISERROR(SEARCH("In Danger of Falling Behind Target",I68)))</formula>
    </cfRule>
    <cfRule type="containsText" dxfId="433" priority="467" operator="containsText" text="Not yet due">
      <formula>NOT(ISERROR(SEARCH("Not yet due",I68)))</formula>
    </cfRule>
    <cfRule type="containsText" dxfId="432" priority="468" operator="containsText" text="Update not Provided">
      <formula>NOT(ISERROR(SEARCH("Update not Provided",I68)))</formula>
    </cfRule>
  </conditionalFormatting>
  <conditionalFormatting sqref="I74:I79">
    <cfRule type="containsText" dxfId="431" priority="397" operator="containsText" text="On track to be achieved">
      <formula>NOT(ISERROR(SEARCH("On track to be achieved",I74)))</formula>
    </cfRule>
    <cfRule type="containsText" dxfId="430" priority="398" operator="containsText" text="Deferred">
      <formula>NOT(ISERROR(SEARCH("Deferred",I74)))</formula>
    </cfRule>
    <cfRule type="containsText" dxfId="429" priority="399" operator="containsText" text="Deleted">
      <formula>NOT(ISERROR(SEARCH("Deleted",I74)))</formula>
    </cfRule>
    <cfRule type="containsText" dxfId="428" priority="400" operator="containsText" text="In Danger of Falling Behind Target">
      <formula>NOT(ISERROR(SEARCH("In Danger of Falling Behind Target",I74)))</formula>
    </cfRule>
    <cfRule type="containsText" dxfId="427" priority="401" operator="containsText" text="Not yet due">
      <formula>NOT(ISERROR(SEARCH("Not yet due",I74)))</formula>
    </cfRule>
    <cfRule type="containsText" dxfId="426" priority="402" operator="containsText" text="Update not Provided">
      <formula>NOT(ISERROR(SEARCH("Update not Provided",I74)))</formula>
    </cfRule>
    <cfRule type="containsText" dxfId="425" priority="403" operator="containsText" text="Not yet due">
      <formula>NOT(ISERROR(SEARCH("Not yet due",I74)))</formula>
    </cfRule>
    <cfRule type="containsText" dxfId="424" priority="404" operator="containsText" text="Completed Behind Schedule">
      <formula>NOT(ISERROR(SEARCH("Completed Behind Schedule",I74)))</formula>
    </cfRule>
    <cfRule type="containsText" dxfId="423" priority="405" operator="containsText" text="Off Target">
      <formula>NOT(ISERROR(SEARCH("Off Target",I74)))</formula>
    </cfRule>
    <cfRule type="containsText" dxfId="422" priority="406" operator="containsText" text="On Track to be Achieved">
      <formula>NOT(ISERROR(SEARCH("On Track to be Achieved",I74)))</formula>
    </cfRule>
    <cfRule type="containsText" dxfId="421" priority="407" operator="containsText" text="Fully Achieved">
      <formula>NOT(ISERROR(SEARCH("Fully Achieved",I74)))</formula>
    </cfRule>
    <cfRule type="containsText" dxfId="420" priority="408" operator="containsText" text="Not yet due">
      <formula>NOT(ISERROR(SEARCH("Not yet due",I74)))</formula>
    </cfRule>
    <cfRule type="containsText" dxfId="419" priority="409" operator="containsText" text="Not Yet Due">
      <formula>NOT(ISERROR(SEARCH("Not Yet Due",I74)))</formula>
    </cfRule>
    <cfRule type="containsText" dxfId="418" priority="410" operator="containsText" text="Deferred">
      <formula>NOT(ISERROR(SEARCH("Deferred",I74)))</formula>
    </cfRule>
    <cfRule type="containsText" dxfId="417" priority="411" operator="containsText" text="Deleted">
      <formula>NOT(ISERROR(SEARCH("Deleted",I74)))</formula>
    </cfRule>
    <cfRule type="containsText" dxfId="416" priority="412" operator="containsText" text="In Danger of Falling Behind Target">
      <formula>NOT(ISERROR(SEARCH("In Danger of Falling Behind Target",I74)))</formula>
    </cfRule>
    <cfRule type="containsText" dxfId="415" priority="413" operator="containsText" text="Not yet due">
      <formula>NOT(ISERROR(SEARCH("Not yet due",I74)))</formula>
    </cfRule>
    <cfRule type="containsText" dxfId="414" priority="414" operator="containsText" text="Completed Behind Schedule">
      <formula>NOT(ISERROR(SEARCH("Completed Behind Schedule",I74)))</formula>
    </cfRule>
    <cfRule type="containsText" dxfId="413" priority="415" operator="containsText" text="Off Target">
      <formula>NOT(ISERROR(SEARCH("Off Target",I74)))</formula>
    </cfRule>
    <cfRule type="containsText" dxfId="412" priority="416" operator="containsText" text="In Danger of Falling Behind Target">
      <formula>NOT(ISERROR(SEARCH("In Danger of Falling Behind Target",I74)))</formula>
    </cfRule>
    <cfRule type="containsText" dxfId="411" priority="417" operator="containsText" text="On Track to be Achieved">
      <formula>NOT(ISERROR(SEARCH("On Track to be Achieved",I74)))</formula>
    </cfRule>
    <cfRule type="containsText" dxfId="410" priority="418" operator="containsText" text="Fully Achieved">
      <formula>NOT(ISERROR(SEARCH("Fully Achieved",I74)))</formula>
    </cfRule>
    <cfRule type="containsText" dxfId="409" priority="419" operator="containsText" text="Update not Provided">
      <formula>NOT(ISERROR(SEARCH("Update not Provided",I74)))</formula>
    </cfRule>
    <cfRule type="containsText" dxfId="408" priority="420" operator="containsText" text="Not yet due">
      <formula>NOT(ISERROR(SEARCH("Not yet due",I74)))</formula>
    </cfRule>
    <cfRule type="containsText" dxfId="407" priority="421" operator="containsText" text="Completed Behind Schedule">
      <formula>NOT(ISERROR(SEARCH("Completed Behind Schedule",I74)))</formula>
    </cfRule>
    <cfRule type="containsText" dxfId="406" priority="422" operator="containsText" text="Off Target">
      <formula>NOT(ISERROR(SEARCH("Off Target",I74)))</formula>
    </cfRule>
    <cfRule type="containsText" dxfId="405" priority="423" operator="containsText" text="In Danger of Falling Behind Target">
      <formula>NOT(ISERROR(SEARCH("In Danger of Falling Behind Target",I74)))</formula>
    </cfRule>
    <cfRule type="containsText" dxfId="404" priority="424" operator="containsText" text="On Track to be Achieved">
      <formula>NOT(ISERROR(SEARCH("On Track to be Achieved",I74)))</formula>
    </cfRule>
    <cfRule type="containsText" dxfId="403" priority="425" operator="containsText" text="Fully Achieved">
      <formula>NOT(ISERROR(SEARCH("Fully Achieved",I74)))</formula>
    </cfRule>
    <cfRule type="containsText" dxfId="402" priority="426" operator="containsText" text="Fully Achieved">
      <formula>NOT(ISERROR(SEARCH("Fully Achieved",I74)))</formula>
    </cfRule>
    <cfRule type="containsText" dxfId="401" priority="427" operator="containsText" text="Fully Achieved">
      <formula>NOT(ISERROR(SEARCH("Fully Achieved",I74)))</formula>
    </cfRule>
    <cfRule type="containsText" dxfId="400" priority="428" operator="containsText" text="Deferred">
      <formula>NOT(ISERROR(SEARCH("Deferred",I74)))</formula>
    </cfRule>
    <cfRule type="containsText" dxfId="399" priority="429" operator="containsText" text="Deleted">
      <formula>NOT(ISERROR(SEARCH("Deleted",I74)))</formula>
    </cfRule>
    <cfRule type="containsText" dxfId="398" priority="430" operator="containsText" text="In Danger of Falling Behind Target">
      <formula>NOT(ISERROR(SEARCH("In Danger of Falling Behind Target",I74)))</formula>
    </cfRule>
    <cfRule type="containsText" dxfId="397" priority="431" operator="containsText" text="Not yet due">
      <formula>NOT(ISERROR(SEARCH("Not yet due",I74)))</formula>
    </cfRule>
    <cfRule type="containsText" dxfId="396" priority="432" operator="containsText" text="Update not Provided">
      <formula>NOT(ISERROR(SEARCH("Update not Provided",I74)))</formula>
    </cfRule>
  </conditionalFormatting>
  <conditionalFormatting sqref="I81:I82">
    <cfRule type="containsText" dxfId="395" priority="361" operator="containsText" text="On track to be achieved">
      <formula>NOT(ISERROR(SEARCH("On track to be achieved",I81)))</formula>
    </cfRule>
    <cfRule type="containsText" dxfId="394" priority="362" operator="containsText" text="Deferred">
      <formula>NOT(ISERROR(SEARCH("Deferred",I81)))</formula>
    </cfRule>
    <cfRule type="containsText" dxfId="393" priority="363" operator="containsText" text="Deleted">
      <formula>NOT(ISERROR(SEARCH("Deleted",I81)))</formula>
    </cfRule>
    <cfRule type="containsText" dxfId="392" priority="364" operator="containsText" text="In Danger of Falling Behind Target">
      <formula>NOT(ISERROR(SEARCH("In Danger of Falling Behind Target",I81)))</formula>
    </cfRule>
    <cfRule type="containsText" dxfId="391" priority="365" operator="containsText" text="Not yet due">
      <formula>NOT(ISERROR(SEARCH("Not yet due",I81)))</formula>
    </cfRule>
    <cfRule type="containsText" dxfId="390" priority="366" operator="containsText" text="Update not Provided">
      <formula>NOT(ISERROR(SEARCH("Update not Provided",I81)))</formula>
    </cfRule>
    <cfRule type="containsText" dxfId="389" priority="367" operator="containsText" text="Not yet due">
      <formula>NOT(ISERROR(SEARCH("Not yet due",I81)))</formula>
    </cfRule>
    <cfRule type="containsText" dxfId="388" priority="368" operator="containsText" text="Completed Behind Schedule">
      <formula>NOT(ISERROR(SEARCH("Completed Behind Schedule",I81)))</formula>
    </cfRule>
    <cfRule type="containsText" dxfId="387" priority="369" operator="containsText" text="Off Target">
      <formula>NOT(ISERROR(SEARCH("Off Target",I81)))</formula>
    </cfRule>
    <cfRule type="containsText" dxfId="386" priority="370" operator="containsText" text="On Track to be Achieved">
      <formula>NOT(ISERROR(SEARCH("On Track to be Achieved",I81)))</formula>
    </cfRule>
    <cfRule type="containsText" dxfId="385" priority="371" operator="containsText" text="Fully Achieved">
      <formula>NOT(ISERROR(SEARCH("Fully Achieved",I81)))</formula>
    </cfRule>
    <cfRule type="containsText" dxfId="384" priority="372" operator="containsText" text="Not yet due">
      <formula>NOT(ISERROR(SEARCH("Not yet due",I81)))</formula>
    </cfRule>
    <cfRule type="containsText" dxfId="383" priority="373" operator="containsText" text="Not Yet Due">
      <formula>NOT(ISERROR(SEARCH("Not Yet Due",I81)))</formula>
    </cfRule>
    <cfRule type="containsText" dxfId="382" priority="374" operator="containsText" text="Deferred">
      <formula>NOT(ISERROR(SEARCH("Deferred",I81)))</formula>
    </cfRule>
    <cfRule type="containsText" dxfId="381" priority="375" operator="containsText" text="Deleted">
      <formula>NOT(ISERROR(SEARCH("Deleted",I81)))</formula>
    </cfRule>
    <cfRule type="containsText" dxfId="380" priority="376" operator="containsText" text="In Danger of Falling Behind Target">
      <formula>NOT(ISERROR(SEARCH("In Danger of Falling Behind Target",I81)))</formula>
    </cfRule>
    <cfRule type="containsText" dxfId="379" priority="377" operator="containsText" text="Not yet due">
      <formula>NOT(ISERROR(SEARCH("Not yet due",I81)))</formula>
    </cfRule>
    <cfRule type="containsText" dxfId="378" priority="378" operator="containsText" text="Completed Behind Schedule">
      <formula>NOT(ISERROR(SEARCH("Completed Behind Schedule",I81)))</formula>
    </cfRule>
    <cfRule type="containsText" dxfId="377" priority="379" operator="containsText" text="Off Target">
      <formula>NOT(ISERROR(SEARCH("Off Target",I81)))</formula>
    </cfRule>
    <cfRule type="containsText" dxfId="376" priority="380" operator="containsText" text="In Danger of Falling Behind Target">
      <formula>NOT(ISERROR(SEARCH("In Danger of Falling Behind Target",I81)))</formula>
    </cfRule>
    <cfRule type="containsText" dxfId="375" priority="381" operator="containsText" text="On Track to be Achieved">
      <formula>NOT(ISERROR(SEARCH("On Track to be Achieved",I81)))</formula>
    </cfRule>
    <cfRule type="containsText" dxfId="374" priority="382" operator="containsText" text="Fully Achieved">
      <formula>NOT(ISERROR(SEARCH("Fully Achieved",I81)))</formula>
    </cfRule>
    <cfRule type="containsText" dxfId="373" priority="383" operator="containsText" text="Update not Provided">
      <formula>NOT(ISERROR(SEARCH("Update not Provided",I81)))</formula>
    </cfRule>
    <cfRule type="containsText" dxfId="372" priority="384" operator="containsText" text="Not yet due">
      <formula>NOT(ISERROR(SEARCH("Not yet due",I81)))</formula>
    </cfRule>
    <cfRule type="containsText" dxfId="371" priority="385" operator="containsText" text="Completed Behind Schedule">
      <formula>NOT(ISERROR(SEARCH("Completed Behind Schedule",I81)))</formula>
    </cfRule>
    <cfRule type="containsText" dxfId="370" priority="386" operator="containsText" text="Off Target">
      <formula>NOT(ISERROR(SEARCH("Off Target",I81)))</formula>
    </cfRule>
    <cfRule type="containsText" dxfId="369" priority="387" operator="containsText" text="In Danger of Falling Behind Target">
      <formula>NOT(ISERROR(SEARCH("In Danger of Falling Behind Target",I81)))</formula>
    </cfRule>
    <cfRule type="containsText" dxfId="368" priority="388" operator="containsText" text="On Track to be Achieved">
      <formula>NOT(ISERROR(SEARCH("On Track to be Achieved",I81)))</formula>
    </cfRule>
    <cfRule type="containsText" dxfId="367" priority="389" operator="containsText" text="Fully Achieved">
      <formula>NOT(ISERROR(SEARCH("Fully Achieved",I81)))</formula>
    </cfRule>
    <cfRule type="containsText" dxfId="366" priority="390" operator="containsText" text="Fully Achieved">
      <formula>NOT(ISERROR(SEARCH("Fully Achieved",I81)))</formula>
    </cfRule>
    <cfRule type="containsText" dxfId="365" priority="391" operator="containsText" text="Fully Achieved">
      <formula>NOT(ISERROR(SEARCH("Fully Achieved",I81)))</formula>
    </cfRule>
    <cfRule type="containsText" dxfId="364" priority="392" operator="containsText" text="Deferred">
      <formula>NOT(ISERROR(SEARCH("Deferred",I81)))</formula>
    </cfRule>
    <cfRule type="containsText" dxfId="363" priority="393" operator="containsText" text="Deleted">
      <formula>NOT(ISERROR(SEARCH("Deleted",I81)))</formula>
    </cfRule>
    <cfRule type="containsText" dxfId="362" priority="394" operator="containsText" text="In Danger of Falling Behind Target">
      <formula>NOT(ISERROR(SEARCH("In Danger of Falling Behind Target",I81)))</formula>
    </cfRule>
    <cfRule type="containsText" dxfId="361" priority="395" operator="containsText" text="Not yet due">
      <formula>NOT(ISERROR(SEARCH("Not yet due",I81)))</formula>
    </cfRule>
    <cfRule type="containsText" dxfId="360" priority="396" operator="containsText" text="Update not Provided">
      <formula>NOT(ISERROR(SEARCH("Update not Provided",I81)))</formula>
    </cfRule>
  </conditionalFormatting>
  <conditionalFormatting sqref="I84:I88">
    <cfRule type="containsText" dxfId="359" priority="325" operator="containsText" text="On track to be achieved">
      <formula>NOT(ISERROR(SEARCH("On track to be achieved",I84)))</formula>
    </cfRule>
    <cfRule type="containsText" dxfId="358" priority="326" operator="containsText" text="Deferred">
      <formula>NOT(ISERROR(SEARCH("Deferred",I84)))</formula>
    </cfRule>
    <cfRule type="containsText" dxfId="357" priority="327" operator="containsText" text="Deleted">
      <formula>NOT(ISERROR(SEARCH("Deleted",I84)))</formula>
    </cfRule>
    <cfRule type="containsText" dxfId="356" priority="328" operator="containsText" text="In Danger of Falling Behind Target">
      <formula>NOT(ISERROR(SEARCH("In Danger of Falling Behind Target",I84)))</formula>
    </cfRule>
    <cfRule type="containsText" dxfId="355" priority="329" operator="containsText" text="Not yet due">
      <formula>NOT(ISERROR(SEARCH("Not yet due",I84)))</formula>
    </cfRule>
    <cfRule type="containsText" dxfId="354" priority="330" operator="containsText" text="Update not Provided">
      <formula>NOT(ISERROR(SEARCH("Update not Provided",I84)))</formula>
    </cfRule>
    <cfRule type="containsText" dxfId="353" priority="331" operator="containsText" text="Not yet due">
      <formula>NOT(ISERROR(SEARCH("Not yet due",I84)))</formula>
    </cfRule>
    <cfRule type="containsText" dxfId="352" priority="332" operator="containsText" text="Completed Behind Schedule">
      <formula>NOT(ISERROR(SEARCH("Completed Behind Schedule",I84)))</formula>
    </cfRule>
    <cfRule type="containsText" dxfId="351" priority="333" operator="containsText" text="Off Target">
      <formula>NOT(ISERROR(SEARCH("Off Target",I84)))</formula>
    </cfRule>
    <cfRule type="containsText" dxfId="350" priority="334" operator="containsText" text="On Track to be Achieved">
      <formula>NOT(ISERROR(SEARCH("On Track to be Achieved",I84)))</formula>
    </cfRule>
    <cfRule type="containsText" dxfId="349" priority="335" operator="containsText" text="Fully Achieved">
      <formula>NOT(ISERROR(SEARCH("Fully Achieved",I84)))</formula>
    </cfRule>
    <cfRule type="containsText" dxfId="348" priority="336" operator="containsText" text="Not yet due">
      <formula>NOT(ISERROR(SEARCH("Not yet due",I84)))</formula>
    </cfRule>
    <cfRule type="containsText" dxfId="347" priority="337" operator="containsText" text="Not Yet Due">
      <formula>NOT(ISERROR(SEARCH("Not Yet Due",I84)))</formula>
    </cfRule>
    <cfRule type="containsText" dxfId="346" priority="338" operator="containsText" text="Deferred">
      <formula>NOT(ISERROR(SEARCH("Deferred",I84)))</formula>
    </cfRule>
    <cfRule type="containsText" dxfId="345" priority="339" operator="containsText" text="Deleted">
      <formula>NOT(ISERROR(SEARCH("Deleted",I84)))</formula>
    </cfRule>
    <cfRule type="containsText" dxfId="344" priority="340" operator="containsText" text="In Danger of Falling Behind Target">
      <formula>NOT(ISERROR(SEARCH("In Danger of Falling Behind Target",I84)))</formula>
    </cfRule>
    <cfRule type="containsText" dxfId="343" priority="341" operator="containsText" text="Not yet due">
      <formula>NOT(ISERROR(SEARCH("Not yet due",I84)))</formula>
    </cfRule>
    <cfRule type="containsText" dxfId="342" priority="342" operator="containsText" text="Completed Behind Schedule">
      <formula>NOT(ISERROR(SEARCH("Completed Behind Schedule",I84)))</formula>
    </cfRule>
    <cfRule type="containsText" dxfId="341" priority="343" operator="containsText" text="Off Target">
      <formula>NOT(ISERROR(SEARCH("Off Target",I84)))</formula>
    </cfRule>
    <cfRule type="containsText" dxfId="340" priority="344" operator="containsText" text="In Danger of Falling Behind Target">
      <formula>NOT(ISERROR(SEARCH("In Danger of Falling Behind Target",I84)))</formula>
    </cfRule>
    <cfRule type="containsText" dxfId="339" priority="345" operator="containsText" text="On Track to be Achieved">
      <formula>NOT(ISERROR(SEARCH("On Track to be Achieved",I84)))</formula>
    </cfRule>
    <cfRule type="containsText" dxfId="338" priority="346" operator="containsText" text="Fully Achieved">
      <formula>NOT(ISERROR(SEARCH("Fully Achieved",I84)))</formula>
    </cfRule>
    <cfRule type="containsText" dxfId="337" priority="347" operator="containsText" text="Update not Provided">
      <formula>NOT(ISERROR(SEARCH("Update not Provided",I84)))</formula>
    </cfRule>
    <cfRule type="containsText" dxfId="336" priority="348" operator="containsText" text="Not yet due">
      <formula>NOT(ISERROR(SEARCH("Not yet due",I84)))</formula>
    </cfRule>
    <cfRule type="containsText" dxfId="335" priority="349" operator="containsText" text="Completed Behind Schedule">
      <formula>NOT(ISERROR(SEARCH("Completed Behind Schedule",I84)))</formula>
    </cfRule>
    <cfRule type="containsText" dxfId="334" priority="350" operator="containsText" text="Off Target">
      <formula>NOT(ISERROR(SEARCH("Off Target",I84)))</formula>
    </cfRule>
    <cfRule type="containsText" dxfId="333" priority="351" operator="containsText" text="In Danger of Falling Behind Target">
      <formula>NOT(ISERROR(SEARCH("In Danger of Falling Behind Target",I84)))</formula>
    </cfRule>
    <cfRule type="containsText" dxfId="332" priority="352" operator="containsText" text="On Track to be Achieved">
      <formula>NOT(ISERROR(SEARCH("On Track to be Achieved",I84)))</formula>
    </cfRule>
    <cfRule type="containsText" dxfId="331" priority="353" operator="containsText" text="Fully Achieved">
      <formula>NOT(ISERROR(SEARCH("Fully Achieved",I84)))</formula>
    </cfRule>
    <cfRule type="containsText" dxfId="330" priority="354" operator="containsText" text="Fully Achieved">
      <formula>NOT(ISERROR(SEARCH("Fully Achieved",I84)))</formula>
    </cfRule>
    <cfRule type="containsText" dxfId="329" priority="355" operator="containsText" text="Fully Achieved">
      <formula>NOT(ISERROR(SEARCH("Fully Achieved",I84)))</formula>
    </cfRule>
    <cfRule type="containsText" dxfId="328" priority="356" operator="containsText" text="Deferred">
      <formula>NOT(ISERROR(SEARCH("Deferred",I84)))</formula>
    </cfRule>
    <cfRule type="containsText" dxfId="327" priority="357" operator="containsText" text="Deleted">
      <formula>NOT(ISERROR(SEARCH("Deleted",I84)))</formula>
    </cfRule>
    <cfRule type="containsText" dxfId="326" priority="358" operator="containsText" text="In Danger of Falling Behind Target">
      <formula>NOT(ISERROR(SEARCH("In Danger of Falling Behind Target",I84)))</formula>
    </cfRule>
    <cfRule type="containsText" dxfId="325" priority="359" operator="containsText" text="Not yet due">
      <formula>NOT(ISERROR(SEARCH("Not yet due",I84)))</formula>
    </cfRule>
    <cfRule type="containsText" dxfId="324" priority="360" operator="containsText" text="Update not Provided">
      <formula>NOT(ISERROR(SEARCH("Update not Provided",I84)))</formula>
    </cfRule>
  </conditionalFormatting>
  <conditionalFormatting sqref="I89">
    <cfRule type="containsText" dxfId="323" priority="289" operator="containsText" text="On track to be achieved">
      <formula>NOT(ISERROR(SEARCH("On track to be achieved",I89)))</formula>
    </cfRule>
    <cfRule type="containsText" dxfId="322" priority="290" operator="containsText" text="Deferred">
      <formula>NOT(ISERROR(SEARCH("Deferred",I89)))</formula>
    </cfRule>
    <cfRule type="containsText" dxfId="321" priority="291" operator="containsText" text="Deleted">
      <formula>NOT(ISERROR(SEARCH("Deleted",I89)))</formula>
    </cfRule>
    <cfRule type="containsText" dxfId="320" priority="292" operator="containsText" text="In Danger of Falling Behind Target">
      <formula>NOT(ISERROR(SEARCH("In Danger of Falling Behind Target",I89)))</formula>
    </cfRule>
    <cfRule type="containsText" dxfId="319" priority="293" operator="containsText" text="Not yet due">
      <formula>NOT(ISERROR(SEARCH("Not yet due",I89)))</formula>
    </cfRule>
    <cfRule type="containsText" dxfId="318" priority="294" operator="containsText" text="Update not Provided">
      <formula>NOT(ISERROR(SEARCH("Update not Provided",I89)))</formula>
    </cfRule>
    <cfRule type="containsText" dxfId="317" priority="295" operator="containsText" text="Not yet due">
      <formula>NOT(ISERROR(SEARCH("Not yet due",I89)))</formula>
    </cfRule>
    <cfRule type="containsText" dxfId="316" priority="296" operator="containsText" text="Completed Behind Schedule">
      <formula>NOT(ISERROR(SEARCH("Completed Behind Schedule",I89)))</formula>
    </cfRule>
    <cfRule type="containsText" dxfId="315" priority="297" operator="containsText" text="Off Target">
      <formula>NOT(ISERROR(SEARCH("Off Target",I89)))</formula>
    </cfRule>
    <cfRule type="containsText" dxfId="314" priority="298" operator="containsText" text="On Track to be Achieved">
      <formula>NOT(ISERROR(SEARCH("On Track to be Achieved",I89)))</formula>
    </cfRule>
    <cfRule type="containsText" dxfId="313" priority="299" operator="containsText" text="Fully Achieved">
      <formula>NOT(ISERROR(SEARCH("Fully Achieved",I89)))</formula>
    </cfRule>
    <cfRule type="containsText" dxfId="312" priority="300" operator="containsText" text="Not yet due">
      <formula>NOT(ISERROR(SEARCH("Not yet due",I89)))</formula>
    </cfRule>
    <cfRule type="containsText" dxfId="311" priority="301" operator="containsText" text="Not Yet Due">
      <formula>NOT(ISERROR(SEARCH("Not Yet Due",I89)))</formula>
    </cfRule>
    <cfRule type="containsText" dxfId="310" priority="302" operator="containsText" text="Deferred">
      <formula>NOT(ISERROR(SEARCH("Deferred",I89)))</formula>
    </cfRule>
    <cfRule type="containsText" dxfId="309" priority="303" operator="containsText" text="Deleted">
      <formula>NOT(ISERROR(SEARCH("Deleted",I89)))</formula>
    </cfRule>
    <cfRule type="containsText" dxfId="308" priority="304" operator="containsText" text="In Danger of Falling Behind Target">
      <formula>NOT(ISERROR(SEARCH("In Danger of Falling Behind Target",I89)))</formula>
    </cfRule>
    <cfRule type="containsText" dxfId="307" priority="305" operator="containsText" text="Not yet due">
      <formula>NOT(ISERROR(SEARCH("Not yet due",I89)))</formula>
    </cfRule>
    <cfRule type="containsText" dxfId="306" priority="306" operator="containsText" text="Completed Behind Schedule">
      <formula>NOT(ISERROR(SEARCH("Completed Behind Schedule",I89)))</formula>
    </cfRule>
    <cfRule type="containsText" dxfId="305" priority="307" operator="containsText" text="Off Target">
      <formula>NOT(ISERROR(SEARCH("Off Target",I89)))</formula>
    </cfRule>
    <cfRule type="containsText" dxfId="304" priority="308" operator="containsText" text="In Danger of Falling Behind Target">
      <formula>NOT(ISERROR(SEARCH("In Danger of Falling Behind Target",I89)))</formula>
    </cfRule>
    <cfRule type="containsText" dxfId="303" priority="309" operator="containsText" text="On Track to be Achieved">
      <formula>NOT(ISERROR(SEARCH("On Track to be Achieved",I89)))</formula>
    </cfRule>
    <cfRule type="containsText" dxfId="302" priority="310" operator="containsText" text="Fully Achieved">
      <formula>NOT(ISERROR(SEARCH("Fully Achieved",I89)))</formula>
    </cfRule>
    <cfRule type="containsText" dxfId="301" priority="311" operator="containsText" text="Update not Provided">
      <formula>NOT(ISERROR(SEARCH("Update not Provided",I89)))</formula>
    </cfRule>
    <cfRule type="containsText" dxfId="300" priority="312" operator="containsText" text="Not yet due">
      <formula>NOT(ISERROR(SEARCH("Not yet due",I89)))</formula>
    </cfRule>
    <cfRule type="containsText" dxfId="299" priority="313" operator="containsText" text="Completed Behind Schedule">
      <formula>NOT(ISERROR(SEARCH("Completed Behind Schedule",I89)))</formula>
    </cfRule>
    <cfRule type="containsText" dxfId="298" priority="314" operator="containsText" text="Off Target">
      <formula>NOT(ISERROR(SEARCH("Off Target",I89)))</formula>
    </cfRule>
    <cfRule type="containsText" dxfId="297" priority="315" operator="containsText" text="In Danger of Falling Behind Target">
      <formula>NOT(ISERROR(SEARCH("In Danger of Falling Behind Target",I89)))</formula>
    </cfRule>
    <cfRule type="containsText" dxfId="296" priority="316" operator="containsText" text="On Track to be Achieved">
      <formula>NOT(ISERROR(SEARCH("On Track to be Achieved",I89)))</formula>
    </cfRule>
    <cfRule type="containsText" dxfId="295" priority="317" operator="containsText" text="Fully Achieved">
      <formula>NOT(ISERROR(SEARCH("Fully Achieved",I89)))</formula>
    </cfRule>
    <cfRule type="containsText" dxfId="294" priority="318" operator="containsText" text="Fully Achieved">
      <formula>NOT(ISERROR(SEARCH("Fully Achieved",I89)))</formula>
    </cfRule>
    <cfRule type="containsText" dxfId="293" priority="319" operator="containsText" text="Fully Achieved">
      <formula>NOT(ISERROR(SEARCH("Fully Achieved",I89)))</formula>
    </cfRule>
    <cfRule type="containsText" dxfId="292" priority="320" operator="containsText" text="Deferred">
      <formula>NOT(ISERROR(SEARCH("Deferred",I89)))</formula>
    </cfRule>
    <cfRule type="containsText" dxfId="291" priority="321" operator="containsText" text="Deleted">
      <formula>NOT(ISERROR(SEARCH("Deleted",I89)))</formula>
    </cfRule>
    <cfRule type="containsText" dxfId="290" priority="322" operator="containsText" text="In Danger of Falling Behind Target">
      <formula>NOT(ISERROR(SEARCH("In Danger of Falling Behind Target",I89)))</formula>
    </cfRule>
    <cfRule type="containsText" dxfId="289" priority="323" operator="containsText" text="Not yet due">
      <formula>NOT(ISERROR(SEARCH("Not yet due",I89)))</formula>
    </cfRule>
    <cfRule type="containsText" dxfId="288" priority="324" operator="containsText" text="Update not Provided">
      <formula>NOT(ISERROR(SEARCH("Update not Provided",I89)))</formula>
    </cfRule>
  </conditionalFormatting>
  <conditionalFormatting sqref="I90">
    <cfRule type="containsText" dxfId="287" priority="253" operator="containsText" text="On track to be achieved">
      <formula>NOT(ISERROR(SEARCH("On track to be achieved",I90)))</formula>
    </cfRule>
    <cfRule type="containsText" dxfId="286" priority="254" operator="containsText" text="Deferred">
      <formula>NOT(ISERROR(SEARCH("Deferred",I90)))</formula>
    </cfRule>
    <cfRule type="containsText" dxfId="285" priority="255" operator="containsText" text="Deleted">
      <formula>NOT(ISERROR(SEARCH("Deleted",I90)))</formula>
    </cfRule>
    <cfRule type="containsText" dxfId="284" priority="256" operator="containsText" text="In Danger of Falling Behind Target">
      <formula>NOT(ISERROR(SEARCH("In Danger of Falling Behind Target",I90)))</formula>
    </cfRule>
    <cfRule type="containsText" dxfId="283" priority="257" operator="containsText" text="Not yet due">
      <formula>NOT(ISERROR(SEARCH("Not yet due",I90)))</formula>
    </cfRule>
    <cfRule type="containsText" dxfId="282" priority="258" operator="containsText" text="Update not Provided">
      <formula>NOT(ISERROR(SEARCH("Update not Provided",I90)))</formula>
    </cfRule>
    <cfRule type="containsText" dxfId="281" priority="259" operator="containsText" text="Not yet due">
      <formula>NOT(ISERROR(SEARCH("Not yet due",I90)))</formula>
    </cfRule>
    <cfRule type="containsText" dxfId="280" priority="260" operator="containsText" text="Completed Behind Schedule">
      <formula>NOT(ISERROR(SEARCH("Completed Behind Schedule",I90)))</formula>
    </cfRule>
    <cfRule type="containsText" dxfId="279" priority="261" operator="containsText" text="Off Target">
      <formula>NOT(ISERROR(SEARCH("Off Target",I90)))</formula>
    </cfRule>
    <cfRule type="containsText" dxfId="278" priority="262" operator="containsText" text="On Track to be Achieved">
      <formula>NOT(ISERROR(SEARCH("On Track to be Achieved",I90)))</formula>
    </cfRule>
    <cfRule type="containsText" dxfId="277" priority="263" operator="containsText" text="Fully Achieved">
      <formula>NOT(ISERROR(SEARCH("Fully Achieved",I90)))</formula>
    </cfRule>
    <cfRule type="containsText" dxfId="276" priority="264" operator="containsText" text="Not yet due">
      <formula>NOT(ISERROR(SEARCH("Not yet due",I90)))</formula>
    </cfRule>
    <cfRule type="containsText" dxfId="275" priority="265" operator="containsText" text="Not Yet Due">
      <formula>NOT(ISERROR(SEARCH("Not Yet Due",I90)))</formula>
    </cfRule>
    <cfRule type="containsText" dxfId="274" priority="266" operator="containsText" text="Deferred">
      <formula>NOT(ISERROR(SEARCH("Deferred",I90)))</formula>
    </cfRule>
    <cfRule type="containsText" dxfId="273" priority="267" operator="containsText" text="Deleted">
      <formula>NOT(ISERROR(SEARCH("Deleted",I90)))</formula>
    </cfRule>
    <cfRule type="containsText" dxfId="272" priority="268" operator="containsText" text="In Danger of Falling Behind Target">
      <formula>NOT(ISERROR(SEARCH("In Danger of Falling Behind Target",I90)))</formula>
    </cfRule>
    <cfRule type="containsText" dxfId="271" priority="269" operator="containsText" text="Not yet due">
      <formula>NOT(ISERROR(SEARCH("Not yet due",I90)))</formula>
    </cfRule>
    <cfRule type="containsText" dxfId="270" priority="270" operator="containsText" text="Completed Behind Schedule">
      <formula>NOT(ISERROR(SEARCH("Completed Behind Schedule",I90)))</formula>
    </cfRule>
    <cfRule type="containsText" dxfId="269" priority="271" operator="containsText" text="Off Target">
      <formula>NOT(ISERROR(SEARCH("Off Target",I90)))</formula>
    </cfRule>
    <cfRule type="containsText" dxfId="268" priority="272" operator="containsText" text="In Danger of Falling Behind Target">
      <formula>NOT(ISERROR(SEARCH("In Danger of Falling Behind Target",I90)))</formula>
    </cfRule>
    <cfRule type="containsText" dxfId="267" priority="273" operator="containsText" text="On Track to be Achieved">
      <formula>NOT(ISERROR(SEARCH("On Track to be Achieved",I90)))</formula>
    </cfRule>
    <cfRule type="containsText" dxfId="266" priority="274" operator="containsText" text="Fully Achieved">
      <formula>NOT(ISERROR(SEARCH("Fully Achieved",I90)))</formula>
    </cfRule>
    <cfRule type="containsText" dxfId="265" priority="275" operator="containsText" text="Update not Provided">
      <formula>NOT(ISERROR(SEARCH("Update not Provided",I90)))</formula>
    </cfRule>
    <cfRule type="containsText" dxfId="264" priority="276" operator="containsText" text="Not yet due">
      <formula>NOT(ISERROR(SEARCH("Not yet due",I90)))</formula>
    </cfRule>
    <cfRule type="containsText" dxfId="263" priority="277" operator="containsText" text="Completed Behind Schedule">
      <formula>NOT(ISERROR(SEARCH("Completed Behind Schedule",I90)))</formula>
    </cfRule>
    <cfRule type="containsText" dxfId="262" priority="278" operator="containsText" text="Off Target">
      <formula>NOT(ISERROR(SEARCH("Off Target",I90)))</formula>
    </cfRule>
    <cfRule type="containsText" dxfId="261" priority="279" operator="containsText" text="In Danger of Falling Behind Target">
      <formula>NOT(ISERROR(SEARCH("In Danger of Falling Behind Target",I90)))</formula>
    </cfRule>
    <cfRule type="containsText" dxfId="260" priority="280" operator="containsText" text="On Track to be Achieved">
      <formula>NOT(ISERROR(SEARCH("On Track to be Achieved",I90)))</formula>
    </cfRule>
    <cfRule type="containsText" dxfId="259" priority="281" operator="containsText" text="Fully Achieved">
      <formula>NOT(ISERROR(SEARCH("Fully Achieved",I90)))</formula>
    </cfRule>
    <cfRule type="containsText" dxfId="258" priority="282" operator="containsText" text="Fully Achieved">
      <formula>NOT(ISERROR(SEARCH("Fully Achieved",I90)))</formula>
    </cfRule>
    <cfRule type="containsText" dxfId="257" priority="283" operator="containsText" text="Fully Achieved">
      <formula>NOT(ISERROR(SEARCH("Fully Achieved",I90)))</formula>
    </cfRule>
    <cfRule type="containsText" dxfId="256" priority="284" operator="containsText" text="Deferred">
      <formula>NOT(ISERROR(SEARCH("Deferred",I90)))</formula>
    </cfRule>
    <cfRule type="containsText" dxfId="255" priority="285" operator="containsText" text="Deleted">
      <formula>NOT(ISERROR(SEARCH("Deleted",I90)))</formula>
    </cfRule>
    <cfRule type="containsText" dxfId="254" priority="286" operator="containsText" text="In Danger of Falling Behind Target">
      <formula>NOT(ISERROR(SEARCH("In Danger of Falling Behind Target",I90)))</formula>
    </cfRule>
    <cfRule type="containsText" dxfId="253" priority="287" operator="containsText" text="Not yet due">
      <formula>NOT(ISERROR(SEARCH("Not yet due",I90)))</formula>
    </cfRule>
    <cfRule type="containsText" dxfId="252" priority="288" operator="containsText" text="Update not Provided">
      <formula>NOT(ISERROR(SEARCH("Update not Provided",I90)))</formula>
    </cfRule>
  </conditionalFormatting>
  <conditionalFormatting sqref="I91:I93">
    <cfRule type="containsText" dxfId="251" priority="217" operator="containsText" text="On track to be achieved">
      <formula>NOT(ISERROR(SEARCH("On track to be achieved",I91)))</formula>
    </cfRule>
    <cfRule type="containsText" dxfId="250" priority="218" operator="containsText" text="Deferred">
      <formula>NOT(ISERROR(SEARCH("Deferred",I91)))</formula>
    </cfRule>
    <cfRule type="containsText" dxfId="249" priority="219" operator="containsText" text="Deleted">
      <formula>NOT(ISERROR(SEARCH("Deleted",I91)))</formula>
    </cfRule>
    <cfRule type="containsText" dxfId="248" priority="220" operator="containsText" text="In Danger of Falling Behind Target">
      <formula>NOT(ISERROR(SEARCH("In Danger of Falling Behind Target",I91)))</formula>
    </cfRule>
    <cfRule type="containsText" dxfId="247" priority="221" operator="containsText" text="Not yet due">
      <formula>NOT(ISERROR(SEARCH("Not yet due",I91)))</formula>
    </cfRule>
    <cfRule type="containsText" dxfId="246" priority="222" operator="containsText" text="Update not Provided">
      <formula>NOT(ISERROR(SEARCH("Update not Provided",I91)))</formula>
    </cfRule>
    <cfRule type="containsText" dxfId="245" priority="223" operator="containsText" text="Not yet due">
      <formula>NOT(ISERROR(SEARCH("Not yet due",I91)))</formula>
    </cfRule>
    <cfRule type="containsText" dxfId="244" priority="224" operator="containsText" text="Completed Behind Schedule">
      <formula>NOT(ISERROR(SEARCH("Completed Behind Schedule",I91)))</formula>
    </cfRule>
    <cfRule type="containsText" dxfId="243" priority="225" operator="containsText" text="Off Target">
      <formula>NOT(ISERROR(SEARCH("Off Target",I91)))</formula>
    </cfRule>
    <cfRule type="containsText" dxfId="242" priority="226" operator="containsText" text="On Track to be Achieved">
      <formula>NOT(ISERROR(SEARCH("On Track to be Achieved",I91)))</formula>
    </cfRule>
    <cfRule type="containsText" dxfId="241" priority="227" operator="containsText" text="Fully Achieved">
      <formula>NOT(ISERROR(SEARCH("Fully Achieved",I91)))</formula>
    </cfRule>
    <cfRule type="containsText" dxfId="240" priority="228" operator="containsText" text="Not yet due">
      <formula>NOT(ISERROR(SEARCH("Not yet due",I91)))</formula>
    </cfRule>
    <cfRule type="containsText" dxfId="239" priority="229" operator="containsText" text="Not Yet Due">
      <formula>NOT(ISERROR(SEARCH("Not Yet Due",I91)))</formula>
    </cfRule>
    <cfRule type="containsText" dxfId="238" priority="230" operator="containsText" text="Deferred">
      <formula>NOT(ISERROR(SEARCH("Deferred",I91)))</formula>
    </cfRule>
    <cfRule type="containsText" dxfId="237" priority="231" operator="containsText" text="Deleted">
      <formula>NOT(ISERROR(SEARCH("Deleted",I91)))</formula>
    </cfRule>
    <cfRule type="containsText" dxfId="236" priority="232" operator="containsText" text="In Danger of Falling Behind Target">
      <formula>NOT(ISERROR(SEARCH("In Danger of Falling Behind Target",I91)))</formula>
    </cfRule>
    <cfRule type="containsText" dxfId="235" priority="233" operator="containsText" text="Not yet due">
      <formula>NOT(ISERROR(SEARCH("Not yet due",I91)))</formula>
    </cfRule>
    <cfRule type="containsText" dxfId="234" priority="234" operator="containsText" text="Completed Behind Schedule">
      <formula>NOT(ISERROR(SEARCH("Completed Behind Schedule",I91)))</formula>
    </cfRule>
    <cfRule type="containsText" dxfId="233" priority="235" operator="containsText" text="Off Target">
      <formula>NOT(ISERROR(SEARCH("Off Target",I91)))</formula>
    </cfRule>
    <cfRule type="containsText" dxfId="232" priority="236" operator="containsText" text="In Danger of Falling Behind Target">
      <formula>NOT(ISERROR(SEARCH("In Danger of Falling Behind Target",I91)))</formula>
    </cfRule>
    <cfRule type="containsText" dxfId="231" priority="237" operator="containsText" text="On Track to be Achieved">
      <formula>NOT(ISERROR(SEARCH("On Track to be Achieved",I91)))</formula>
    </cfRule>
    <cfRule type="containsText" dxfId="230" priority="238" operator="containsText" text="Fully Achieved">
      <formula>NOT(ISERROR(SEARCH("Fully Achieved",I91)))</formula>
    </cfRule>
    <cfRule type="containsText" dxfId="229" priority="239" operator="containsText" text="Update not Provided">
      <formula>NOT(ISERROR(SEARCH("Update not Provided",I91)))</formula>
    </cfRule>
    <cfRule type="containsText" dxfId="228" priority="240" operator="containsText" text="Not yet due">
      <formula>NOT(ISERROR(SEARCH("Not yet due",I91)))</formula>
    </cfRule>
    <cfRule type="containsText" dxfId="227" priority="241" operator="containsText" text="Completed Behind Schedule">
      <formula>NOT(ISERROR(SEARCH("Completed Behind Schedule",I91)))</formula>
    </cfRule>
    <cfRule type="containsText" dxfId="226" priority="242" operator="containsText" text="Off Target">
      <formula>NOT(ISERROR(SEARCH("Off Target",I91)))</formula>
    </cfRule>
    <cfRule type="containsText" dxfId="225" priority="243" operator="containsText" text="In Danger of Falling Behind Target">
      <formula>NOT(ISERROR(SEARCH("In Danger of Falling Behind Target",I91)))</formula>
    </cfRule>
    <cfRule type="containsText" dxfId="224" priority="244" operator="containsText" text="On Track to be Achieved">
      <formula>NOT(ISERROR(SEARCH("On Track to be Achieved",I91)))</formula>
    </cfRule>
    <cfRule type="containsText" dxfId="223" priority="245" operator="containsText" text="Fully Achieved">
      <formula>NOT(ISERROR(SEARCH("Fully Achieved",I91)))</formula>
    </cfRule>
    <cfRule type="containsText" dxfId="222" priority="246" operator="containsText" text="Fully Achieved">
      <formula>NOT(ISERROR(SEARCH("Fully Achieved",I91)))</formula>
    </cfRule>
    <cfRule type="containsText" dxfId="221" priority="247" operator="containsText" text="Fully Achieved">
      <formula>NOT(ISERROR(SEARCH("Fully Achieved",I91)))</formula>
    </cfRule>
    <cfRule type="containsText" dxfId="220" priority="248" operator="containsText" text="Deferred">
      <formula>NOT(ISERROR(SEARCH("Deferred",I91)))</formula>
    </cfRule>
    <cfRule type="containsText" dxfId="219" priority="249" operator="containsText" text="Deleted">
      <formula>NOT(ISERROR(SEARCH("Deleted",I91)))</formula>
    </cfRule>
    <cfRule type="containsText" dxfId="218" priority="250" operator="containsText" text="In Danger of Falling Behind Target">
      <formula>NOT(ISERROR(SEARCH("In Danger of Falling Behind Target",I91)))</formula>
    </cfRule>
    <cfRule type="containsText" dxfId="217" priority="251" operator="containsText" text="Not yet due">
      <formula>NOT(ISERROR(SEARCH("Not yet due",I91)))</formula>
    </cfRule>
    <cfRule type="containsText" dxfId="216" priority="252" operator="containsText" text="Update not Provided">
      <formula>NOT(ISERROR(SEARCH("Update not Provided",I91)))</formula>
    </cfRule>
  </conditionalFormatting>
  <conditionalFormatting sqref="I94:I99">
    <cfRule type="containsText" dxfId="215" priority="181" operator="containsText" text="On track to be achieved">
      <formula>NOT(ISERROR(SEARCH("On track to be achieved",I94)))</formula>
    </cfRule>
    <cfRule type="containsText" dxfId="214" priority="182" operator="containsText" text="Deferred">
      <formula>NOT(ISERROR(SEARCH("Deferred",I94)))</formula>
    </cfRule>
    <cfRule type="containsText" dxfId="213" priority="183" operator="containsText" text="Deleted">
      <formula>NOT(ISERROR(SEARCH("Deleted",I94)))</formula>
    </cfRule>
    <cfRule type="containsText" dxfId="212" priority="184" operator="containsText" text="In Danger of Falling Behind Target">
      <formula>NOT(ISERROR(SEARCH("In Danger of Falling Behind Target",I94)))</formula>
    </cfRule>
    <cfRule type="containsText" dxfId="211" priority="185" operator="containsText" text="Not yet due">
      <formula>NOT(ISERROR(SEARCH("Not yet due",I94)))</formula>
    </cfRule>
    <cfRule type="containsText" dxfId="210" priority="186" operator="containsText" text="Update not Provided">
      <formula>NOT(ISERROR(SEARCH("Update not Provided",I94)))</formula>
    </cfRule>
    <cfRule type="containsText" dxfId="209" priority="187" operator="containsText" text="Not yet due">
      <formula>NOT(ISERROR(SEARCH("Not yet due",I94)))</formula>
    </cfRule>
    <cfRule type="containsText" dxfId="208" priority="188" operator="containsText" text="Completed Behind Schedule">
      <formula>NOT(ISERROR(SEARCH("Completed Behind Schedule",I94)))</formula>
    </cfRule>
    <cfRule type="containsText" dxfId="207" priority="189" operator="containsText" text="Off Target">
      <formula>NOT(ISERROR(SEARCH("Off Target",I94)))</formula>
    </cfRule>
    <cfRule type="containsText" dxfId="206" priority="190" operator="containsText" text="On Track to be Achieved">
      <formula>NOT(ISERROR(SEARCH("On Track to be Achieved",I94)))</formula>
    </cfRule>
    <cfRule type="containsText" dxfId="205" priority="191" operator="containsText" text="Fully Achieved">
      <formula>NOT(ISERROR(SEARCH("Fully Achieved",I94)))</formula>
    </cfRule>
    <cfRule type="containsText" dxfId="204" priority="192" operator="containsText" text="Not yet due">
      <formula>NOT(ISERROR(SEARCH("Not yet due",I94)))</formula>
    </cfRule>
    <cfRule type="containsText" dxfId="203" priority="193" operator="containsText" text="Not Yet Due">
      <formula>NOT(ISERROR(SEARCH("Not Yet Due",I94)))</formula>
    </cfRule>
    <cfRule type="containsText" dxfId="202" priority="194" operator="containsText" text="Deferred">
      <formula>NOT(ISERROR(SEARCH("Deferred",I94)))</formula>
    </cfRule>
    <cfRule type="containsText" dxfId="201" priority="195" operator="containsText" text="Deleted">
      <formula>NOT(ISERROR(SEARCH("Deleted",I94)))</formula>
    </cfRule>
    <cfRule type="containsText" dxfId="200" priority="196" operator="containsText" text="In Danger of Falling Behind Target">
      <formula>NOT(ISERROR(SEARCH("In Danger of Falling Behind Target",I94)))</formula>
    </cfRule>
    <cfRule type="containsText" dxfId="199" priority="197" operator="containsText" text="Not yet due">
      <formula>NOT(ISERROR(SEARCH("Not yet due",I94)))</formula>
    </cfRule>
    <cfRule type="containsText" dxfId="198" priority="198" operator="containsText" text="Completed Behind Schedule">
      <formula>NOT(ISERROR(SEARCH("Completed Behind Schedule",I94)))</formula>
    </cfRule>
    <cfRule type="containsText" dxfId="197" priority="199" operator="containsText" text="Off Target">
      <formula>NOT(ISERROR(SEARCH("Off Target",I94)))</formula>
    </cfRule>
    <cfRule type="containsText" dxfId="196" priority="200" operator="containsText" text="In Danger of Falling Behind Target">
      <formula>NOT(ISERROR(SEARCH("In Danger of Falling Behind Target",I94)))</formula>
    </cfRule>
    <cfRule type="containsText" dxfId="195" priority="201" operator="containsText" text="On Track to be Achieved">
      <formula>NOT(ISERROR(SEARCH("On Track to be Achieved",I94)))</formula>
    </cfRule>
    <cfRule type="containsText" dxfId="194" priority="202" operator="containsText" text="Fully Achieved">
      <formula>NOT(ISERROR(SEARCH("Fully Achieved",I94)))</formula>
    </cfRule>
    <cfRule type="containsText" dxfId="193" priority="203" operator="containsText" text="Update not Provided">
      <formula>NOT(ISERROR(SEARCH("Update not Provided",I94)))</formula>
    </cfRule>
    <cfRule type="containsText" dxfId="192" priority="204" operator="containsText" text="Not yet due">
      <formula>NOT(ISERROR(SEARCH("Not yet due",I94)))</formula>
    </cfRule>
    <cfRule type="containsText" dxfId="191" priority="205" operator="containsText" text="Completed Behind Schedule">
      <formula>NOT(ISERROR(SEARCH("Completed Behind Schedule",I94)))</formula>
    </cfRule>
    <cfRule type="containsText" dxfId="190" priority="206" operator="containsText" text="Off Target">
      <formula>NOT(ISERROR(SEARCH("Off Target",I94)))</formula>
    </cfRule>
    <cfRule type="containsText" dxfId="189" priority="207" operator="containsText" text="In Danger of Falling Behind Target">
      <formula>NOT(ISERROR(SEARCH("In Danger of Falling Behind Target",I94)))</formula>
    </cfRule>
    <cfRule type="containsText" dxfId="188" priority="208" operator="containsText" text="On Track to be Achieved">
      <formula>NOT(ISERROR(SEARCH("On Track to be Achieved",I94)))</formula>
    </cfRule>
    <cfRule type="containsText" dxfId="187" priority="209" operator="containsText" text="Fully Achieved">
      <formula>NOT(ISERROR(SEARCH("Fully Achieved",I94)))</formula>
    </cfRule>
    <cfRule type="containsText" dxfId="186" priority="210" operator="containsText" text="Fully Achieved">
      <formula>NOT(ISERROR(SEARCH("Fully Achieved",I94)))</formula>
    </cfRule>
    <cfRule type="containsText" dxfId="185" priority="211" operator="containsText" text="Fully Achieved">
      <formula>NOT(ISERROR(SEARCH("Fully Achieved",I94)))</formula>
    </cfRule>
    <cfRule type="containsText" dxfId="184" priority="212" operator="containsText" text="Deferred">
      <formula>NOT(ISERROR(SEARCH("Deferred",I94)))</formula>
    </cfRule>
    <cfRule type="containsText" dxfId="183" priority="213" operator="containsText" text="Deleted">
      <formula>NOT(ISERROR(SEARCH("Deleted",I94)))</formula>
    </cfRule>
    <cfRule type="containsText" dxfId="182" priority="214" operator="containsText" text="In Danger of Falling Behind Target">
      <formula>NOT(ISERROR(SEARCH("In Danger of Falling Behind Target",I94)))</formula>
    </cfRule>
    <cfRule type="containsText" dxfId="181" priority="215" operator="containsText" text="Not yet due">
      <formula>NOT(ISERROR(SEARCH("Not yet due",I94)))</formula>
    </cfRule>
    <cfRule type="containsText" dxfId="180" priority="216" operator="containsText" text="Update not Provided">
      <formula>NOT(ISERROR(SEARCH("Update not Provided",I94)))</formula>
    </cfRule>
  </conditionalFormatting>
  <conditionalFormatting sqref="I100">
    <cfRule type="containsText" dxfId="179" priority="145" operator="containsText" text="On track to be achieved">
      <formula>NOT(ISERROR(SEARCH("On track to be achieved",I100)))</formula>
    </cfRule>
    <cfRule type="containsText" dxfId="178" priority="146" operator="containsText" text="Deferred">
      <formula>NOT(ISERROR(SEARCH("Deferred",I100)))</formula>
    </cfRule>
    <cfRule type="containsText" dxfId="177" priority="147" operator="containsText" text="Deleted">
      <formula>NOT(ISERROR(SEARCH("Deleted",I100)))</formula>
    </cfRule>
    <cfRule type="containsText" dxfId="176" priority="148" operator="containsText" text="In Danger of Falling Behind Target">
      <formula>NOT(ISERROR(SEARCH("In Danger of Falling Behind Target",I100)))</formula>
    </cfRule>
    <cfRule type="containsText" dxfId="175" priority="149" operator="containsText" text="Not yet due">
      <formula>NOT(ISERROR(SEARCH("Not yet due",I100)))</formula>
    </cfRule>
    <cfRule type="containsText" dxfId="174" priority="150" operator="containsText" text="Update not Provided">
      <formula>NOT(ISERROR(SEARCH("Update not Provided",I100)))</formula>
    </cfRule>
    <cfRule type="containsText" dxfId="173" priority="151" operator="containsText" text="Not yet due">
      <formula>NOT(ISERROR(SEARCH("Not yet due",I100)))</formula>
    </cfRule>
    <cfRule type="containsText" dxfId="172" priority="152" operator="containsText" text="Completed Behind Schedule">
      <formula>NOT(ISERROR(SEARCH("Completed Behind Schedule",I100)))</formula>
    </cfRule>
    <cfRule type="containsText" dxfId="171" priority="153" operator="containsText" text="Off Target">
      <formula>NOT(ISERROR(SEARCH("Off Target",I100)))</formula>
    </cfRule>
    <cfRule type="containsText" dxfId="170" priority="154" operator="containsText" text="On Track to be Achieved">
      <formula>NOT(ISERROR(SEARCH("On Track to be Achieved",I100)))</formula>
    </cfRule>
    <cfRule type="containsText" dxfId="169" priority="155" operator="containsText" text="Fully Achieved">
      <formula>NOT(ISERROR(SEARCH("Fully Achieved",I100)))</formula>
    </cfRule>
    <cfRule type="containsText" dxfId="168" priority="156" operator="containsText" text="Not yet due">
      <formula>NOT(ISERROR(SEARCH("Not yet due",I100)))</formula>
    </cfRule>
    <cfRule type="containsText" dxfId="167" priority="157" operator="containsText" text="Not Yet Due">
      <formula>NOT(ISERROR(SEARCH("Not Yet Due",I100)))</formula>
    </cfRule>
    <cfRule type="containsText" dxfId="166" priority="158" operator="containsText" text="Deferred">
      <formula>NOT(ISERROR(SEARCH("Deferred",I100)))</formula>
    </cfRule>
    <cfRule type="containsText" dxfId="165" priority="159" operator="containsText" text="Deleted">
      <formula>NOT(ISERROR(SEARCH("Deleted",I100)))</formula>
    </cfRule>
    <cfRule type="containsText" dxfId="164" priority="160" operator="containsText" text="In Danger of Falling Behind Target">
      <formula>NOT(ISERROR(SEARCH("In Danger of Falling Behind Target",I100)))</formula>
    </cfRule>
    <cfRule type="containsText" dxfId="163" priority="161" operator="containsText" text="Not yet due">
      <formula>NOT(ISERROR(SEARCH("Not yet due",I100)))</formula>
    </cfRule>
    <cfRule type="containsText" dxfId="162" priority="162" operator="containsText" text="Completed Behind Schedule">
      <formula>NOT(ISERROR(SEARCH("Completed Behind Schedule",I100)))</formula>
    </cfRule>
    <cfRule type="containsText" dxfId="161" priority="163" operator="containsText" text="Off Target">
      <formula>NOT(ISERROR(SEARCH("Off Target",I100)))</formula>
    </cfRule>
    <cfRule type="containsText" dxfId="160" priority="164" operator="containsText" text="In Danger of Falling Behind Target">
      <formula>NOT(ISERROR(SEARCH("In Danger of Falling Behind Target",I100)))</formula>
    </cfRule>
    <cfRule type="containsText" dxfId="159" priority="165" operator="containsText" text="On Track to be Achieved">
      <formula>NOT(ISERROR(SEARCH("On Track to be Achieved",I100)))</formula>
    </cfRule>
    <cfRule type="containsText" dxfId="158" priority="166" operator="containsText" text="Fully Achieved">
      <formula>NOT(ISERROR(SEARCH("Fully Achieved",I100)))</formula>
    </cfRule>
    <cfRule type="containsText" dxfId="157" priority="167" operator="containsText" text="Update not Provided">
      <formula>NOT(ISERROR(SEARCH("Update not Provided",I100)))</formula>
    </cfRule>
    <cfRule type="containsText" dxfId="156" priority="168" operator="containsText" text="Not yet due">
      <formula>NOT(ISERROR(SEARCH("Not yet due",I100)))</formula>
    </cfRule>
    <cfRule type="containsText" dxfId="155" priority="169" operator="containsText" text="Completed Behind Schedule">
      <formula>NOT(ISERROR(SEARCH("Completed Behind Schedule",I100)))</formula>
    </cfRule>
    <cfRule type="containsText" dxfId="154" priority="170" operator="containsText" text="Off Target">
      <formula>NOT(ISERROR(SEARCH("Off Target",I100)))</formula>
    </cfRule>
    <cfRule type="containsText" dxfId="153" priority="171" operator="containsText" text="In Danger of Falling Behind Target">
      <formula>NOT(ISERROR(SEARCH("In Danger of Falling Behind Target",I100)))</formula>
    </cfRule>
    <cfRule type="containsText" dxfId="152" priority="172" operator="containsText" text="On Track to be Achieved">
      <formula>NOT(ISERROR(SEARCH("On Track to be Achieved",I100)))</formula>
    </cfRule>
    <cfRule type="containsText" dxfId="151" priority="173" operator="containsText" text="Fully Achieved">
      <formula>NOT(ISERROR(SEARCH("Fully Achieved",I100)))</formula>
    </cfRule>
    <cfRule type="containsText" dxfId="150" priority="174" operator="containsText" text="Fully Achieved">
      <formula>NOT(ISERROR(SEARCH("Fully Achieved",I100)))</formula>
    </cfRule>
    <cfRule type="containsText" dxfId="149" priority="175" operator="containsText" text="Fully Achieved">
      <formula>NOT(ISERROR(SEARCH("Fully Achieved",I100)))</formula>
    </cfRule>
    <cfRule type="containsText" dxfId="148" priority="176" operator="containsText" text="Deferred">
      <formula>NOT(ISERROR(SEARCH("Deferred",I100)))</formula>
    </cfRule>
    <cfRule type="containsText" dxfId="147" priority="177" operator="containsText" text="Deleted">
      <formula>NOT(ISERROR(SEARCH("Deleted",I100)))</formula>
    </cfRule>
    <cfRule type="containsText" dxfId="146" priority="178" operator="containsText" text="In Danger of Falling Behind Target">
      <formula>NOT(ISERROR(SEARCH("In Danger of Falling Behind Target",I100)))</formula>
    </cfRule>
    <cfRule type="containsText" dxfId="145" priority="179" operator="containsText" text="Not yet due">
      <formula>NOT(ISERROR(SEARCH("Not yet due",I100)))</formula>
    </cfRule>
    <cfRule type="containsText" dxfId="144" priority="180" operator="containsText" text="Update not Provided">
      <formula>NOT(ISERROR(SEARCH("Update not Provided",I100)))</formula>
    </cfRule>
  </conditionalFormatting>
  <conditionalFormatting sqref="I102:I105">
    <cfRule type="containsText" dxfId="143" priority="109" operator="containsText" text="On track to be achieved">
      <formula>NOT(ISERROR(SEARCH("On track to be achieved",I102)))</formula>
    </cfRule>
    <cfRule type="containsText" dxfId="142" priority="110" operator="containsText" text="Deferred">
      <formula>NOT(ISERROR(SEARCH("Deferred",I102)))</formula>
    </cfRule>
    <cfRule type="containsText" dxfId="141" priority="111" operator="containsText" text="Deleted">
      <formula>NOT(ISERROR(SEARCH("Deleted",I102)))</formula>
    </cfRule>
    <cfRule type="containsText" dxfId="140" priority="112" operator="containsText" text="In Danger of Falling Behind Target">
      <formula>NOT(ISERROR(SEARCH("In Danger of Falling Behind Target",I102)))</formula>
    </cfRule>
    <cfRule type="containsText" dxfId="139" priority="113" operator="containsText" text="Not yet due">
      <formula>NOT(ISERROR(SEARCH("Not yet due",I102)))</formula>
    </cfRule>
    <cfRule type="containsText" dxfId="138" priority="114" operator="containsText" text="Update not Provided">
      <formula>NOT(ISERROR(SEARCH("Update not Provided",I102)))</formula>
    </cfRule>
    <cfRule type="containsText" dxfId="137" priority="115" operator="containsText" text="Not yet due">
      <formula>NOT(ISERROR(SEARCH("Not yet due",I102)))</formula>
    </cfRule>
    <cfRule type="containsText" dxfId="136" priority="116" operator="containsText" text="Completed Behind Schedule">
      <formula>NOT(ISERROR(SEARCH("Completed Behind Schedule",I102)))</formula>
    </cfRule>
    <cfRule type="containsText" dxfId="135" priority="117" operator="containsText" text="Off Target">
      <formula>NOT(ISERROR(SEARCH("Off Target",I102)))</formula>
    </cfRule>
    <cfRule type="containsText" dxfId="134" priority="118" operator="containsText" text="On Track to be Achieved">
      <formula>NOT(ISERROR(SEARCH("On Track to be Achieved",I102)))</formula>
    </cfRule>
    <cfRule type="containsText" dxfId="133" priority="119" operator="containsText" text="Fully Achieved">
      <formula>NOT(ISERROR(SEARCH("Fully Achieved",I102)))</formula>
    </cfRule>
    <cfRule type="containsText" dxfId="132" priority="120" operator="containsText" text="Not yet due">
      <formula>NOT(ISERROR(SEARCH("Not yet due",I102)))</formula>
    </cfRule>
    <cfRule type="containsText" dxfId="131" priority="121" operator="containsText" text="Not Yet Due">
      <formula>NOT(ISERROR(SEARCH("Not Yet Due",I102)))</formula>
    </cfRule>
    <cfRule type="containsText" dxfId="130" priority="122" operator="containsText" text="Deferred">
      <formula>NOT(ISERROR(SEARCH("Deferred",I102)))</formula>
    </cfRule>
    <cfRule type="containsText" dxfId="129" priority="123" operator="containsText" text="Deleted">
      <formula>NOT(ISERROR(SEARCH("Deleted",I102)))</formula>
    </cfRule>
    <cfRule type="containsText" dxfId="128" priority="124" operator="containsText" text="In Danger of Falling Behind Target">
      <formula>NOT(ISERROR(SEARCH("In Danger of Falling Behind Target",I102)))</formula>
    </cfRule>
    <cfRule type="containsText" dxfId="127" priority="125" operator="containsText" text="Not yet due">
      <formula>NOT(ISERROR(SEARCH("Not yet due",I102)))</formula>
    </cfRule>
    <cfRule type="containsText" dxfId="126" priority="126" operator="containsText" text="Completed Behind Schedule">
      <formula>NOT(ISERROR(SEARCH("Completed Behind Schedule",I102)))</formula>
    </cfRule>
    <cfRule type="containsText" dxfId="125" priority="127" operator="containsText" text="Off Target">
      <formula>NOT(ISERROR(SEARCH("Off Target",I102)))</formula>
    </cfRule>
    <cfRule type="containsText" dxfId="124" priority="128" operator="containsText" text="In Danger of Falling Behind Target">
      <formula>NOT(ISERROR(SEARCH("In Danger of Falling Behind Target",I102)))</formula>
    </cfRule>
    <cfRule type="containsText" dxfId="123" priority="129" operator="containsText" text="On Track to be Achieved">
      <formula>NOT(ISERROR(SEARCH("On Track to be Achieved",I102)))</formula>
    </cfRule>
    <cfRule type="containsText" dxfId="122" priority="130" operator="containsText" text="Fully Achieved">
      <formula>NOT(ISERROR(SEARCH("Fully Achieved",I102)))</formula>
    </cfRule>
    <cfRule type="containsText" dxfId="121" priority="131" operator="containsText" text="Update not Provided">
      <formula>NOT(ISERROR(SEARCH("Update not Provided",I102)))</formula>
    </cfRule>
    <cfRule type="containsText" dxfId="120" priority="132" operator="containsText" text="Not yet due">
      <formula>NOT(ISERROR(SEARCH("Not yet due",I102)))</formula>
    </cfRule>
    <cfRule type="containsText" dxfId="119" priority="133" operator="containsText" text="Completed Behind Schedule">
      <formula>NOT(ISERROR(SEARCH("Completed Behind Schedule",I102)))</formula>
    </cfRule>
    <cfRule type="containsText" dxfId="118" priority="134" operator="containsText" text="Off Target">
      <formula>NOT(ISERROR(SEARCH("Off Target",I102)))</formula>
    </cfRule>
    <cfRule type="containsText" dxfId="117" priority="135" operator="containsText" text="In Danger of Falling Behind Target">
      <formula>NOT(ISERROR(SEARCH("In Danger of Falling Behind Target",I102)))</formula>
    </cfRule>
    <cfRule type="containsText" dxfId="116" priority="136" operator="containsText" text="On Track to be Achieved">
      <formula>NOT(ISERROR(SEARCH("On Track to be Achieved",I102)))</formula>
    </cfRule>
    <cfRule type="containsText" dxfId="115" priority="137" operator="containsText" text="Fully Achieved">
      <formula>NOT(ISERROR(SEARCH("Fully Achieved",I102)))</formula>
    </cfRule>
    <cfRule type="containsText" dxfId="114" priority="138" operator="containsText" text="Fully Achieved">
      <formula>NOT(ISERROR(SEARCH("Fully Achieved",I102)))</formula>
    </cfRule>
    <cfRule type="containsText" dxfId="113" priority="139" operator="containsText" text="Fully Achieved">
      <formula>NOT(ISERROR(SEARCH("Fully Achieved",I102)))</formula>
    </cfRule>
    <cfRule type="containsText" dxfId="112" priority="140" operator="containsText" text="Deferred">
      <formula>NOT(ISERROR(SEARCH("Deferred",I102)))</formula>
    </cfRule>
    <cfRule type="containsText" dxfId="111" priority="141" operator="containsText" text="Deleted">
      <formula>NOT(ISERROR(SEARCH("Deleted",I102)))</formula>
    </cfRule>
    <cfRule type="containsText" dxfId="110" priority="142" operator="containsText" text="In Danger of Falling Behind Target">
      <formula>NOT(ISERROR(SEARCH("In Danger of Falling Behind Target",I102)))</formula>
    </cfRule>
    <cfRule type="containsText" dxfId="109" priority="143" operator="containsText" text="Not yet due">
      <formula>NOT(ISERROR(SEARCH("Not yet due",I102)))</formula>
    </cfRule>
    <cfRule type="containsText" dxfId="108" priority="144" operator="containsText" text="Update not Provided">
      <formula>NOT(ISERROR(SEARCH("Update not Provided",I102)))</formula>
    </cfRule>
  </conditionalFormatting>
  <conditionalFormatting sqref="I106:I108">
    <cfRule type="containsText" dxfId="107" priority="73" operator="containsText" text="On track to be achieved">
      <formula>NOT(ISERROR(SEARCH("On track to be achieved",I106)))</formula>
    </cfRule>
    <cfRule type="containsText" dxfId="106" priority="74" operator="containsText" text="Deferred">
      <formula>NOT(ISERROR(SEARCH("Deferred",I106)))</formula>
    </cfRule>
    <cfRule type="containsText" dxfId="105" priority="75" operator="containsText" text="Deleted">
      <formula>NOT(ISERROR(SEARCH("Deleted",I106)))</formula>
    </cfRule>
    <cfRule type="containsText" dxfId="104" priority="76" operator="containsText" text="In Danger of Falling Behind Target">
      <formula>NOT(ISERROR(SEARCH("In Danger of Falling Behind Target",I106)))</formula>
    </cfRule>
    <cfRule type="containsText" dxfId="103" priority="77" operator="containsText" text="Not yet due">
      <formula>NOT(ISERROR(SEARCH("Not yet due",I106)))</formula>
    </cfRule>
    <cfRule type="containsText" dxfId="102" priority="78" operator="containsText" text="Update not Provided">
      <formula>NOT(ISERROR(SEARCH("Update not Provided",I106)))</formula>
    </cfRule>
    <cfRule type="containsText" dxfId="101" priority="79" operator="containsText" text="Not yet due">
      <formula>NOT(ISERROR(SEARCH("Not yet due",I106)))</formula>
    </cfRule>
    <cfRule type="containsText" dxfId="100" priority="80" operator="containsText" text="Completed Behind Schedule">
      <formula>NOT(ISERROR(SEARCH("Completed Behind Schedule",I106)))</formula>
    </cfRule>
    <cfRule type="containsText" dxfId="99" priority="81" operator="containsText" text="Off Target">
      <formula>NOT(ISERROR(SEARCH("Off Target",I106)))</formula>
    </cfRule>
    <cfRule type="containsText" dxfId="98" priority="82" operator="containsText" text="On Track to be Achieved">
      <formula>NOT(ISERROR(SEARCH("On Track to be Achieved",I106)))</formula>
    </cfRule>
    <cfRule type="containsText" dxfId="97" priority="83" operator="containsText" text="Fully Achieved">
      <formula>NOT(ISERROR(SEARCH("Fully Achieved",I106)))</formula>
    </cfRule>
    <cfRule type="containsText" dxfId="96" priority="84" operator="containsText" text="Not yet due">
      <formula>NOT(ISERROR(SEARCH("Not yet due",I106)))</formula>
    </cfRule>
    <cfRule type="containsText" dxfId="95" priority="85" operator="containsText" text="Not Yet Due">
      <formula>NOT(ISERROR(SEARCH("Not Yet Due",I106)))</formula>
    </cfRule>
    <cfRule type="containsText" dxfId="94" priority="86" operator="containsText" text="Deferred">
      <formula>NOT(ISERROR(SEARCH("Deferred",I106)))</formula>
    </cfRule>
    <cfRule type="containsText" dxfId="93" priority="87" operator="containsText" text="Deleted">
      <formula>NOT(ISERROR(SEARCH("Deleted",I106)))</formula>
    </cfRule>
    <cfRule type="containsText" dxfId="92" priority="88" operator="containsText" text="In Danger of Falling Behind Target">
      <formula>NOT(ISERROR(SEARCH("In Danger of Falling Behind Target",I106)))</formula>
    </cfRule>
    <cfRule type="containsText" dxfId="91" priority="89" operator="containsText" text="Not yet due">
      <formula>NOT(ISERROR(SEARCH("Not yet due",I106)))</formula>
    </cfRule>
    <cfRule type="containsText" dxfId="90" priority="90" operator="containsText" text="Completed Behind Schedule">
      <formula>NOT(ISERROR(SEARCH("Completed Behind Schedule",I106)))</formula>
    </cfRule>
    <cfRule type="containsText" dxfId="89" priority="91" operator="containsText" text="Off Target">
      <formula>NOT(ISERROR(SEARCH("Off Target",I106)))</formula>
    </cfRule>
    <cfRule type="containsText" dxfId="88" priority="92" operator="containsText" text="In Danger of Falling Behind Target">
      <formula>NOT(ISERROR(SEARCH("In Danger of Falling Behind Target",I106)))</formula>
    </cfRule>
    <cfRule type="containsText" dxfId="87" priority="93" operator="containsText" text="On Track to be Achieved">
      <formula>NOT(ISERROR(SEARCH("On Track to be Achieved",I106)))</formula>
    </cfRule>
    <cfRule type="containsText" dxfId="86" priority="94" operator="containsText" text="Fully Achieved">
      <formula>NOT(ISERROR(SEARCH("Fully Achieved",I106)))</formula>
    </cfRule>
    <cfRule type="containsText" dxfId="85" priority="95" operator="containsText" text="Update not Provided">
      <formula>NOT(ISERROR(SEARCH("Update not Provided",I106)))</formula>
    </cfRule>
    <cfRule type="containsText" dxfId="84" priority="96" operator="containsText" text="Not yet due">
      <formula>NOT(ISERROR(SEARCH("Not yet due",I106)))</formula>
    </cfRule>
    <cfRule type="containsText" dxfId="83" priority="97" operator="containsText" text="Completed Behind Schedule">
      <formula>NOT(ISERROR(SEARCH("Completed Behind Schedule",I106)))</formula>
    </cfRule>
    <cfRule type="containsText" dxfId="82" priority="98" operator="containsText" text="Off Target">
      <formula>NOT(ISERROR(SEARCH("Off Target",I106)))</formula>
    </cfRule>
    <cfRule type="containsText" dxfId="81" priority="99" operator="containsText" text="In Danger of Falling Behind Target">
      <formula>NOT(ISERROR(SEARCH("In Danger of Falling Behind Target",I106)))</formula>
    </cfRule>
    <cfRule type="containsText" dxfId="80" priority="100" operator="containsText" text="On Track to be Achieved">
      <formula>NOT(ISERROR(SEARCH("On Track to be Achieved",I106)))</formula>
    </cfRule>
    <cfRule type="containsText" dxfId="79" priority="101" operator="containsText" text="Fully Achieved">
      <formula>NOT(ISERROR(SEARCH("Fully Achieved",I106)))</formula>
    </cfRule>
    <cfRule type="containsText" dxfId="78" priority="102" operator="containsText" text="Fully Achieved">
      <formula>NOT(ISERROR(SEARCH("Fully Achieved",I106)))</formula>
    </cfRule>
    <cfRule type="containsText" dxfId="77" priority="103" operator="containsText" text="Fully Achieved">
      <formula>NOT(ISERROR(SEARCH("Fully Achieved",I106)))</formula>
    </cfRule>
    <cfRule type="containsText" dxfId="76" priority="104" operator="containsText" text="Deferred">
      <formula>NOT(ISERROR(SEARCH("Deferred",I106)))</formula>
    </cfRule>
    <cfRule type="containsText" dxfId="75" priority="105" operator="containsText" text="Deleted">
      <formula>NOT(ISERROR(SEARCH("Deleted",I106)))</formula>
    </cfRule>
    <cfRule type="containsText" dxfId="74" priority="106" operator="containsText" text="In Danger of Falling Behind Target">
      <formula>NOT(ISERROR(SEARCH("In Danger of Falling Behind Target",I106)))</formula>
    </cfRule>
    <cfRule type="containsText" dxfId="73" priority="107" operator="containsText" text="Not yet due">
      <formula>NOT(ISERROR(SEARCH("Not yet due",I106)))</formula>
    </cfRule>
    <cfRule type="containsText" dxfId="72" priority="108" operator="containsText" text="Update not Provided">
      <formula>NOT(ISERROR(SEARCH("Update not Provided",I106)))</formula>
    </cfRule>
  </conditionalFormatting>
  <conditionalFormatting sqref="I109:I111">
    <cfRule type="containsText" dxfId="71" priority="37" operator="containsText" text="On track to be achieved">
      <formula>NOT(ISERROR(SEARCH("On track to be achieved",I109)))</formula>
    </cfRule>
    <cfRule type="containsText" dxfId="70" priority="38" operator="containsText" text="Deferred">
      <formula>NOT(ISERROR(SEARCH("Deferred",I109)))</formula>
    </cfRule>
    <cfRule type="containsText" dxfId="69" priority="39" operator="containsText" text="Deleted">
      <formula>NOT(ISERROR(SEARCH("Deleted",I109)))</formula>
    </cfRule>
    <cfRule type="containsText" dxfId="68" priority="40" operator="containsText" text="In Danger of Falling Behind Target">
      <formula>NOT(ISERROR(SEARCH("In Danger of Falling Behind Target",I109)))</formula>
    </cfRule>
    <cfRule type="containsText" dxfId="67" priority="41" operator="containsText" text="Not yet due">
      <formula>NOT(ISERROR(SEARCH("Not yet due",I109)))</formula>
    </cfRule>
    <cfRule type="containsText" dxfId="66" priority="42" operator="containsText" text="Update not Provided">
      <formula>NOT(ISERROR(SEARCH("Update not Provided",I109)))</formula>
    </cfRule>
    <cfRule type="containsText" dxfId="65" priority="43" operator="containsText" text="Not yet due">
      <formula>NOT(ISERROR(SEARCH("Not yet due",I109)))</formula>
    </cfRule>
    <cfRule type="containsText" dxfId="64" priority="44" operator="containsText" text="Completed Behind Schedule">
      <formula>NOT(ISERROR(SEARCH("Completed Behind Schedule",I109)))</formula>
    </cfRule>
    <cfRule type="containsText" dxfId="63" priority="45" operator="containsText" text="Off Target">
      <formula>NOT(ISERROR(SEARCH("Off Target",I109)))</formula>
    </cfRule>
    <cfRule type="containsText" dxfId="62" priority="46" operator="containsText" text="On Track to be Achieved">
      <formula>NOT(ISERROR(SEARCH("On Track to be Achieved",I109)))</formula>
    </cfRule>
    <cfRule type="containsText" dxfId="61" priority="47" operator="containsText" text="Fully Achieved">
      <formula>NOT(ISERROR(SEARCH("Fully Achieved",I109)))</formula>
    </cfRule>
    <cfRule type="containsText" dxfId="60" priority="48" operator="containsText" text="Not yet due">
      <formula>NOT(ISERROR(SEARCH("Not yet due",I109)))</formula>
    </cfRule>
    <cfRule type="containsText" dxfId="59" priority="49" operator="containsText" text="Not Yet Due">
      <formula>NOT(ISERROR(SEARCH("Not Yet Due",I109)))</formula>
    </cfRule>
    <cfRule type="containsText" dxfId="58" priority="50" operator="containsText" text="Deferred">
      <formula>NOT(ISERROR(SEARCH("Deferred",I109)))</formula>
    </cfRule>
    <cfRule type="containsText" dxfId="57" priority="51" operator="containsText" text="Deleted">
      <formula>NOT(ISERROR(SEARCH("Deleted",I109)))</formula>
    </cfRule>
    <cfRule type="containsText" dxfId="56" priority="52" operator="containsText" text="In Danger of Falling Behind Target">
      <formula>NOT(ISERROR(SEARCH("In Danger of Falling Behind Target",I109)))</formula>
    </cfRule>
    <cfRule type="containsText" dxfId="55" priority="53" operator="containsText" text="Not yet due">
      <formula>NOT(ISERROR(SEARCH("Not yet due",I109)))</formula>
    </cfRule>
    <cfRule type="containsText" dxfId="54" priority="54" operator="containsText" text="Completed Behind Schedule">
      <formula>NOT(ISERROR(SEARCH("Completed Behind Schedule",I109)))</formula>
    </cfRule>
    <cfRule type="containsText" dxfId="53" priority="55" operator="containsText" text="Off Target">
      <formula>NOT(ISERROR(SEARCH("Off Target",I109)))</formula>
    </cfRule>
    <cfRule type="containsText" dxfId="52" priority="56" operator="containsText" text="In Danger of Falling Behind Target">
      <formula>NOT(ISERROR(SEARCH("In Danger of Falling Behind Target",I109)))</formula>
    </cfRule>
    <cfRule type="containsText" dxfId="51" priority="57" operator="containsText" text="On Track to be Achieved">
      <formula>NOT(ISERROR(SEARCH("On Track to be Achieved",I109)))</formula>
    </cfRule>
    <cfRule type="containsText" dxfId="50" priority="58" operator="containsText" text="Fully Achieved">
      <formula>NOT(ISERROR(SEARCH("Fully Achieved",I109)))</formula>
    </cfRule>
    <cfRule type="containsText" dxfId="49" priority="59" operator="containsText" text="Update not Provided">
      <formula>NOT(ISERROR(SEARCH("Update not Provided",I109)))</formula>
    </cfRule>
    <cfRule type="containsText" dxfId="48" priority="60" operator="containsText" text="Not yet due">
      <formula>NOT(ISERROR(SEARCH("Not yet due",I109)))</formula>
    </cfRule>
    <cfRule type="containsText" dxfId="47" priority="61" operator="containsText" text="Completed Behind Schedule">
      <formula>NOT(ISERROR(SEARCH("Completed Behind Schedule",I109)))</formula>
    </cfRule>
    <cfRule type="containsText" dxfId="46" priority="62" operator="containsText" text="Off Target">
      <formula>NOT(ISERROR(SEARCH("Off Target",I109)))</formula>
    </cfRule>
    <cfRule type="containsText" dxfId="45" priority="63" operator="containsText" text="In Danger of Falling Behind Target">
      <formula>NOT(ISERROR(SEARCH("In Danger of Falling Behind Target",I109)))</formula>
    </cfRule>
    <cfRule type="containsText" dxfId="44" priority="64" operator="containsText" text="On Track to be Achieved">
      <formula>NOT(ISERROR(SEARCH("On Track to be Achieved",I109)))</formula>
    </cfRule>
    <cfRule type="containsText" dxfId="43" priority="65" operator="containsText" text="Fully Achieved">
      <formula>NOT(ISERROR(SEARCH("Fully Achieved",I109)))</formula>
    </cfRule>
    <cfRule type="containsText" dxfId="42" priority="66" operator="containsText" text="Fully Achieved">
      <formula>NOT(ISERROR(SEARCH("Fully Achieved",I109)))</formula>
    </cfRule>
    <cfRule type="containsText" dxfId="41" priority="67" operator="containsText" text="Fully Achieved">
      <formula>NOT(ISERROR(SEARCH("Fully Achieved",I109)))</formula>
    </cfRule>
    <cfRule type="containsText" dxfId="40" priority="68" operator="containsText" text="Deferred">
      <formula>NOT(ISERROR(SEARCH("Deferred",I109)))</formula>
    </cfRule>
    <cfRule type="containsText" dxfId="39" priority="69" operator="containsText" text="Deleted">
      <formula>NOT(ISERROR(SEARCH("Deleted",I109)))</formula>
    </cfRule>
    <cfRule type="containsText" dxfId="38" priority="70" operator="containsText" text="In Danger of Falling Behind Target">
      <formula>NOT(ISERROR(SEARCH("In Danger of Falling Behind Target",I109)))</formula>
    </cfRule>
    <cfRule type="containsText" dxfId="37" priority="71" operator="containsText" text="Not yet due">
      <formula>NOT(ISERROR(SEARCH("Not yet due",I109)))</formula>
    </cfRule>
    <cfRule type="containsText" dxfId="36" priority="72" operator="containsText" text="Update not Provided">
      <formula>NOT(ISERROR(SEARCH("Update not Provided",I109)))</formula>
    </cfRule>
  </conditionalFormatting>
  <conditionalFormatting sqref="I112:I115">
    <cfRule type="containsText" dxfId="35" priority="1" operator="containsText" text="On track to be achieved">
      <formula>NOT(ISERROR(SEARCH("On track to be achieved",I112)))</formula>
    </cfRule>
    <cfRule type="containsText" dxfId="34" priority="2" operator="containsText" text="Deferred">
      <formula>NOT(ISERROR(SEARCH("Deferred",I112)))</formula>
    </cfRule>
    <cfRule type="containsText" dxfId="33" priority="3" operator="containsText" text="Deleted">
      <formula>NOT(ISERROR(SEARCH("Deleted",I112)))</formula>
    </cfRule>
    <cfRule type="containsText" dxfId="32" priority="4" operator="containsText" text="In Danger of Falling Behind Target">
      <formula>NOT(ISERROR(SEARCH("In Danger of Falling Behind Target",I112)))</formula>
    </cfRule>
    <cfRule type="containsText" dxfId="31" priority="5" operator="containsText" text="Not yet due">
      <formula>NOT(ISERROR(SEARCH("Not yet due",I112)))</formula>
    </cfRule>
    <cfRule type="containsText" dxfId="30" priority="6" operator="containsText" text="Update not Provided">
      <formula>NOT(ISERROR(SEARCH("Update not Provided",I112)))</formula>
    </cfRule>
    <cfRule type="containsText" dxfId="29" priority="7" operator="containsText" text="Not yet due">
      <formula>NOT(ISERROR(SEARCH("Not yet due",I112)))</formula>
    </cfRule>
    <cfRule type="containsText" dxfId="28" priority="8" operator="containsText" text="Completed Behind Schedule">
      <formula>NOT(ISERROR(SEARCH("Completed Behind Schedule",I112)))</formula>
    </cfRule>
    <cfRule type="containsText" dxfId="27" priority="9" operator="containsText" text="Off Target">
      <formula>NOT(ISERROR(SEARCH("Off Target",I112)))</formula>
    </cfRule>
    <cfRule type="containsText" dxfId="26" priority="10" operator="containsText" text="On Track to be Achieved">
      <formula>NOT(ISERROR(SEARCH("On Track to be Achieved",I112)))</formula>
    </cfRule>
    <cfRule type="containsText" dxfId="25" priority="11" operator="containsText" text="Fully Achieved">
      <formula>NOT(ISERROR(SEARCH("Fully Achieved",I112)))</formula>
    </cfRule>
    <cfRule type="containsText" dxfId="24" priority="12" operator="containsText" text="Not yet due">
      <formula>NOT(ISERROR(SEARCH("Not yet due",I112)))</formula>
    </cfRule>
    <cfRule type="containsText" dxfId="23" priority="13" operator="containsText" text="Not Yet Due">
      <formula>NOT(ISERROR(SEARCH("Not Yet Due",I112)))</formula>
    </cfRule>
    <cfRule type="containsText" dxfId="22" priority="14" operator="containsText" text="Deferred">
      <formula>NOT(ISERROR(SEARCH("Deferred",I112)))</formula>
    </cfRule>
    <cfRule type="containsText" dxfId="21" priority="15" operator="containsText" text="Deleted">
      <formula>NOT(ISERROR(SEARCH("Deleted",I112)))</formula>
    </cfRule>
    <cfRule type="containsText" dxfId="20" priority="16" operator="containsText" text="In Danger of Falling Behind Target">
      <formula>NOT(ISERROR(SEARCH("In Danger of Falling Behind Target",I112)))</formula>
    </cfRule>
    <cfRule type="containsText" dxfId="19" priority="17" operator="containsText" text="Not yet due">
      <formula>NOT(ISERROR(SEARCH("Not yet due",I112)))</formula>
    </cfRule>
    <cfRule type="containsText" dxfId="18" priority="18" operator="containsText" text="Completed Behind Schedule">
      <formula>NOT(ISERROR(SEARCH("Completed Behind Schedule",I112)))</formula>
    </cfRule>
    <cfRule type="containsText" dxfId="17" priority="19" operator="containsText" text="Off Target">
      <formula>NOT(ISERROR(SEARCH("Off Target",I112)))</formula>
    </cfRule>
    <cfRule type="containsText" dxfId="16" priority="20" operator="containsText" text="In Danger of Falling Behind Target">
      <formula>NOT(ISERROR(SEARCH("In Danger of Falling Behind Target",I112)))</formula>
    </cfRule>
    <cfRule type="containsText" dxfId="15" priority="21" operator="containsText" text="On Track to be Achieved">
      <formula>NOT(ISERROR(SEARCH("On Track to be Achieved",I112)))</formula>
    </cfRule>
    <cfRule type="containsText" dxfId="14" priority="22" operator="containsText" text="Fully Achieved">
      <formula>NOT(ISERROR(SEARCH("Fully Achieved",I112)))</formula>
    </cfRule>
    <cfRule type="containsText" dxfId="13" priority="23" operator="containsText" text="Update not Provided">
      <formula>NOT(ISERROR(SEARCH("Update not Provided",I112)))</formula>
    </cfRule>
    <cfRule type="containsText" dxfId="12" priority="24" operator="containsText" text="Not yet due">
      <formula>NOT(ISERROR(SEARCH("Not yet due",I112)))</formula>
    </cfRule>
    <cfRule type="containsText" dxfId="11" priority="25" operator="containsText" text="Completed Behind Schedule">
      <formula>NOT(ISERROR(SEARCH("Completed Behind Schedule",I112)))</formula>
    </cfRule>
    <cfRule type="containsText" dxfId="10" priority="26" operator="containsText" text="Off Target">
      <formula>NOT(ISERROR(SEARCH("Off Target",I112)))</formula>
    </cfRule>
    <cfRule type="containsText" dxfId="9" priority="27" operator="containsText" text="In Danger of Falling Behind Target">
      <formula>NOT(ISERROR(SEARCH("In Danger of Falling Behind Target",I112)))</formula>
    </cfRule>
    <cfRule type="containsText" dxfId="8" priority="28" operator="containsText" text="On Track to be Achieved">
      <formula>NOT(ISERROR(SEARCH("On Track to be Achieved",I112)))</formula>
    </cfRule>
    <cfRule type="containsText" dxfId="7" priority="29" operator="containsText" text="Fully Achieved">
      <formula>NOT(ISERROR(SEARCH("Fully Achieved",I112)))</formula>
    </cfRule>
    <cfRule type="containsText" dxfId="6" priority="30" operator="containsText" text="Fully Achieved">
      <formula>NOT(ISERROR(SEARCH("Fully Achieved",I112)))</formula>
    </cfRule>
    <cfRule type="containsText" dxfId="5" priority="31" operator="containsText" text="Fully Achieved">
      <formula>NOT(ISERROR(SEARCH("Fully Achieved",I112)))</formula>
    </cfRule>
    <cfRule type="containsText" dxfId="4" priority="32" operator="containsText" text="Deferred">
      <formula>NOT(ISERROR(SEARCH("Deferred",I112)))</formula>
    </cfRule>
    <cfRule type="containsText" dxfId="3" priority="33" operator="containsText" text="Deleted">
      <formula>NOT(ISERROR(SEARCH("Deleted",I112)))</formula>
    </cfRule>
    <cfRule type="containsText" dxfId="2" priority="34" operator="containsText" text="In Danger of Falling Behind Target">
      <formula>NOT(ISERROR(SEARCH("In Danger of Falling Behind Target",I112)))</formula>
    </cfRule>
    <cfRule type="containsText" dxfId="1" priority="35" operator="containsText" text="Not yet due">
      <formula>NOT(ISERROR(SEARCH("Not yet due",I112)))</formula>
    </cfRule>
    <cfRule type="containsText" dxfId="0" priority="36" operator="containsText" text="Update not Provided">
      <formula>NOT(ISERROR(SEARCH("Update not Provided",I112)))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$A$133:$A$142</formula1>
    </dataValidation>
    <dataValidation type="list" allowBlank="1" showInputMessage="1" showErrorMessage="1" promptTitle="Is target on track?" prompt="Please choose an option from the drop down list that best describes the current situation for this target." sqref="R85 M85">
      <formula1>$A$151:$A$158</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P1" zoomScale="70" zoomScaleNormal="70" workbookViewId="0">
      <pane ySplit="1" topLeftCell="A2" activePane="bottomLeft" state="frozen"/>
      <selection pane="bottomLeft" activeCell="P46" sqref="A46:XFD87"/>
    </sheetView>
  </sheetViews>
  <sheetFormatPr defaultColWidth="9.140625" defaultRowHeight="14.25"/>
  <cols>
    <col min="1" max="1" width="2.140625" style="62" customWidth="1"/>
    <col min="2" max="2" width="38.85546875" style="62" customWidth="1"/>
    <col min="3" max="3" width="13.7109375" style="86" customWidth="1"/>
    <col min="4" max="4" width="13.85546875" style="86" customWidth="1"/>
    <col min="5" max="5" width="16.28515625" style="86" customWidth="1"/>
    <col min="6" max="6" width="14.140625" style="86" customWidth="1"/>
    <col min="7" max="7" width="17.140625" style="86" customWidth="1"/>
    <col min="8" max="8" width="4.7109375" style="86" customWidth="1"/>
    <col min="9" max="9" width="40.140625" style="86" customWidth="1"/>
    <col min="10" max="14" width="17.140625" style="86" customWidth="1"/>
    <col min="15" max="15" width="4.7109375" style="86" customWidth="1"/>
    <col min="16" max="16" width="40.140625" style="86" customWidth="1"/>
    <col min="17" max="20" width="17.140625" style="86" customWidth="1"/>
    <col min="21" max="21" width="17.140625" style="96" customWidth="1"/>
    <col min="22" max="22" width="4.7109375" style="86" customWidth="1"/>
    <col min="23" max="23" width="55.28515625" style="86" customWidth="1"/>
    <col min="24" max="24" width="14.5703125" style="86" customWidth="1"/>
    <col min="25" max="27" width="17.140625" style="86" customWidth="1"/>
    <col min="28" max="28" width="17.140625" style="268" customWidth="1"/>
    <col min="29" max="32" width="9.140625" style="62" customWidth="1"/>
    <col min="33" max="16384" width="9.140625" style="62"/>
  </cols>
  <sheetData>
    <row r="1" spans="2:32" s="60" customFormat="1" ht="20.25">
      <c r="B1" s="68"/>
      <c r="C1" s="319" t="s">
        <v>14</v>
      </c>
      <c r="D1" s="59"/>
      <c r="E1" s="59"/>
      <c r="F1" s="59"/>
      <c r="G1" s="59"/>
      <c r="H1" s="320"/>
      <c r="I1" s="319" t="s">
        <v>15</v>
      </c>
      <c r="J1" s="321"/>
      <c r="K1" s="103"/>
      <c r="L1" s="103"/>
      <c r="M1" s="103"/>
      <c r="N1" s="103"/>
      <c r="O1" s="320"/>
      <c r="P1" s="103" t="s">
        <v>16</v>
      </c>
      <c r="Q1" s="103"/>
      <c r="R1" s="103"/>
      <c r="S1" s="103"/>
      <c r="T1" s="103"/>
      <c r="U1" s="91"/>
      <c r="V1" s="320"/>
      <c r="W1" s="103" t="s">
        <v>17</v>
      </c>
      <c r="X1" s="103"/>
      <c r="Y1" s="103"/>
      <c r="Z1" s="103"/>
      <c r="AA1" s="103"/>
      <c r="AB1" s="262"/>
    </row>
    <row r="2" spans="2:32" ht="15.75">
      <c r="B2" s="69"/>
      <c r="C2" s="61"/>
      <c r="D2" s="61"/>
      <c r="E2" s="61"/>
      <c r="F2" s="61"/>
      <c r="G2" s="61"/>
      <c r="I2" s="104"/>
      <c r="J2" s="104"/>
      <c r="K2" s="104"/>
      <c r="L2" s="104"/>
      <c r="M2" s="104"/>
      <c r="N2" s="104"/>
      <c r="P2" s="104"/>
      <c r="Q2" s="104"/>
      <c r="R2" s="104"/>
      <c r="S2" s="104"/>
      <c r="T2" s="104"/>
      <c r="U2" s="92"/>
      <c r="W2" s="104"/>
      <c r="X2" s="104"/>
      <c r="Y2" s="104"/>
      <c r="Z2" s="104"/>
      <c r="AA2" s="104"/>
      <c r="AB2" s="263"/>
    </row>
    <row r="3" spans="2:32" ht="15.75">
      <c r="B3" s="71" t="s">
        <v>18</v>
      </c>
      <c r="C3" s="200"/>
      <c r="D3" s="200"/>
      <c r="E3" s="200"/>
      <c r="F3" s="200"/>
      <c r="G3" s="201"/>
      <c r="I3" s="368" t="s">
        <v>18</v>
      </c>
      <c r="J3" s="200"/>
      <c r="K3" s="200"/>
      <c r="L3" s="200"/>
      <c r="M3" s="200"/>
      <c r="N3" s="201"/>
      <c r="P3" s="368" t="s">
        <v>18</v>
      </c>
      <c r="Q3" s="84"/>
      <c r="R3" s="84"/>
      <c r="S3" s="84"/>
      <c r="T3" s="84"/>
      <c r="U3" s="93"/>
      <c r="W3" s="368" t="s">
        <v>18</v>
      </c>
      <c r="X3" s="84"/>
      <c r="Y3" s="84"/>
      <c r="Z3" s="84"/>
      <c r="AA3" s="84"/>
      <c r="AB3" s="264"/>
    </row>
    <row r="4" spans="2:32" s="86" customFormat="1" ht="39" customHeight="1">
      <c r="B4" s="85" t="s">
        <v>24</v>
      </c>
      <c r="C4" s="85" t="s">
        <v>25</v>
      </c>
      <c r="D4" s="85" t="s">
        <v>19</v>
      </c>
      <c r="E4" s="85" t="s">
        <v>50</v>
      </c>
      <c r="F4" s="85" t="s">
        <v>30</v>
      </c>
      <c r="G4" s="85" t="s">
        <v>51</v>
      </c>
      <c r="I4" s="85" t="s">
        <v>24</v>
      </c>
      <c r="J4" s="85" t="s">
        <v>25</v>
      </c>
      <c r="K4" s="85" t="s">
        <v>19</v>
      </c>
      <c r="L4" s="85" t="s">
        <v>50</v>
      </c>
      <c r="M4" s="85" t="s">
        <v>30</v>
      </c>
      <c r="N4" s="85" t="s">
        <v>51</v>
      </c>
      <c r="P4" s="85" t="s">
        <v>24</v>
      </c>
      <c r="Q4" s="85" t="s">
        <v>25</v>
      </c>
      <c r="R4" s="85" t="s">
        <v>19</v>
      </c>
      <c r="S4" s="85" t="s">
        <v>50</v>
      </c>
      <c r="T4" s="85" t="s">
        <v>30</v>
      </c>
      <c r="U4" s="94" t="s">
        <v>51</v>
      </c>
      <c r="W4" s="85" t="s">
        <v>24</v>
      </c>
      <c r="X4" s="85" t="s">
        <v>25</v>
      </c>
      <c r="Y4" s="85" t="s">
        <v>19</v>
      </c>
      <c r="Z4" s="85" t="s">
        <v>50</v>
      </c>
      <c r="AA4" s="85" t="s">
        <v>30</v>
      </c>
      <c r="AB4" s="265" t="s">
        <v>51</v>
      </c>
    </row>
    <row r="5" spans="2:32" s="65" customFormat="1" ht="5.25" customHeight="1">
      <c r="B5" s="190"/>
      <c r="C5" s="202"/>
      <c r="D5" s="202"/>
      <c r="E5" s="202"/>
      <c r="F5" s="202"/>
      <c r="G5" s="202"/>
      <c r="H5" s="1"/>
      <c r="I5" s="202"/>
      <c r="J5" s="202"/>
      <c r="K5" s="202"/>
      <c r="L5" s="202"/>
      <c r="M5" s="202"/>
      <c r="N5" s="202"/>
      <c r="O5" s="1"/>
      <c r="P5" s="202"/>
      <c r="Q5" s="202"/>
      <c r="R5" s="202"/>
      <c r="S5" s="202"/>
      <c r="T5" s="202"/>
      <c r="U5" s="203"/>
      <c r="V5" s="1"/>
      <c r="W5" s="202"/>
      <c r="X5" s="202"/>
      <c r="Y5" s="202"/>
      <c r="Z5" s="202"/>
      <c r="AA5" s="202"/>
      <c r="AB5" s="266"/>
    </row>
    <row r="6" spans="2:32" ht="30.75" customHeight="1">
      <c r="B6" s="312" t="s">
        <v>47</v>
      </c>
      <c r="C6" s="322">
        <f>COUNTIF('1. ALL DATA'!$I$5:$I$116,"Fully Achieved")</f>
        <v>18</v>
      </c>
      <c r="D6" s="323">
        <f>C6/C20</f>
        <v>0.16363636363636364</v>
      </c>
      <c r="E6" s="520">
        <f>D6+D7</f>
        <v>0.72727272727272729</v>
      </c>
      <c r="F6" s="323">
        <f>C6/C21</f>
        <v>0.22222222222222221</v>
      </c>
      <c r="G6" s="517">
        <f>F6+F7</f>
        <v>0.98765432098765427</v>
      </c>
      <c r="I6" s="356" t="s">
        <v>47</v>
      </c>
      <c r="J6" s="322">
        <f>COUNTIF('1. ALL DATA'!$N$5:$N$116,"Fully Achieved")</f>
        <v>44</v>
      </c>
      <c r="K6" s="323">
        <f>J6/J20</f>
        <v>0.4</v>
      </c>
      <c r="L6" s="520">
        <f>K6+K7</f>
        <v>0.89090909090909087</v>
      </c>
      <c r="M6" s="323">
        <f>J6/J21</f>
        <v>0.44444444444444442</v>
      </c>
      <c r="N6" s="517">
        <f>M6+M7</f>
        <v>0.98989898989898983</v>
      </c>
      <c r="P6" s="361" t="s">
        <v>47</v>
      </c>
      <c r="Q6" s="322">
        <f>COUNTIF('1. ALL DATA'!S5:S116,"Fully Achieved")</f>
        <v>58</v>
      </c>
      <c r="R6" s="323">
        <f>Q6/Q20</f>
        <v>0.52727272727272723</v>
      </c>
      <c r="S6" s="520">
        <f>R6+R7</f>
        <v>0.91818181818181821</v>
      </c>
      <c r="T6" s="323">
        <f>Q6/Q21</f>
        <v>0.54716981132075471</v>
      </c>
      <c r="U6" s="517">
        <f>T6+T7</f>
        <v>0.95283018867924529</v>
      </c>
      <c r="W6" s="361" t="s">
        <v>42</v>
      </c>
      <c r="X6" s="324">
        <f>COUNTIF('1. ALL DATA'!W5:W116,"Fully Achieved")</f>
        <v>100</v>
      </c>
      <c r="Y6" s="323">
        <f>X6/$X$20</f>
        <v>0.90909090909090906</v>
      </c>
      <c r="Z6" s="520">
        <f>Y6+Y7</f>
        <v>0.94545454545454544</v>
      </c>
      <c r="AA6" s="323">
        <f>X6/$X$21</f>
        <v>0.91743119266055051</v>
      </c>
      <c r="AB6" s="517">
        <f>AA6+AA7</f>
        <v>0.95412844036697253</v>
      </c>
    </row>
    <row r="7" spans="2:32" ht="30.75" customHeight="1">
      <c r="B7" s="312" t="s">
        <v>43</v>
      </c>
      <c r="C7" s="322">
        <f>COUNTIF('1. ALL DATA'!I5:I116,"On Track to be Achieved")</f>
        <v>62</v>
      </c>
      <c r="D7" s="323">
        <f>C7/C20</f>
        <v>0.5636363636363636</v>
      </c>
      <c r="E7" s="520"/>
      <c r="F7" s="323">
        <f>C7/C21</f>
        <v>0.76543209876543206</v>
      </c>
      <c r="G7" s="517"/>
      <c r="I7" s="356" t="s">
        <v>43</v>
      </c>
      <c r="J7" s="322">
        <f>COUNTIF('1. ALL DATA'!N5:N116,"On Track to be Achieved")</f>
        <v>54</v>
      </c>
      <c r="K7" s="323">
        <f>J7/J20</f>
        <v>0.49090909090909091</v>
      </c>
      <c r="L7" s="520"/>
      <c r="M7" s="323">
        <f>J7/J21</f>
        <v>0.54545454545454541</v>
      </c>
      <c r="N7" s="517"/>
      <c r="P7" s="361" t="s">
        <v>43</v>
      </c>
      <c r="Q7" s="322">
        <f>COUNTIF('1. ALL DATA'!S5:S116,"On Track to be Achieved")</f>
        <v>43</v>
      </c>
      <c r="R7" s="323">
        <f>Q7/Q20</f>
        <v>0.39090909090909093</v>
      </c>
      <c r="S7" s="520"/>
      <c r="T7" s="323">
        <f>Q7/Q21</f>
        <v>0.40566037735849059</v>
      </c>
      <c r="U7" s="517"/>
      <c r="W7" s="361" t="s">
        <v>84</v>
      </c>
      <c r="X7" s="324">
        <f>COUNTIF('1. ALL DATA'!W5:W116,"Numerical Outturn Within 5% Tolerance")</f>
        <v>4</v>
      </c>
      <c r="Y7" s="323">
        <f>X7/$X$20</f>
        <v>3.6363636363636362E-2</v>
      </c>
      <c r="Z7" s="520"/>
      <c r="AA7" s="323">
        <f>X7/$X$21</f>
        <v>3.669724770642202E-2</v>
      </c>
      <c r="AB7" s="517"/>
    </row>
    <row r="8" spans="2:32" s="63" customFormat="1" ht="6" customHeight="1">
      <c r="B8" s="54"/>
      <c r="C8" s="325"/>
      <c r="D8" s="219"/>
      <c r="E8" s="219"/>
      <c r="F8" s="219"/>
      <c r="G8" s="55"/>
      <c r="H8" s="326"/>
      <c r="I8" s="357"/>
      <c r="J8" s="325"/>
      <c r="K8" s="219"/>
      <c r="L8" s="219"/>
      <c r="M8" s="219"/>
      <c r="N8" s="55"/>
      <c r="O8" s="326"/>
      <c r="P8" s="362"/>
      <c r="Q8" s="325"/>
      <c r="R8" s="219"/>
      <c r="S8" s="219"/>
      <c r="T8" s="219"/>
      <c r="U8" s="55"/>
      <c r="V8" s="326"/>
      <c r="W8" s="369"/>
      <c r="X8" s="57"/>
      <c r="Y8" s="219"/>
      <c r="Z8" s="219"/>
      <c r="AA8" s="219"/>
      <c r="AB8" s="55"/>
      <c r="AD8" s="65"/>
      <c r="AE8" s="65"/>
      <c r="AF8" s="65"/>
    </row>
    <row r="9" spans="2:32" ht="18.75" customHeight="1">
      <c r="B9" s="518" t="s">
        <v>27</v>
      </c>
      <c r="C9" s="519">
        <f>COUNTIF('1. ALL DATA'!I5:I116,"in danger of falling behind target")</f>
        <v>1</v>
      </c>
      <c r="D9" s="520">
        <f>C9/C20</f>
        <v>9.0909090909090905E-3</v>
      </c>
      <c r="E9" s="520">
        <f>D9</f>
        <v>9.0909090909090905E-3</v>
      </c>
      <c r="F9" s="520">
        <f>C9/C21</f>
        <v>1.2345679012345678E-2</v>
      </c>
      <c r="G9" s="522">
        <f>F9</f>
        <v>1.2345679012345678E-2</v>
      </c>
      <c r="I9" s="518" t="s">
        <v>27</v>
      </c>
      <c r="J9" s="519">
        <f>COUNTIF('1. ALL DATA'!N5:N116,"in danger of falling behind target")</f>
        <v>1</v>
      </c>
      <c r="K9" s="520">
        <f>J9/J20</f>
        <v>9.0909090909090905E-3</v>
      </c>
      <c r="L9" s="520">
        <f>K9</f>
        <v>9.0909090909090905E-3</v>
      </c>
      <c r="M9" s="520">
        <f>J9/J21</f>
        <v>1.0101010101010102E-2</v>
      </c>
      <c r="N9" s="522">
        <f>M9</f>
        <v>1.0101010101010102E-2</v>
      </c>
      <c r="P9" s="518" t="s">
        <v>27</v>
      </c>
      <c r="Q9" s="519">
        <f>COUNTIF('1. ALL DATA'!S5:S116,"in danger of falling behind target")</f>
        <v>5</v>
      </c>
      <c r="R9" s="520">
        <f>Q9/Q20</f>
        <v>4.5454545454545456E-2</v>
      </c>
      <c r="S9" s="520">
        <f>R9</f>
        <v>4.5454545454545456E-2</v>
      </c>
      <c r="T9" s="520">
        <f>Q9/Q21</f>
        <v>4.716981132075472E-2</v>
      </c>
      <c r="U9" s="522">
        <f>T9</f>
        <v>4.716981132075472E-2</v>
      </c>
      <c r="W9" s="363" t="s">
        <v>85</v>
      </c>
      <c r="X9" s="324">
        <f>COUNTIF('1. ALL DATA'!W5:W116,"Numerical Outturn Within 10% Tolerance")</f>
        <v>0</v>
      </c>
      <c r="Y9" s="323">
        <f>X9/$X$20</f>
        <v>0</v>
      </c>
      <c r="Z9" s="523">
        <f>SUM(Y9:Y11)</f>
        <v>3.6363636363636362E-2</v>
      </c>
      <c r="AA9" s="328">
        <f>X9/$X$21</f>
        <v>0</v>
      </c>
      <c r="AB9" s="522">
        <f>SUM(AA9:AA11)</f>
        <v>3.669724770642202E-2</v>
      </c>
      <c r="AD9" s="273"/>
    </row>
    <row r="10" spans="2:32" ht="19.5" customHeight="1">
      <c r="B10" s="518"/>
      <c r="C10" s="519"/>
      <c r="D10" s="520"/>
      <c r="E10" s="520"/>
      <c r="F10" s="520"/>
      <c r="G10" s="522"/>
      <c r="I10" s="518"/>
      <c r="J10" s="519"/>
      <c r="K10" s="520"/>
      <c r="L10" s="520"/>
      <c r="M10" s="520"/>
      <c r="N10" s="522"/>
      <c r="P10" s="518"/>
      <c r="Q10" s="519"/>
      <c r="R10" s="520"/>
      <c r="S10" s="520"/>
      <c r="T10" s="520"/>
      <c r="U10" s="522"/>
      <c r="W10" s="363" t="s">
        <v>86</v>
      </c>
      <c r="X10" s="324">
        <f>COUNTIF('1. ALL DATA'!W5:W116,"Target Partially Met")</f>
        <v>4</v>
      </c>
      <c r="Y10" s="323">
        <f>X10/$X$20</f>
        <v>3.6363636363636362E-2</v>
      </c>
      <c r="Z10" s="524"/>
      <c r="AA10" s="328">
        <f>X10/$X$21</f>
        <v>3.669724770642202E-2</v>
      </c>
      <c r="AB10" s="522"/>
      <c r="AD10" s="273"/>
    </row>
    <row r="11" spans="2:32" ht="19.5" customHeight="1">
      <c r="B11" s="518"/>
      <c r="C11" s="519"/>
      <c r="D11" s="520"/>
      <c r="E11" s="520"/>
      <c r="F11" s="520"/>
      <c r="G11" s="522"/>
      <c r="I11" s="518"/>
      <c r="J11" s="519"/>
      <c r="K11" s="520"/>
      <c r="L11" s="520"/>
      <c r="M11" s="520"/>
      <c r="N11" s="522"/>
      <c r="P11" s="518"/>
      <c r="Q11" s="519"/>
      <c r="R11" s="520"/>
      <c r="S11" s="520"/>
      <c r="T11" s="520"/>
      <c r="U11" s="522"/>
      <c r="W11" s="363" t="s">
        <v>88</v>
      </c>
      <c r="X11" s="324">
        <f>COUNTIF('1. ALL DATA'!W5:W116,"Completion Date Within Reasonable Tolerance")</f>
        <v>0</v>
      </c>
      <c r="Y11" s="323">
        <f>X11/$X$20</f>
        <v>0</v>
      </c>
      <c r="Z11" s="525"/>
      <c r="AA11" s="328">
        <f>X11/$X$21</f>
        <v>0</v>
      </c>
      <c r="AB11" s="522"/>
      <c r="AD11" s="273"/>
    </row>
    <row r="12" spans="2:32" s="65" customFormat="1" ht="6" customHeight="1">
      <c r="B12" s="190"/>
      <c r="C12" s="202"/>
      <c r="D12" s="316"/>
      <c r="E12" s="316"/>
      <c r="F12" s="316"/>
      <c r="G12" s="192"/>
      <c r="H12" s="1"/>
      <c r="I12" s="359"/>
      <c r="J12" s="202"/>
      <c r="K12" s="316"/>
      <c r="L12" s="316"/>
      <c r="M12" s="316"/>
      <c r="N12" s="192"/>
      <c r="O12" s="1"/>
      <c r="P12" s="364"/>
      <c r="Q12" s="202"/>
      <c r="R12" s="316"/>
      <c r="S12" s="316"/>
      <c r="T12" s="316"/>
      <c r="U12" s="192"/>
      <c r="V12" s="1"/>
      <c r="W12" s="369"/>
      <c r="X12" s="202"/>
      <c r="Y12" s="316"/>
      <c r="Z12" s="316"/>
      <c r="AA12" s="316"/>
      <c r="AB12" s="192"/>
      <c r="AD12" s="194"/>
    </row>
    <row r="13" spans="2:32" ht="29.25" customHeight="1">
      <c r="B13" s="412" t="s">
        <v>44</v>
      </c>
      <c r="C13" s="322">
        <f>COUNTIF('1. ALL DATA'!I5:I116,"completed behind schedule")</f>
        <v>0</v>
      </c>
      <c r="D13" s="323">
        <f>C13/C20</f>
        <v>0</v>
      </c>
      <c r="E13" s="520">
        <f>D13+D14</f>
        <v>0</v>
      </c>
      <c r="F13" s="323">
        <f>C13/C21</f>
        <v>0</v>
      </c>
      <c r="G13" s="521">
        <f>F13+F14</f>
        <v>0</v>
      </c>
      <c r="I13" s="413" t="s">
        <v>44</v>
      </c>
      <c r="J13" s="322">
        <f>COUNTIF('1. ALL DATA'!N5:N116,"completed behind schedule")</f>
        <v>0</v>
      </c>
      <c r="K13" s="323">
        <f>J13/J20</f>
        <v>0</v>
      </c>
      <c r="L13" s="520">
        <f>K13+K14</f>
        <v>0</v>
      </c>
      <c r="M13" s="323">
        <f>J13/J21</f>
        <v>0</v>
      </c>
      <c r="N13" s="521">
        <f>M13+M14</f>
        <v>0</v>
      </c>
      <c r="P13" s="414" t="s">
        <v>44</v>
      </c>
      <c r="Q13" s="322">
        <f>COUNTIF('1. ALL DATA'!S5:S116,"completed behind schedule")</f>
        <v>0</v>
      </c>
      <c r="R13" s="323">
        <f>Q13/Q20</f>
        <v>0</v>
      </c>
      <c r="S13" s="520">
        <f>R13+R14</f>
        <v>0</v>
      </c>
      <c r="T13" s="323">
        <f>Q13/Q21</f>
        <v>0</v>
      </c>
      <c r="U13" s="521">
        <f>T13+T14</f>
        <v>0</v>
      </c>
      <c r="W13" s="414" t="s">
        <v>87</v>
      </c>
      <c r="X13" s="329">
        <f>COUNTIF('1. ALL DATA'!W5:W116,"Completed Significantly After Target Deadline")</f>
        <v>0</v>
      </c>
      <c r="Y13" s="323">
        <f>X13/$X$20</f>
        <v>0</v>
      </c>
      <c r="Z13" s="520">
        <f>Y13+Y14</f>
        <v>9.0909090909090905E-3</v>
      </c>
      <c r="AA13" s="323">
        <f>X13/$X$21</f>
        <v>0</v>
      </c>
      <c r="AB13" s="521">
        <f>AA13+AA14</f>
        <v>9.1743119266055051E-3</v>
      </c>
    </row>
    <row r="14" spans="2:32" ht="29.25" customHeight="1">
      <c r="B14" s="412" t="s">
        <v>28</v>
      </c>
      <c r="C14" s="322">
        <f>COUNTIF('1. ALL DATA'!I5:I116,"off target")</f>
        <v>0</v>
      </c>
      <c r="D14" s="323">
        <f>C14/C20</f>
        <v>0</v>
      </c>
      <c r="E14" s="520"/>
      <c r="F14" s="323">
        <f>C14/C21</f>
        <v>0</v>
      </c>
      <c r="G14" s="521"/>
      <c r="I14" s="413" t="s">
        <v>28</v>
      </c>
      <c r="J14" s="322">
        <f>COUNTIF('1. ALL DATA'!N5:N116,"off target")</f>
        <v>0</v>
      </c>
      <c r="K14" s="323">
        <f>J14/J20</f>
        <v>0</v>
      </c>
      <c r="L14" s="520"/>
      <c r="M14" s="323">
        <f>J14/J21</f>
        <v>0</v>
      </c>
      <c r="N14" s="521"/>
      <c r="P14" s="414" t="s">
        <v>28</v>
      </c>
      <c r="Q14" s="322">
        <f>COUNTIF('1. ALL DATA'!S5:S116,"off target")</f>
        <v>0</v>
      </c>
      <c r="R14" s="323">
        <f>Q14/Q20</f>
        <v>0</v>
      </c>
      <c r="S14" s="520"/>
      <c r="T14" s="323">
        <f>Q14/Q21</f>
        <v>0</v>
      </c>
      <c r="U14" s="521"/>
      <c r="W14" s="414" t="s">
        <v>28</v>
      </c>
      <c r="X14" s="329">
        <f>COUNTIF('1. ALL DATA'!W5:W116,"off target")</f>
        <v>1</v>
      </c>
      <c r="Y14" s="323">
        <f>X14/$X$20</f>
        <v>9.0909090909090905E-3</v>
      </c>
      <c r="Z14" s="520"/>
      <c r="AA14" s="323">
        <f>X14/$X$21</f>
        <v>9.1743119266055051E-3</v>
      </c>
      <c r="AB14" s="521"/>
    </row>
    <row r="15" spans="2:32" s="65" customFormat="1" ht="7.5" customHeight="1">
      <c r="B15" s="190"/>
      <c r="C15" s="330"/>
      <c r="D15" s="316"/>
      <c r="E15" s="316"/>
      <c r="F15" s="316"/>
      <c r="G15" s="196"/>
      <c r="H15" s="1"/>
      <c r="I15" s="359"/>
      <c r="J15" s="330"/>
      <c r="K15" s="316"/>
      <c r="L15" s="316"/>
      <c r="M15" s="316"/>
      <c r="N15" s="196"/>
      <c r="O15" s="1"/>
      <c r="P15" s="202"/>
      <c r="Q15" s="330"/>
      <c r="R15" s="316"/>
      <c r="S15" s="316"/>
      <c r="T15" s="316"/>
      <c r="U15" s="196"/>
      <c r="V15" s="1"/>
      <c r="W15" s="331"/>
      <c r="X15" s="331"/>
      <c r="Y15" s="332"/>
      <c r="Z15" s="332"/>
      <c r="AA15" s="333"/>
      <c r="AB15" s="267"/>
    </row>
    <row r="16" spans="2:32" ht="20.25" customHeight="1">
      <c r="B16" s="49" t="s">
        <v>2</v>
      </c>
      <c r="C16" s="334">
        <f>COUNTIF('1. ALL DATA'!I5:I116,"not yet due")</f>
        <v>29</v>
      </c>
      <c r="D16" s="317">
        <f>C16/C20</f>
        <v>0.26363636363636361</v>
      </c>
      <c r="E16" s="317">
        <f>D16</f>
        <v>0.26363636363636361</v>
      </c>
      <c r="F16" s="52"/>
      <c r="G16" s="48"/>
      <c r="I16" s="349" t="s">
        <v>2</v>
      </c>
      <c r="J16" s="334">
        <f>COUNTIF('1. ALL DATA'!N5:N116,"not yet due")</f>
        <v>11</v>
      </c>
      <c r="K16" s="317">
        <f>J16/J20</f>
        <v>0.1</v>
      </c>
      <c r="L16" s="317">
        <f>K16</f>
        <v>0.1</v>
      </c>
      <c r="M16" s="52"/>
      <c r="N16" s="48"/>
      <c r="P16" s="349" t="s">
        <v>2</v>
      </c>
      <c r="Q16" s="334">
        <f>COUNTIF('1. ALL DATA'!S5:S116,"not yet due")</f>
        <v>3</v>
      </c>
      <c r="R16" s="317">
        <f>Q16/Q20</f>
        <v>2.7272727272727271E-2</v>
      </c>
      <c r="S16" s="317">
        <f>R16</f>
        <v>2.7272727272727271E-2</v>
      </c>
      <c r="T16" s="52"/>
      <c r="U16" s="100"/>
      <c r="W16" s="353" t="s">
        <v>2</v>
      </c>
      <c r="X16" s="329">
        <f>COUNTIF('1. ALL DATA'!W5:W116,"not yet due")</f>
        <v>0</v>
      </c>
      <c r="Y16" s="317">
        <f>X16/$X$20</f>
        <v>0</v>
      </c>
      <c r="Z16" s="317">
        <f>Y16</f>
        <v>0</v>
      </c>
      <c r="AA16" s="347"/>
      <c r="AB16" s="348"/>
    </row>
    <row r="17" spans="2:30" ht="20.25" customHeight="1">
      <c r="B17" s="49" t="s">
        <v>48</v>
      </c>
      <c r="C17" s="334">
        <f>COUNTIF('1. ALL DATA'!I5:I116,"update not provided")</f>
        <v>0</v>
      </c>
      <c r="D17" s="317">
        <f>C17/C20</f>
        <v>0</v>
      </c>
      <c r="E17" s="317">
        <f>D17</f>
        <v>0</v>
      </c>
      <c r="F17" s="52"/>
      <c r="G17" s="105"/>
      <c r="I17" s="349" t="s">
        <v>48</v>
      </c>
      <c r="J17" s="334">
        <f>COUNTIF('1. ALL DATA'!N5:N116,"update not provided")</f>
        <v>0</v>
      </c>
      <c r="K17" s="317">
        <f>J17/J20</f>
        <v>0</v>
      </c>
      <c r="L17" s="317">
        <f>K17</f>
        <v>0</v>
      </c>
      <c r="M17" s="52"/>
      <c r="N17" s="105"/>
      <c r="P17" s="349" t="s">
        <v>48</v>
      </c>
      <c r="Q17" s="334">
        <f>COUNTIF('1. ALL DATA'!S5:S116,"update not provided")</f>
        <v>0</v>
      </c>
      <c r="R17" s="317">
        <f>Q17/Q20</f>
        <v>0</v>
      </c>
      <c r="S17" s="317">
        <f>R17</f>
        <v>0</v>
      </c>
      <c r="T17" s="52"/>
      <c r="U17" s="101"/>
      <c r="W17" s="354" t="s">
        <v>48</v>
      </c>
      <c r="X17" s="329">
        <f>COUNTIF('1. ALL DATA'!W5:W116,"update not provided")</f>
        <v>0</v>
      </c>
      <c r="Y17" s="317">
        <f>X17/$X$20</f>
        <v>0</v>
      </c>
      <c r="Z17" s="317">
        <f>Y17</f>
        <v>0</v>
      </c>
      <c r="AA17" s="347"/>
    </row>
    <row r="18" spans="2:30" ht="15.75" customHeight="1">
      <c r="B18" s="50" t="s">
        <v>23</v>
      </c>
      <c r="C18" s="334">
        <f>COUNTIF('1. ALL DATA'!I5:I116,"deferred")</f>
        <v>0</v>
      </c>
      <c r="D18" s="318">
        <f>C18/C20</f>
        <v>0</v>
      </c>
      <c r="E18" s="318">
        <f>D18</f>
        <v>0</v>
      </c>
      <c r="F18" s="47"/>
      <c r="G18" s="48"/>
      <c r="I18" s="350" t="s">
        <v>23</v>
      </c>
      <c r="J18" s="334">
        <f>COUNTIF('1. ALL DATA'!N5:N116,"deferred")</f>
        <v>0</v>
      </c>
      <c r="K18" s="318">
        <f>J18/J20</f>
        <v>0</v>
      </c>
      <c r="L18" s="318">
        <f>K18</f>
        <v>0</v>
      </c>
      <c r="M18" s="47"/>
      <c r="N18" s="48"/>
      <c r="P18" s="350" t="s">
        <v>23</v>
      </c>
      <c r="Q18" s="334">
        <f>COUNTIF('1. ALL DATA'!S5:S116,"deferred")</f>
        <v>0</v>
      </c>
      <c r="R18" s="318">
        <f>Q18/Q20</f>
        <v>0</v>
      </c>
      <c r="S18" s="318">
        <f>R18</f>
        <v>0</v>
      </c>
      <c r="T18" s="47"/>
      <c r="U18" s="100"/>
      <c r="W18" s="350" t="s">
        <v>23</v>
      </c>
      <c r="X18" s="329">
        <f>COUNTIF('1. ALL DATA'!W5:W116,"deferred")</f>
        <v>0</v>
      </c>
      <c r="Y18" s="318">
        <f>X18/$X$20</f>
        <v>0</v>
      </c>
      <c r="Z18" s="318">
        <f>Y18</f>
        <v>0</v>
      </c>
      <c r="AA18" s="347"/>
      <c r="AB18" s="269"/>
      <c r="AD18" s="273"/>
    </row>
    <row r="19" spans="2:30" ht="15.75" customHeight="1">
      <c r="B19" s="50" t="s">
        <v>29</v>
      </c>
      <c r="C19" s="334">
        <f>COUNTIF('1. ALL DATA'!I6:I116,"deleted")</f>
        <v>0</v>
      </c>
      <c r="D19" s="335">
        <f>C19/C20</f>
        <v>0</v>
      </c>
      <c r="E19" s="318">
        <f>D19</f>
        <v>0</v>
      </c>
      <c r="F19" s="47"/>
      <c r="G19" s="270" t="s">
        <v>64</v>
      </c>
      <c r="I19" s="350" t="s">
        <v>29</v>
      </c>
      <c r="J19" s="334">
        <f>COUNTIF('1. ALL DATA'!N6:N116,"deleted")</f>
        <v>0</v>
      </c>
      <c r="K19" s="318">
        <f>J19/J20</f>
        <v>0</v>
      </c>
      <c r="L19" s="318">
        <f>K19</f>
        <v>0</v>
      </c>
      <c r="M19" s="47"/>
      <c r="N19" s="270" t="s">
        <v>64</v>
      </c>
      <c r="P19" s="350" t="s">
        <v>29</v>
      </c>
      <c r="Q19" s="334">
        <f>COUNTIF('1. ALL DATA'!S5:S116,"deleted")</f>
        <v>1</v>
      </c>
      <c r="R19" s="318">
        <f>Q19/Q20</f>
        <v>9.0909090909090905E-3</v>
      </c>
      <c r="S19" s="318">
        <f>R19</f>
        <v>9.0909090909090905E-3</v>
      </c>
      <c r="T19" s="47"/>
      <c r="U19" s="270" t="s">
        <v>64</v>
      </c>
      <c r="W19" s="350" t="s">
        <v>29</v>
      </c>
      <c r="X19" s="329">
        <f>COUNTIF('1. ALL DATA'!W5:W116,"deleted")</f>
        <v>1</v>
      </c>
      <c r="Y19" s="318">
        <f>X19/$X$20</f>
        <v>9.0909090909090905E-3</v>
      </c>
      <c r="Z19" s="318">
        <f>Y19</f>
        <v>9.0909090909090905E-3</v>
      </c>
      <c r="AA19" s="347"/>
      <c r="AB19" s="270" t="s">
        <v>64</v>
      </c>
    </row>
    <row r="20" spans="2:30" ht="15.75" customHeight="1">
      <c r="B20" s="51" t="s">
        <v>31</v>
      </c>
      <c r="C20" s="336">
        <f>SUM(C6:C19)</f>
        <v>110</v>
      </c>
      <c r="D20" s="47"/>
      <c r="E20" s="47"/>
      <c r="F20" s="48"/>
      <c r="G20" s="48"/>
      <c r="I20" s="351" t="s">
        <v>31</v>
      </c>
      <c r="J20" s="336">
        <f>SUM(J6:J19)</f>
        <v>110</v>
      </c>
      <c r="K20" s="47"/>
      <c r="L20" s="47"/>
      <c r="M20" s="48"/>
      <c r="N20" s="48"/>
      <c r="P20" s="351" t="s">
        <v>31</v>
      </c>
      <c r="Q20" s="336">
        <f>SUM(Q6:Q19)</f>
        <v>110</v>
      </c>
      <c r="R20" s="47"/>
      <c r="S20" s="47"/>
      <c r="T20" s="48"/>
      <c r="U20" s="100"/>
      <c r="W20" s="351" t="s">
        <v>31</v>
      </c>
      <c r="X20" s="337">
        <f>SUM(X6:X19)</f>
        <v>110</v>
      </c>
      <c r="Y20" s="47"/>
      <c r="Z20" s="47"/>
      <c r="AA20" s="347"/>
      <c r="AB20" s="269"/>
    </row>
    <row r="21" spans="2:30" ht="15.75" customHeight="1">
      <c r="B21" s="51" t="s">
        <v>32</v>
      </c>
      <c r="C21" s="336">
        <f>C20-C19-C18-C17-C16</f>
        <v>81</v>
      </c>
      <c r="D21" s="48"/>
      <c r="E21" s="48"/>
      <c r="F21" s="48"/>
      <c r="G21" s="48"/>
      <c r="I21" s="351" t="s">
        <v>32</v>
      </c>
      <c r="J21" s="336">
        <f>J20-J19-J18-J17-J16</f>
        <v>99</v>
      </c>
      <c r="K21" s="48"/>
      <c r="L21" s="48"/>
      <c r="M21" s="48"/>
      <c r="N21" s="48"/>
      <c r="P21" s="351" t="s">
        <v>32</v>
      </c>
      <c r="Q21" s="336">
        <f>Q20-Q19-Q18-Q17-Q16</f>
        <v>106</v>
      </c>
      <c r="R21" s="48"/>
      <c r="S21" s="48"/>
      <c r="T21" s="48"/>
      <c r="U21" s="100"/>
      <c r="W21" s="351" t="s">
        <v>32</v>
      </c>
      <c r="X21" s="337">
        <f>X20-X19-X18-X17-X16</f>
        <v>109</v>
      </c>
      <c r="Y21" s="48"/>
      <c r="Z21" s="48"/>
      <c r="AA21" s="347"/>
      <c r="AB21" s="269"/>
      <c r="AD21" s="273"/>
    </row>
    <row r="22" spans="2:30" ht="15.75" customHeight="1">
      <c r="W22" s="352"/>
      <c r="AA22" s="347"/>
      <c r="AD22" s="273"/>
    </row>
    <row r="23" spans="2:30" ht="15.75" customHeight="1">
      <c r="AA23" s="347"/>
    </row>
    <row r="24" spans="2:30" ht="15" customHeight="1">
      <c r="AA24" s="347"/>
    </row>
    <row r="25" spans="2:30" ht="19.5" customHeight="1">
      <c r="B25" s="205" t="s">
        <v>250</v>
      </c>
      <c r="C25" s="206"/>
      <c r="D25" s="206"/>
      <c r="E25" s="206"/>
      <c r="F25" s="200"/>
      <c r="G25" s="207"/>
      <c r="I25" s="360" t="s">
        <v>250</v>
      </c>
      <c r="J25" s="367"/>
      <c r="K25" s="367"/>
      <c r="L25" s="367"/>
      <c r="M25" s="200"/>
      <c r="N25" s="201"/>
      <c r="P25" s="365" t="s">
        <v>250</v>
      </c>
      <c r="Q25" s="366"/>
      <c r="R25" s="366"/>
      <c r="S25" s="366"/>
      <c r="T25" s="84"/>
      <c r="U25" s="93"/>
      <c r="W25" s="365" t="s">
        <v>250</v>
      </c>
      <c r="X25" s="84"/>
      <c r="Y25" s="84"/>
      <c r="Z25" s="84"/>
      <c r="AA25" s="84"/>
      <c r="AB25" s="264"/>
    </row>
    <row r="26" spans="2:30" ht="42" customHeight="1">
      <c r="B26" s="72" t="s">
        <v>24</v>
      </c>
      <c r="C26" s="85" t="s">
        <v>25</v>
      </c>
      <c r="D26" s="85" t="s">
        <v>19</v>
      </c>
      <c r="E26" s="85" t="s">
        <v>50</v>
      </c>
      <c r="F26" s="85" t="s">
        <v>30</v>
      </c>
      <c r="G26" s="85" t="s">
        <v>51</v>
      </c>
      <c r="I26" s="85" t="s">
        <v>24</v>
      </c>
      <c r="J26" s="85" t="s">
        <v>25</v>
      </c>
      <c r="K26" s="85" t="s">
        <v>19</v>
      </c>
      <c r="L26" s="85" t="s">
        <v>50</v>
      </c>
      <c r="M26" s="85" t="s">
        <v>30</v>
      </c>
      <c r="N26" s="85" t="s">
        <v>51</v>
      </c>
      <c r="P26" s="85" t="s">
        <v>24</v>
      </c>
      <c r="Q26" s="85" t="s">
        <v>25</v>
      </c>
      <c r="R26" s="85" t="s">
        <v>19</v>
      </c>
      <c r="S26" s="85" t="s">
        <v>50</v>
      </c>
      <c r="T26" s="85" t="s">
        <v>30</v>
      </c>
      <c r="U26" s="94" t="s">
        <v>51</v>
      </c>
      <c r="W26" s="85" t="s">
        <v>24</v>
      </c>
      <c r="X26" s="85" t="s">
        <v>25</v>
      </c>
      <c r="Y26" s="85" t="s">
        <v>19</v>
      </c>
      <c r="Z26" s="85" t="s">
        <v>50</v>
      </c>
      <c r="AA26" s="85" t="s">
        <v>30</v>
      </c>
      <c r="AB26" s="265" t="s">
        <v>51</v>
      </c>
    </row>
    <row r="27" spans="2:30" s="65" customFormat="1" ht="6" customHeight="1">
      <c r="B27" s="190"/>
      <c r="C27" s="202"/>
      <c r="D27" s="202"/>
      <c r="E27" s="202"/>
      <c r="F27" s="202"/>
      <c r="G27" s="202"/>
      <c r="H27" s="1"/>
      <c r="I27" s="202"/>
      <c r="J27" s="202"/>
      <c r="K27" s="202"/>
      <c r="L27" s="202"/>
      <c r="M27" s="202"/>
      <c r="N27" s="202"/>
      <c r="O27" s="1"/>
      <c r="P27" s="202"/>
      <c r="Q27" s="202"/>
      <c r="R27" s="202"/>
      <c r="S27" s="202"/>
      <c r="T27" s="202"/>
      <c r="U27" s="203"/>
      <c r="V27" s="1"/>
      <c r="W27" s="202"/>
      <c r="X27" s="202"/>
      <c r="Y27" s="327"/>
      <c r="Z27" s="202"/>
      <c r="AA27" s="202"/>
      <c r="AB27" s="266"/>
    </row>
    <row r="28" spans="2:30" ht="21.75" customHeight="1">
      <c r="B28" s="312" t="s">
        <v>47</v>
      </c>
      <c r="C28" s="322">
        <f>COUNTIFS('1. ALL DATA'!$Y$5:$Y$116,"Value For Money Council Services",'1. ALL DATA'!$I$5:$I$116,"Fully Achieved")</f>
        <v>6</v>
      </c>
      <c r="D28" s="323">
        <f>C28/C42</f>
        <v>0.11764705882352941</v>
      </c>
      <c r="E28" s="520">
        <f>D28+D29</f>
        <v>0.72549019607843135</v>
      </c>
      <c r="F28" s="323">
        <f>C28/C43</f>
        <v>0.16216216216216217</v>
      </c>
      <c r="G28" s="517">
        <f>F28+F29</f>
        <v>1</v>
      </c>
      <c r="I28" s="356" t="s">
        <v>47</v>
      </c>
      <c r="J28" s="322">
        <f>COUNTIFS('1. ALL DATA'!$Y$5:$Y$116,"Value For Money Council Services",'1. ALL DATA'!$N$5:$N$116,"Fully Achieved")</f>
        <v>20</v>
      </c>
      <c r="K28" s="323">
        <f>J28/J42</f>
        <v>0.39215686274509803</v>
      </c>
      <c r="L28" s="520">
        <f>K28+K29</f>
        <v>0.86274509803921573</v>
      </c>
      <c r="M28" s="323">
        <f>J28/J43</f>
        <v>0.45454545454545453</v>
      </c>
      <c r="N28" s="517">
        <f>M28+M29</f>
        <v>1</v>
      </c>
      <c r="P28" s="361" t="s">
        <v>47</v>
      </c>
      <c r="Q28" s="322">
        <f>COUNTIFS('1. ALL DATA'!$Y$5:$Y$116,"Value For Money Council Services",'1. ALL DATA'!$S$5:$S$116,"Fully Achieved")</f>
        <v>28</v>
      </c>
      <c r="R28" s="323">
        <f>Q28/Q42</f>
        <v>0.5490196078431373</v>
      </c>
      <c r="S28" s="520">
        <f>R28+R29</f>
        <v>0.88235294117647056</v>
      </c>
      <c r="T28" s="323">
        <f>Q28/Q43</f>
        <v>0.58333333333333337</v>
      </c>
      <c r="U28" s="517">
        <f>T28+T29</f>
        <v>0.9375</v>
      </c>
      <c r="W28" s="361" t="s">
        <v>42</v>
      </c>
      <c r="X28" s="324">
        <f>COUNTIFS('1. ALL DATA'!$Y$5:$Y$116,"Value For Money Council Services",'1. ALL DATA'!$W$5:$W$116,"Fully Achieved")</f>
        <v>46</v>
      </c>
      <c r="Y28" s="502">
        <f>X28/$X$42</f>
        <v>0.90196078431372551</v>
      </c>
      <c r="Z28" s="520">
        <f>Y28+Y29</f>
        <v>0.94117647058823528</v>
      </c>
      <c r="AA28" s="323">
        <f>X28/$X$43</f>
        <v>0.90196078431372551</v>
      </c>
      <c r="AB28" s="517">
        <f>AA28+AA29</f>
        <v>0.94117647058823528</v>
      </c>
    </row>
    <row r="29" spans="2:30" ht="18.75" customHeight="1">
      <c r="B29" s="312" t="s">
        <v>43</v>
      </c>
      <c r="C29" s="322">
        <f>COUNTIFS('1. ALL DATA'!$Y$5:$Y$116,"Value For Money Council Services",'1. ALL DATA'!$I$5:$I$116,"On track to be achieved")</f>
        <v>31</v>
      </c>
      <c r="D29" s="323">
        <f>C29/C42</f>
        <v>0.60784313725490191</v>
      </c>
      <c r="E29" s="520"/>
      <c r="F29" s="323">
        <f>C29/C43</f>
        <v>0.83783783783783783</v>
      </c>
      <c r="G29" s="517"/>
      <c r="I29" s="356" t="s">
        <v>43</v>
      </c>
      <c r="J29" s="322">
        <f>COUNTIFS('1. ALL DATA'!$Y$5:$Y$116,"Value For Money Council Services",'1. ALL DATA'!$N$5:$N$116,"On track to be achieved")</f>
        <v>24</v>
      </c>
      <c r="K29" s="323">
        <f>J29/J42</f>
        <v>0.47058823529411764</v>
      </c>
      <c r="L29" s="520"/>
      <c r="M29" s="323">
        <f>J29/J43</f>
        <v>0.54545454545454541</v>
      </c>
      <c r="N29" s="517"/>
      <c r="P29" s="361" t="s">
        <v>43</v>
      </c>
      <c r="Q29" s="322">
        <f>COUNTIFS('1. ALL DATA'!$Y$5:$Y$116,"Value For Money Council Services",'1. ALL DATA'!$S$5:$S$116,"On track to be achieved")</f>
        <v>17</v>
      </c>
      <c r="R29" s="323">
        <f>Q29/Q42</f>
        <v>0.33333333333333331</v>
      </c>
      <c r="S29" s="520"/>
      <c r="T29" s="323">
        <f>Q29/Q43</f>
        <v>0.35416666666666669</v>
      </c>
      <c r="U29" s="517"/>
      <c r="W29" s="361" t="s">
        <v>84</v>
      </c>
      <c r="X29" s="329">
        <f>COUNTIFS('1. ALL DATA'!$Y$5:$Y$116,"Value For Money Council Services",'1. ALL DATA'!$W$5:$W$116,"Numerical Outturn Within 5% Tolerance")</f>
        <v>2</v>
      </c>
      <c r="Y29" s="502">
        <f>X29/$X$42</f>
        <v>3.9215686274509803E-2</v>
      </c>
      <c r="Z29" s="520"/>
      <c r="AA29" s="323">
        <f>X29/$X$43</f>
        <v>3.9215686274509803E-2</v>
      </c>
      <c r="AB29" s="517"/>
    </row>
    <row r="30" spans="2:30" s="65" customFormat="1" ht="6" customHeight="1">
      <c r="B30" s="54"/>
      <c r="C30" s="330"/>
      <c r="D30" s="316"/>
      <c r="E30" s="316"/>
      <c r="F30" s="316"/>
      <c r="G30" s="55"/>
      <c r="H30" s="1"/>
      <c r="I30" s="357"/>
      <c r="J30" s="330"/>
      <c r="K30" s="316"/>
      <c r="L30" s="316"/>
      <c r="M30" s="316"/>
      <c r="N30" s="55"/>
      <c r="O30" s="1"/>
      <c r="P30" s="362"/>
      <c r="Q30" s="330"/>
      <c r="R30" s="316"/>
      <c r="S30" s="316"/>
      <c r="T30" s="316"/>
      <c r="U30" s="55"/>
      <c r="V30" s="1"/>
      <c r="W30" s="369"/>
      <c r="X30" s="202"/>
      <c r="Y30" s="57"/>
      <c r="Z30" s="316"/>
      <c r="AA30" s="316"/>
      <c r="AB30" s="55"/>
    </row>
    <row r="31" spans="2:30" ht="21" customHeight="1">
      <c r="B31" s="518" t="s">
        <v>27</v>
      </c>
      <c r="C31" s="519">
        <f>COUNTIFS('1. ALL DATA'!$Y$5:$Y$116,"Value For Money Council Services",'1. ALL DATA'!$I$5:$I$116,"In danger of falling behind target")</f>
        <v>0</v>
      </c>
      <c r="D31" s="520">
        <f>C31/C42</f>
        <v>0</v>
      </c>
      <c r="E31" s="520">
        <f>D31</f>
        <v>0</v>
      </c>
      <c r="F31" s="520">
        <f>C31/C43</f>
        <v>0</v>
      </c>
      <c r="G31" s="522">
        <f>F31</f>
        <v>0</v>
      </c>
      <c r="I31" s="518" t="s">
        <v>27</v>
      </c>
      <c r="J31" s="519">
        <f>COUNTIFS('1. ALL DATA'!$Y$5:$Y$116,"Value For Money Council Services",'1. ALL DATA'!$N$5:$N$116,"In danger of falling behind target")</f>
        <v>0</v>
      </c>
      <c r="K31" s="520">
        <f>J31/J42</f>
        <v>0</v>
      </c>
      <c r="L31" s="520">
        <f>K31</f>
        <v>0</v>
      </c>
      <c r="M31" s="520">
        <f>J31/J43</f>
        <v>0</v>
      </c>
      <c r="N31" s="522">
        <f>M31</f>
        <v>0</v>
      </c>
      <c r="P31" s="518" t="s">
        <v>27</v>
      </c>
      <c r="Q31" s="519">
        <f>COUNTIFS('1. ALL DATA'!$Y$5:$Y$116,"Value For Money Council Services",'1. ALL DATA'!$S$5:$S$116,"In danger of falling behind target")</f>
        <v>3</v>
      </c>
      <c r="R31" s="520">
        <f>Q31/Q42</f>
        <v>5.8823529411764705E-2</v>
      </c>
      <c r="S31" s="520">
        <f>R31</f>
        <v>5.8823529411764705E-2</v>
      </c>
      <c r="T31" s="520">
        <f>Q31/Q43</f>
        <v>6.25E-2</v>
      </c>
      <c r="U31" s="522">
        <f>T31</f>
        <v>6.25E-2</v>
      </c>
      <c r="W31" s="363" t="s">
        <v>85</v>
      </c>
      <c r="X31" s="329">
        <f>COUNTIFS('1. ALL DATA'!$Y$5:$Y$116,"Value For Money Council Services",'1. ALL DATA'!$W$5:$W$116,"Numerical Outturn within 10% Tolerance")</f>
        <v>0</v>
      </c>
      <c r="Y31" s="502">
        <f>X31/$X$42</f>
        <v>0</v>
      </c>
      <c r="Z31" s="520">
        <f>SUM(Y31:Y33)</f>
        <v>3.9215686274509803E-2</v>
      </c>
      <c r="AA31" s="328">
        <f>X31/$X$43</f>
        <v>0</v>
      </c>
      <c r="AB31" s="522">
        <f>SUM(AA31:AA33)</f>
        <v>3.9215686274509803E-2</v>
      </c>
    </row>
    <row r="32" spans="2:30" ht="20.25" customHeight="1">
      <c r="B32" s="518"/>
      <c r="C32" s="519"/>
      <c r="D32" s="520"/>
      <c r="E32" s="520"/>
      <c r="F32" s="520"/>
      <c r="G32" s="522"/>
      <c r="I32" s="518"/>
      <c r="J32" s="519"/>
      <c r="K32" s="520"/>
      <c r="L32" s="520"/>
      <c r="M32" s="520"/>
      <c r="N32" s="522"/>
      <c r="P32" s="518"/>
      <c r="Q32" s="519"/>
      <c r="R32" s="520"/>
      <c r="S32" s="520"/>
      <c r="T32" s="520"/>
      <c r="U32" s="522"/>
      <c r="W32" s="363" t="s">
        <v>86</v>
      </c>
      <c r="X32" s="329">
        <f>COUNTIFS('1. ALL DATA'!$Y$5:$Y$116,"Value For Money Council Services",'1. ALL DATA'!$W$5:$W$116,"Target Partially Met")</f>
        <v>2</v>
      </c>
      <c r="Y32" s="502">
        <f>X32/$X$42</f>
        <v>3.9215686274509803E-2</v>
      </c>
      <c r="Z32" s="520"/>
      <c r="AA32" s="328">
        <f>X32/$X$43</f>
        <v>3.9215686274509803E-2</v>
      </c>
      <c r="AB32" s="522"/>
    </row>
    <row r="33" spans="2:28" ht="18.75" customHeight="1">
      <c r="B33" s="518"/>
      <c r="C33" s="519"/>
      <c r="D33" s="520"/>
      <c r="E33" s="520"/>
      <c r="F33" s="520"/>
      <c r="G33" s="522"/>
      <c r="I33" s="518"/>
      <c r="J33" s="519"/>
      <c r="K33" s="520"/>
      <c r="L33" s="520"/>
      <c r="M33" s="520"/>
      <c r="N33" s="522"/>
      <c r="P33" s="518"/>
      <c r="Q33" s="519"/>
      <c r="R33" s="520"/>
      <c r="S33" s="520"/>
      <c r="T33" s="520"/>
      <c r="U33" s="522"/>
      <c r="W33" s="363" t="s">
        <v>88</v>
      </c>
      <c r="X33" s="329">
        <f>COUNTIFS('1. ALL DATA'!$Y$5:$Y$116,"Value For Money Council Services",'1. ALL DATA'!$W$5:$W$116,"Completion Date Within Reasonable Tolerance")</f>
        <v>0</v>
      </c>
      <c r="Y33" s="502">
        <f>X33/$X$42</f>
        <v>0</v>
      </c>
      <c r="Z33" s="520"/>
      <c r="AA33" s="328">
        <f>X33/$X$43</f>
        <v>0</v>
      </c>
      <c r="AB33" s="522"/>
    </row>
    <row r="34" spans="2:28" s="65" customFormat="1" ht="6" customHeight="1">
      <c r="B34" s="190"/>
      <c r="C34" s="202"/>
      <c r="D34" s="316"/>
      <c r="E34" s="316"/>
      <c r="F34" s="316"/>
      <c r="G34" s="192"/>
      <c r="H34" s="1"/>
      <c r="I34" s="359"/>
      <c r="J34" s="202"/>
      <c r="K34" s="316"/>
      <c r="L34" s="316"/>
      <c r="M34" s="316"/>
      <c r="N34" s="192"/>
      <c r="O34" s="1"/>
      <c r="P34" s="364"/>
      <c r="Q34" s="202"/>
      <c r="R34" s="316"/>
      <c r="S34" s="316"/>
      <c r="T34" s="316"/>
      <c r="U34" s="192"/>
      <c r="V34" s="1"/>
      <c r="W34" s="369"/>
      <c r="X34" s="202"/>
      <c r="Y34" s="219"/>
      <c r="Z34" s="316"/>
      <c r="AA34" s="316"/>
      <c r="AB34" s="192"/>
    </row>
    <row r="35" spans="2:28" ht="20.25" customHeight="1">
      <c r="B35" s="412" t="s">
        <v>44</v>
      </c>
      <c r="C35" s="322">
        <f>COUNTIFS('1. ALL DATA'!$Y$5:$Y$116,"Value For Money Council Services",'1. ALL DATA'!$I$5:$I$116,"Completed behind schedule")</f>
        <v>0</v>
      </c>
      <c r="D35" s="323">
        <f>C35/C42</f>
        <v>0</v>
      </c>
      <c r="E35" s="520">
        <f>D35+D36</f>
        <v>0</v>
      </c>
      <c r="F35" s="323">
        <f>C35/C43</f>
        <v>0</v>
      </c>
      <c r="G35" s="521">
        <f>F35+F36</f>
        <v>0</v>
      </c>
      <c r="I35" s="413" t="s">
        <v>44</v>
      </c>
      <c r="J35" s="322">
        <f>COUNTIFS('1. ALL DATA'!$Y$5:$Y$116,"Value For Money Council Services",'1. ALL DATA'!$N$5:$N$116,"Completed behind schedule")</f>
        <v>0</v>
      </c>
      <c r="K35" s="323">
        <f>J35/J42</f>
        <v>0</v>
      </c>
      <c r="L35" s="520">
        <f>K35+K36</f>
        <v>0</v>
      </c>
      <c r="M35" s="323">
        <f>J35/J43</f>
        <v>0</v>
      </c>
      <c r="N35" s="521">
        <f>M35+M36</f>
        <v>0</v>
      </c>
      <c r="P35" s="414" t="s">
        <v>44</v>
      </c>
      <c r="Q35" s="322">
        <f>COUNTIFS('1. ALL DATA'!$Y$5:$Y$116,"Value For Money Council Services",'1. ALL DATA'!$S$5:$S$116,"Completed behind schedule")</f>
        <v>0</v>
      </c>
      <c r="R35" s="323">
        <f>Q35/Q42</f>
        <v>0</v>
      </c>
      <c r="S35" s="520">
        <f>R35+R36</f>
        <v>0</v>
      </c>
      <c r="T35" s="323">
        <f>Q35/Q43</f>
        <v>0</v>
      </c>
      <c r="U35" s="521">
        <f>T35+T36</f>
        <v>0</v>
      </c>
      <c r="W35" s="414" t="s">
        <v>87</v>
      </c>
      <c r="X35" s="329">
        <f>COUNTIFS('1. ALL DATA'!$Y$5:$Y$116,"Value For Money Council Services",'1. ALL DATA'!$W$5:$W$116,"Completed Significantly After Target Deadline")</f>
        <v>0</v>
      </c>
      <c r="Y35" s="323">
        <f>X35/$X$42</f>
        <v>0</v>
      </c>
      <c r="Z35" s="520">
        <f>Y35+Y36</f>
        <v>1.9607843137254902E-2</v>
      </c>
      <c r="AA35" s="323">
        <f>X35/X43</f>
        <v>0</v>
      </c>
      <c r="AB35" s="521">
        <f>AA35+AA36</f>
        <v>1.9607843137254902E-2</v>
      </c>
    </row>
    <row r="36" spans="2:28" ht="20.25" customHeight="1">
      <c r="B36" s="412" t="s">
        <v>28</v>
      </c>
      <c r="C36" s="322">
        <f>COUNTIFS('1. ALL DATA'!$Y$5:$Y$116,"Value For Money Council Services",'1. ALL DATA'!$I$5:$I$116,"Off target")</f>
        <v>0</v>
      </c>
      <c r="D36" s="323">
        <f>C36/C42</f>
        <v>0</v>
      </c>
      <c r="E36" s="520"/>
      <c r="F36" s="323">
        <f>C36/C43</f>
        <v>0</v>
      </c>
      <c r="G36" s="521"/>
      <c r="I36" s="413" t="s">
        <v>28</v>
      </c>
      <c r="J36" s="322">
        <f>COUNTIFS('1. ALL DATA'!$Y$5:$Y$116,"Value For Money Council Services",'1. ALL DATA'!$N$5:$N$116,"Off target")</f>
        <v>0</v>
      </c>
      <c r="K36" s="323">
        <f>J36/J42</f>
        <v>0</v>
      </c>
      <c r="L36" s="520"/>
      <c r="M36" s="323">
        <f>J36/J43</f>
        <v>0</v>
      </c>
      <c r="N36" s="521"/>
      <c r="P36" s="414" t="s">
        <v>28</v>
      </c>
      <c r="Q36" s="322">
        <f>COUNTIFS('1. ALL DATA'!$Y$5:$Y$116,"Value For Money Council Services",'1. ALL DATA'!$S$5:$S$116,"Off target")</f>
        <v>0</v>
      </c>
      <c r="R36" s="323">
        <f>Q36/Q42</f>
        <v>0</v>
      </c>
      <c r="S36" s="520"/>
      <c r="T36" s="323">
        <f>Q36/Q43</f>
        <v>0</v>
      </c>
      <c r="U36" s="521"/>
      <c r="W36" s="414" t="s">
        <v>28</v>
      </c>
      <c r="X36" s="329">
        <f>COUNTIFS('1. ALL DATA'!$Y$5:$Y$116,"Value For Money Council Services",'1. ALL DATA'!$W$5:$W$116,"Off Target")</f>
        <v>1</v>
      </c>
      <c r="Y36" s="323">
        <f>X36/$X$42</f>
        <v>1.9607843137254902E-2</v>
      </c>
      <c r="Z36" s="520"/>
      <c r="AA36" s="323">
        <f>X36/X43</f>
        <v>1.9607843137254902E-2</v>
      </c>
      <c r="AB36" s="521"/>
    </row>
    <row r="37" spans="2:28" s="65" customFormat="1" ht="6.75" customHeight="1">
      <c r="B37" s="190"/>
      <c r="C37" s="330"/>
      <c r="D37" s="316"/>
      <c r="E37" s="316"/>
      <c r="F37" s="316"/>
      <c r="G37" s="196"/>
      <c r="H37" s="1"/>
      <c r="I37" s="359"/>
      <c r="J37" s="330"/>
      <c r="K37" s="316"/>
      <c r="L37" s="316"/>
      <c r="M37" s="316"/>
      <c r="N37" s="196"/>
      <c r="O37" s="1"/>
      <c r="P37" s="202"/>
      <c r="Q37" s="330"/>
      <c r="R37" s="316"/>
      <c r="S37" s="316"/>
      <c r="T37" s="316"/>
      <c r="U37" s="196"/>
      <c r="V37" s="1"/>
      <c r="W37" s="331"/>
      <c r="X37" s="331"/>
      <c r="Y37" s="332"/>
      <c r="Z37" s="332"/>
      <c r="AA37" s="333"/>
      <c r="AB37" s="267"/>
    </row>
    <row r="38" spans="2:28" ht="15" customHeight="1">
      <c r="B38" s="49" t="s">
        <v>2</v>
      </c>
      <c r="C38" s="334">
        <f>COUNTIFS('1. ALL DATA'!$Y$5:$Y$116,"Value For Money Council Services",'1. ALL DATA'!$I$5:$I$116,"Not yet due")</f>
        <v>14</v>
      </c>
      <c r="D38" s="317">
        <f>C38/C42</f>
        <v>0.27450980392156865</v>
      </c>
      <c r="E38" s="317">
        <f>D38</f>
        <v>0.27450980392156865</v>
      </c>
      <c r="F38" s="52"/>
      <c r="G38" s="48"/>
      <c r="I38" s="349" t="s">
        <v>2</v>
      </c>
      <c r="J38" s="334">
        <f>COUNTIFS('1. ALL DATA'!$Y$5:$Y$116,"Value For Money Council Services",'1. ALL DATA'!$N$5:$N$116,"Not yet due")</f>
        <v>7</v>
      </c>
      <c r="K38" s="317">
        <f>J38/J42</f>
        <v>0.13725490196078433</v>
      </c>
      <c r="L38" s="317">
        <f>K38</f>
        <v>0.13725490196078433</v>
      </c>
      <c r="M38" s="52"/>
      <c r="N38" s="48"/>
      <c r="P38" s="349" t="s">
        <v>2</v>
      </c>
      <c r="Q38" s="334">
        <f>COUNTIFS('1. ALL DATA'!$Y$5:$Y$116,"Value For Money Council Services",'1. ALL DATA'!$S$5:$S$116,"Not yet due")</f>
        <v>3</v>
      </c>
      <c r="R38" s="317">
        <f>Q38/Q42</f>
        <v>5.8823529411764705E-2</v>
      </c>
      <c r="S38" s="317">
        <f>R38</f>
        <v>5.8823529411764705E-2</v>
      </c>
      <c r="T38" s="52"/>
      <c r="U38" s="100"/>
      <c r="W38" s="353" t="s">
        <v>2</v>
      </c>
      <c r="X38" s="329">
        <f>COUNTIFS('1. ALL DATA'!$Y$5:$Y$116,"Value For Money Council Services",'1. ALL DATA'!$W$5:$W$116,"not yet due")</f>
        <v>0</v>
      </c>
      <c r="Y38" s="317">
        <f>X38/$X$42</f>
        <v>0</v>
      </c>
      <c r="Z38" s="317">
        <f>Y38</f>
        <v>0</v>
      </c>
      <c r="AA38" s="52"/>
      <c r="AB38" s="269"/>
    </row>
    <row r="39" spans="2:28" ht="15" customHeight="1">
      <c r="B39" s="49" t="s">
        <v>48</v>
      </c>
      <c r="C39" s="334">
        <f>COUNTIFS('1. ALL DATA'!$Y$5:$Y$116,"Value For Money Council Services",'1. ALL DATA'!$I$5:$I$116,"Update not provided")</f>
        <v>0</v>
      </c>
      <c r="D39" s="317">
        <f>C39/C42</f>
        <v>0</v>
      </c>
      <c r="E39" s="317">
        <f>D39</f>
        <v>0</v>
      </c>
      <c r="F39" s="52"/>
      <c r="G39" s="105"/>
      <c r="I39" s="349" t="s">
        <v>48</v>
      </c>
      <c r="J39" s="334">
        <f>COUNTIFS('1. ALL DATA'!$Y$5:$Y$116,"Value For Money Council Services",'1. ALL DATA'!$N$5:$N$116,"Update not provided")</f>
        <v>0</v>
      </c>
      <c r="K39" s="317">
        <f>J39/J42</f>
        <v>0</v>
      </c>
      <c r="L39" s="317">
        <f>K39</f>
        <v>0</v>
      </c>
      <c r="M39" s="52"/>
      <c r="N39" s="105"/>
      <c r="P39" s="349" t="s">
        <v>48</v>
      </c>
      <c r="Q39" s="334">
        <f>COUNTIFS('1. ALL DATA'!$Y$5:$Y$116,"Value For Money Council Services",'1. ALL DATA'!$S$5:$S$116,"Update not provided")</f>
        <v>0</v>
      </c>
      <c r="R39" s="317">
        <f>Q39/Q42</f>
        <v>0</v>
      </c>
      <c r="S39" s="317">
        <f>R39</f>
        <v>0</v>
      </c>
      <c r="T39" s="52"/>
      <c r="U39" s="101"/>
      <c r="W39" s="354" t="s">
        <v>48</v>
      </c>
      <c r="X39" s="329">
        <f>COUNTIFS('1. ALL DATA'!$Y$5:$Y$116,"Value For Money Council Services",'1. ALL DATA'!$W$5:$W$116,"update not provided")</f>
        <v>0</v>
      </c>
      <c r="Y39" s="317">
        <f>X39/$X$42</f>
        <v>0</v>
      </c>
      <c r="Z39" s="317">
        <f>Y39</f>
        <v>0</v>
      </c>
      <c r="AA39" s="52"/>
    </row>
    <row r="40" spans="2:28" ht="15.75" customHeight="1">
      <c r="B40" s="50" t="s">
        <v>23</v>
      </c>
      <c r="C40" s="334">
        <f>COUNTIFS('1. ALL DATA'!$Y$5:$Y$116,"Value For Money Council Services",'1. ALL DATA'!$I$5:$I$116,"Deferred")</f>
        <v>0</v>
      </c>
      <c r="D40" s="318">
        <f>C40/C42</f>
        <v>0</v>
      </c>
      <c r="E40" s="318">
        <f>D40</f>
        <v>0</v>
      </c>
      <c r="F40" s="47"/>
      <c r="G40" s="48"/>
      <c r="I40" s="350" t="s">
        <v>23</v>
      </c>
      <c r="J40" s="334">
        <f>COUNTIFS('1. ALL DATA'!$Y$5:$Y$116,"Value For Money Council Services",'1. ALL DATA'!$N$5:$N$116,"Deferred")</f>
        <v>0</v>
      </c>
      <c r="K40" s="318">
        <f>J40/J42</f>
        <v>0</v>
      </c>
      <c r="L40" s="318">
        <f>K40</f>
        <v>0</v>
      </c>
      <c r="M40" s="47"/>
      <c r="N40" s="48"/>
      <c r="P40" s="350" t="s">
        <v>23</v>
      </c>
      <c r="Q40" s="334">
        <f>COUNTIFS('1. ALL DATA'!$Y$5:$Y$116,"Value For Money Council Services",'1. ALL DATA'!$S$5:$S$116,"Deferred")</f>
        <v>0</v>
      </c>
      <c r="R40" s="318">
        <f>Q40/Q42</f>
        <v>0</v>
      </c>
      <c r="S40" s="318">
        <f>R40</f>
        <v>0</v>
      </c>
      <c r="T40" s="47"/>
      <c r="U40" s="100"/>
      <c r="W40" s="350" t="s">
        <v>23</v>
      </c>
      <c r="X40" s="329">
        <f>COUNTIFS('1. ALL DATA'!$Y$5:$Y$116,"Value For Money Council Services",'1. ALL DATA'!$W$5:$W$116,"Deferred")</f>
        <v>0</v>
      </c>
      <c r="Y40" s="318">
        <f>X40/$X$42</f>
        <v>0</v>
      </c>
      <c r="Z40" s="318">
        <f>Y40</f>
        <v>0</v>
      </c>
      <c r="AA40" s="47"/>
      <c r="AB40" s="269"/>
    </row>
    <row r="41" spans="2:28" ht="15.75" customHeight="1">
      <c r="B41" s="50" t="s">
        <v>29</v>
      </c>
      <c r="C41" s="334">
        <f>COUNTIFS('1. ALL DATA'!$Y$5:$Y$116,"Value For Money Council Services",'1. ALL DATA'!$I$5:$I$116,"Deleted")</f>
        <v>0</v>
      </c>
      <c r="D41" s="318">
        <f>C41/C42</f>
        <v>0</v>
      </c>
      <c r="E41" s="318">
        <f>D41</f>
        <v>0</v>
      </c>
      <c r="F41" s="47"/>
      <c r="G41" s="270" t="s">
        <v>64</v>
      </c>
      <c r="I41" s="350" t="s">
        <v>29</v>
      </c>
      <c r="J41" s="334">
        <f>COUNTIFS('1. ALL DATA'!$Y$5:$Y$116,"Value For Money Council Services",'1. ALL DATA'!$N$5:$N$116,"Deleted")</f>
        <v>0</v>
      </c>
      <c r="K41" s="318">
        <f>J41/J42</f>
        <v>0</v>
      </c>
      <c r="L41" s="318">
        <f>K41</f>
        <v>0</v>
      </c>
      <c r="M41" s="47"/>
      <c r="N41" s="270" t="s">
        <v>64</v>
      </c>
      <c r="P41" s="350" t="s">
        <v>29</v>
      </c>
      <c r="Q41" s="334">
        <f>COUNTIFS('1. ALL DATA'!$Y$5:$Y$116,"Value For Money Council Services",'1. ALL DATA'!$S$5:$S$116,"Deleted")</f>
        <v>0</v>
      </c>
      <c r="R41" s="318">
        <f>Q41/Q42</f>
        <v>0</v>
      </c>
      <c r="S41" s="318">
        <f>R41</f>
        <v>0</v>
      </c>
      <c r="T41" s="47"/>
      <c r="U41" s="270" t="s">
        <v>64</v>
      </c>
      <c r="W41" s="350" t="s">
        <v>29</v>
      </c>
      <c r="X41" s="329">
        <f>COUNTIFS('1. ALL DATA'!$Y$5:$Y$116,"Value For Money Council Services",'1. ALL DATA'!$W$5:$W$116,"Deleted")</f>
        <v>0</v>
      </c>
      <c r="Y41" s="318">
        <f>X41/$X$42</f>
        <v>0</v>
      </c>
      <c r="Z41" s="318">
        <f>Y41</f>
        <v>0</v>
      </c>
      <c r="AA41" s="47"/>
      <c r="AB41" s="270" t="s">
        <v>64</v>
      </c>
    </row>
    <row r="42" spans="2:28" ht="15.75" customHeight="1">
      <c r="B42" s="51" t="s">
        <v>31</v>
      </c>
      <c r="C42" s="336">
        <f>SUM(C28:C41)</f>
        <v>51</v>
      </c>
      <c r="D42" s="47"/>
      <c r="E42" s="47"/>
      <c r="F42" s="48"/>
      <c r="G42" s="48"/>
      <c r="I42" s="351" t="s">
        <v>31</v>
      </c>
      <c r="J42" s="336">
        <f>SUM(J28:J41)</f>
        <v>51</v>
      </c>
      <c r="K42" s="47"/>
      <c r="L42" s="47"/>
      <c r="M42" s="48"/>
      <c r="N42" s="48"/>
      <c r="P42" s="351" t="s">
        <v>31</v>
      </c>
      <c r="Q42" s="336">
        <f>SUM(Q28:Q41)</f>
        <v>51</v>
      </c>
      <c r="R42" s="47"/>
      <c r="S42" s="47"/>
      <c r="T42" s="48"/>
      <c r="U42" s="100"/>
      <c r="W42" s="351" t="s">
        <v>31</v>
      </c>
      <c r="X42" s="337">
        <f>SUM(X28:X41)</f>
        <v>51</v>
      </c>
      <c r="Y42" s="47"/>
      <c r="Z42" s="47"/>
      <c r="AA42" s="48"/>
      <c r="AB42" s="269"/>
    </row>
    <row r="43" spans="2:28" ht="15.75" customHeight="1">
      <c r="B43" s="51" t="s">
        <v>32</v>
      </c>
      <c r="C43" s="336">
        <f>C42-C41-C40-C39-C38</f>
        <v>37</v>
      </c>
      <c r="D43" s="48"/>
      <c r="E43" s="48"/>
      <c r="F43" s="48"/>
      <c r="G43" s="48"/>
      <c r="I43" s="351" t="s">
        <v>32</v>
      </c>
      <c r="J43" s="336">
        <f>J42-J41-J40-J39-J38</f>
        <v>44</v>
      </c>
      <c r="K43" s="48"/>
      <c r="L43" s="48"/>
      <c r="M43" s="48"/>
      <c r="N43" s="48"/>
      <c r="P43" s="351" t="s">
        <v>32</v>
      </c>
      <c r="Q43" s="336">
        <f>Q42-Q41-Q40-Q39-Q38</f>
        <v>48</v>
      </c>
      <c r="R43" s="48"/>
      <c r="S43" s="48"/>
      <c r="T43" s="48"/>
      <c r="U43" s="100"/>
      <c r="W43" s="351" t="s">
        <v>32</v>
      </c>
      <c r="X43" s="337">
        <f>X42-X41-X40-X39-X38</f>
        <v>51</v>
      </c>
      <c r="Y43" s="48"/>
      <c r="Z43" s="48"/>
      <c r="AA43" s="48"/>
      <c r="AB43" s="269"/>
    </row>
    <row r="44" spans="2:28" ht="15.75" customHeight="1">
      <c r="P44" s="352"/>
      <c r="W44" s="355"/>
      <c r="X44" s="1"/>
      <c r="Y44" s="1"/>
      <c r="Z44" s="1"/>
      <c r="AA44" s="48"/>
      <c r="AB44" s="269"/>
    </row>
    <row r="45" spans="2:28" ht="15.75" customHeight="1"/>
    <row r="46" spans="2:28" s="65" customFormat="1" ht="15.75" hidden="1" customHeight="1">
      <c r="B46" s="67"/>
      <c r="C46" s="1"/>
      <c r="D46" s="1"/>
      <c r="E46" s="1"/>
      <c r="F46" s="48"/>
      <c r="G46" s="1"/>
      <c r="H46" s="1"/>
      <c r="I46" s="339"/>
      <c r="J46" s="1"/>
      <c r="K46" s="1"/>
      <c r="L46" s="1"/>
      <c r="M46" s="48"/>
      <c r="N46" s="1"/>
      <c r="O46" s="1"/>
      <c r="P46" s="339"/>
      <c r="Q46" s="1"/>
      <c r="R46" s="1"/>
      <c r="S46" s="1"/>
      <c r="T46" s="48"/>
      <c r="U46" s="97"/>
      <c r="V46" s="1"/>
      <c r="W46" s="1"/>
      <c r="X46" s="1"/>
      <c r="Y46" s="1"/>
      <c r="Z46" s="1"/>
      <c r="AA46" s="1"/>
      <c r="AB46" s="269"/>
    </row>
    <row r="47" spans="2:28" ht="15.75" hidden="1" customHeight="1">
      <c r="B47" s="156" t="s">
        <v>251</v>
      </c>
      <c r="C47" s="87"/>
      <c r="D47" s="87"/>
      <c r="E47" s="87"/>
      <c r="F47" s="84"/>
      <c r="G47" s="87"/>
      <c r="I47" s="360" t="s">
        <v>251</v>
      </c>
      <c r="J47" s="206"/>
      <c r="K47" s="206"/>
      <c r="L47" s="206"/>
      <c r="M47" s="200"/>
      <c r="N47" s="207"/>
      <c r="P47" s="365" t="s">
        <v>251</v>
      </c>
      <c r="Q47" s="87"/>
      <c r="R47" s="87"/>
      <c r="S47" s="87"/>
      <c r="T47" s="84"/>
      <c r="U47" s="102"/>
      <c r="W47" s="365" t="s">
        <v>251</v>
      </c>
      <c r="X47" s="84"/>
      <c r="Y47" s="84"/>
      <c r="Z47" s="84"/>
      <c r="AA47" s="84"/>
      <c r="AB47" s="264"/>
    </row>
    <row r="48" spans="2:28" ht="36" hidden="1" customHeight="1">
      <c r="B48" s="72" t="s">
        <v>24</v>
      </c>
      <c r="C48" s="85" t="s">
        <v>25</v>
      </c>
      <c r="D48" s="85" t="s">
        <v>19</v>
      </c>
      <c r="E48" s="85" t="s">
        <v>50</v>
      </c>
      <c r="F48" s="85" t="s">
        <v>30</v>
      </c>
      <c r="G48" s="85" t="s">
        <v>51</v>
      </c>
      <c r="I48" s="85" t="s">
        <v>24</v>
      </c>
      <c r="J48" s="85" t="s">
        <v>25</v>
      </c>
      <c r="K48" s="85" t="s">
        <v>19</v>
      </c>
      <c r="L48" s="85" t="s">
        <v>50</v>
      </c>
      <c r="M48" s="85" t="s">
        <v>30</v>
      </c>
      <c r="N48" s="85" t="s">
        <v>51</v>
      </c>
      <c r="P48" s="85" t="s">
        <v>24</v>
      </c>
      <c r="Q48" s="85" t="s">
        <v>25</v>
      </c>
      <c r="R48" s="85" t="s">
        <v>19</v>
      </c>
      <c r="S48" s="85" t="s">
        <v>50</v>
      </c>
      <c r="T48" s="85" t="s">
        <v>30</v>
      </c>
      <c r="U48" s="94" t="s">
        <v>51</v>
      </c>
      <c r="W48" s="85" t="s">
        <v>24</v>
      </c>
      <c r="X48" s="85" t="s">
        <v>25</v>
      </c>
      <c r="Y48" s="85" t="s">
        <v>19</v>
      </c>
      <c r="Z48" s="85" t="s">
        <v>50</v>
      </c>
      <c r="AA48" s="85" t="s">
        <v>30</v>
      </c>
      <c r="AB48" s="265" t="s">
        <v>51</v>
      </c>
    </row>
    <row r="49" spans="2:32" s="63" customFormat="1" ht="7.5" hidden="1" customHeight="1">
      <c r="B49" s="54"/>
      <c r="C49" s="57"/>
      <c r="D49" s="57"/>
      <c r="E49" s="57"/>
      <c r="F49" s="57"/>
      <c r="G49" s="57"/>
      <c r="H49" s="326"/>
      <c r="I49" s="57"/>
      <c r="J49" s="57"/>
      <c r="K49" s="57"/>
      <c r="L49" s="57"/>
      <c r="M49" s="57"/>
      <c r="N49" s="57"/>
      <c r="O49" s="326"/>
      <c r="P49" s="57"/>
      <c r="Q49" s="57"/>
      <c r="R49" s="57"/>
      <c r="S49" s="57"/>
      <c r="T49" s="57"/>
      <c r="U49" s="95"/>
      <c r="V49" s="326"/>
      <c r="W49" s="57"/>
      <c r="X49" s="57"/>
      <c r="Y49" s="57"/>
      <c r="Z49" s="57"/>
      <c r="AA49" s="57"/>
      <c r="AB49" s="271"/>
      <c r="AD49" s="65"/>
      <c r="AE49" s="65"/>
      <c r="AF49" s="65"/>
    </row>
    <row r="50" spans="2:32" ht="18.75" hidden="1" customHeight="1">
      <c r="B50" s="312" t="s">
        <v>47</v>
      </c>
      <c r="C50" s="322">
        <f>COUNTIFS('1. ALL DATA'!$Y$5:$Y$116,"PROMOTING LOCAL ECONOMIC GROWTH",'1. ALL DATA'!$I$5:$I$116,"Fully Achieved")</f>
        <v>5</v>
      </c>
      <c r="D50" s="323">
        <f>C50/C64</f>
        <v>0.20833333333333334</v>
      </c>
      <c r="E50" s="520">
        <f>D50+D51</f>
        <v>0.875</v>
      </c>
      <c r="F50" s="323">
        <f>C50/C65</f>
        <v>0.23809523809523808</v>
      </c>
      <c r="G50" s="517">
        <f>F50+F51</f>
        <v>1</v>
      </c>
      <c r="I50" s="356" t="s">
        <v>47</v>
      </c>
      <c r="J50" s="322">
        <f>COUNTIFS('1. ALL DATA'!$Y$5:$Y$116,"PROMOTING LOCAL ECONOMIC GROWTH",'1. ALL DATA'!$N$5:$N$116,"Fully Achieved")</f>
        <v>9</v>
      </c>
      <c r="K50" s="323">
        <f>J50/J64</f>
        <v>0.375</v>
      </c>
      <c r="L50" s="520">
        <f>K50+K51</f>
        <v>0.95833333333333337</v>
      </c>
      <c r="M50" s="323">
        <f>J50/J65</f>
        <v>0.39130434782608697</v>
      </c>
      <c r="N50" s="517">
        <f>M50+M51</f>
        <v>1</v>
      </c>
      <c r="P50" s="361" t="s">
        <v>47</v>
      </c>
      <c r="Q50" s="322">
        <f>COUNTIFS('1. ALL DATA'!$Y$5:$Y$116,"PROMOTING LOCAL ECONOMIC GROWTH",'1. ALL DATA'!$S$5:$S$116,"Fully Achieved")</f>
        <v>12</v>
      </c>
      <c r="R50" s="323">
        <f>Q50/Q64</f>
        <v>0.5</v>
      </c>
      <c r="S50" s="520">
        <f>R50+R51</f>
        <v>1</v>
      </c>
      <c r="T50" s="323">
        <f>Q50/Q65</f>
        <v>0.5</v>
      </c>
      <c r="U50" s="517">
        <f>T50+T51</f>
        <v>1</v>
      </c>
      <c r="W50" s="356" t="s">
        <v>42</v>
      </c>
      <c r="X50" s="324">
        <f>COUNTIFS('1. ALL DATA'!$Y$5:$Y$116,"PROMOTING LOCAL ECONOMIC GROWTH",'1. ALL DATA'!$W$5:$W$116,"Fully Achieved")</f>
        <v>23</v>
      </c>
      <c r="Y50" s="323">
        <f>X50/$X$64</f>
        <v>0.95833333333333337</v>
      </c>
      <c r="Z50" s="520">
        <f>Y50+Y51</f>
        <v>0.95833333333333337</v>
      </c>
      <c r="AA50" s="323">
        <f>X50/$X$65</f>
        <v>0.95833333333333337</v>
      </c>
      <c r="AB50" s="517">
        <f>AA50+AA51</f>
        <v>0.95833333333333337</v>
      </c>
    </row>
    <row r="51" spans="2:32" ht="18.75" hidden="1" customHeight="1">
      <c r="B51" s="312" t="s">
        <v>43</v>
      </c>
      <c r="C51" s="322">
        <f>COUNTIFS('1. ALL DATA'!$Y$5:$Y$116,"PROMOTING LOCAL ECONOMIC GROWTH",'1. ALL DATA'!$I$5:$I$116,"On track to be achieved")</f>
        <v>16</v>
      </c>
      <c r="D51" s="323">
        <f>C51/C64</f>
        <v>0.66666666666666663</v>
      </c>
      <c r="E51" s="520"/>
      <c r="F51" s="323">
        <f>C51/C65</f>
        <v>0.76190476190476186</v>
      </c>
      <c r="G51" s="517"/>
      <c r="I51" s="356" t="s">
        <v>43</v>
      </c>
      <c r="J51" s="322">
        <f>COUNTIFS('1. ALL DATA'!$Y$5:$Y$116,"PROMOTING LOCAL ECONOMIC GROWTH",'1. ALL DATA'!$N$5:$N$116,"On track to be achieved")</f>
        <v>14</v>
      </c>
      <c r="K51" s="323">
        <f>J51/J64</f>
        <v>0.58333333333333337</v>
      </c>
      <c r="L51" s="520"/>
      <c r="M51" s="323">
        <f>J51/J65</f>
        <v>0.60869565217391308</v>
      </c>
      <c r="N51" s="517"/>
      <c r="P51" s="361" t="s">
        <v>43</v>
      </c>
      <c r="Q51" s="322">
        <f>COUNTIFS('1. ALL DATA'!$Y$5:$Y$116,"PROMOTING LOCAL ECONOMIC GROWTH",'1. ALL DATA'!$S$5:$S$116,"On track to be achieved")</f>
        <v>12</v>
      </c>
      <c r="R51" s="323">
        <f>Q51/Q64</f>
        <v>0.5</v>
      </c>
      <c r="S51" s="520"/>
      <c r="T51" s="323">
        <f>Q51/Q65</f>
        <v>0.5</v>
      </c>
      <c r="U51" s="517"/>
      <c r="W51" s="356" t="s">
        <v>84</v>
      </c>
      <c r="X51" s="324">
        <f>COUNTIFS('1. ALL DATA'!$Y$5:$Y$116,"PROMOTING LOCAL ECONOMIC GROWTH",'1. ALL DATA'!$W$5:$W$116,"Numerical Outturn Within 5% Tolerance")</f>
        <v>0</v>
      </c>
      <c r="Y51" s="323">
        <f>X51/$X$64</f>
        <v>0</v>
      </c>
      <c r="Z51" s="520"/>
      <c r="AA51" s="323">
        <f>X51/$X$65</f>
        <v>0</v>
      </c>
      <c r="AB51" s="517"/>
    </row>
    <row r="52" spans="2:32" s="63" customFormat="1" ht="6.75" hidden="1" customHeight="1">
      <c r="B52" s="54"/>
      <c r="C52" s="325"/>
      <c r="D52" s="219"/>
      <c r="E52" s="219"/>
      <c r="F52" s="219"/>
      <c r="G52" s="55"/>
      <c r="H52" s="326"/>
      <c r="I52" s="357"/>
      <c r="J52" s="325"/>
      <c r="K52" s="219"/>
      <c r="L52" s="219"/>
      <c r="M52" s="219"/>
      <c r="N52" s="55"/>
      <c r="O52" s="326"/>
      <c r="P52" s="362"/>
      <c r="Q52" s="325"/>
      <c r="R52" s="219"/>
      <c r="S52" s="219"/>
      <c r="T52" s="219"/>
      <c r="U52" s="55"/>
      <c r="V52" s="326"/>
      <c r="W52" s="369"/>
      <c r="X52" s="57"/>
      <c r="Y52" s="219"/>
      <c r="Z52" s="219"/>
      <c r="AA52" s="219"/>
      <c r="AB52" s="55"/>
      <c r="AD52" s="65"/>
      <c r="AE52" s="65"/>
      <c r="AF52" s="65"/>
    </row>
    <row r="53" spans="2:32" ht="19.5" hidden="1" customHeight="1">
      <c r="B53" s="518" t="s">
        <v>27</v>
      </c>
      <c r="C53" s="519">
        <f>COUNTIFS('1. ALL DATA'!$Y$5:$Y$116,"PROMOTING LOCAL ECONOMIC GROWTH",'1. ALL DATA'!$I$5:$I$116,"In danger of falling behind target")</f>
        <v>0</v>
      </c>
      <c r="D53" s="520">
        <f>C53/C64</f>
        <v>0</v>
      </c>
      <c r="E53" s="520">
        <f>D53</f>
        <v>0</v>
      </c>
      <c r="F53" s="520">
        <f>C53/C65</f>
        <v>0</v>
      </c>
      <c r="G53" s="522">
        <f>F53</f>
        <v>0</v>
      </c>
      <c r="I53" s="518" t="s">
        <v>27</v>
      </c>
      <c r="J53" s="519">
        <f>COUNTIFS('1. ALL DATA'!$Y$5:$Y$116,"PROMOTING LOCAL ECONOMIC GROWTH",'1. ALL DATA'!$N$5:$N$116,"In danger of falling behind target")</f>
        <v>0</v>
      </c>
      <c r="K53" s="520">
        <f>J53/J64</f>
        <v>0</v>
      </c>
      <c r="L53" s="520">
        <f>K53</f>
        <v>0</v>
      </c>
      <c r="M53" s="520">
        <f>J53/J65</f>
        <v>0</v>
      </c>
      <c r="N53" s="522">
        <f>M53</f>
        <v>0</v>
      </c>
      <c r="P53" s="518" t="s">
        <v>27</v>
      </c>
      <c r="Q53" s="519">
        <f>COUNTIFS('1. ALL DATA'!$Y$5:$Y$116,"PROMOTING LOCAL ECONOMIC GROWTH",'1. ALL DATA'!$S$5:$S$116,"In danger of falling behind target")</f>
        <v>0</v>
      </c>
      <c r="R53" s="520">
        <f>Q53/Q64</f>
        <v>0</v>
      </c>
      <c r="S53" s="520">
        <f>R53</f>
        <v>0</v>
      </c>
      <c r="T53" s="520">
        <f>Q53/Q65</f>
        <v>0</v>
      </c>
      <c r="U53" s="522">
        <f>T53</f>
        <v>0</v>
      </c>
      <c r="W53" s="358" t="s">
        <v>85</v>
      </c>
      <c r="X53" s="324">
        <f>COUNTIFS('1. ALL DATA'!$Y$5:$Y$116,"PROMOTING LOCAL ECONOMIC GROWTH",'1. ALL DATA'!$W$5:$W$116,"Numerical Outturn Within 10% Tolerance")</f>
        <v>0</v>
      </c>
      <c r="Y53" s="323">
        <f>X53/$X$64</f>
        <v>0</v>
      </c>
      <c r="Z53" s="523">
        <f>SUM(Y53:Y55)</f>
        <v>4.1666666666666664E-2</v>
      </c>
      <c r="AA53" s="328">
        <f>X53/$X$65</f>
        <v>0</v>
      </c>
      <c r="AB53" s="522">
        <f>SUM(AA53:AA55)</f>
        <v>4.1666666666666664E-2</v>
      </c>
    </row>
    <row r="54" spans="2:32" ht="19.5" hidden="1" customHeight="1">
      <c r="B54" s="518"/>
      <c r="C54" s="519"/>
      <c r="D54" s="520"/>
      <c r="E54" s="520"/>
      <c r="F54" s="520"/>
      <c r="G54" s="522"/>
      <c r="I54" s="518"/>
      <c r="J54" s="519"/>
      <c r="K54" s="520"/>
      <c r="L54" s="520"/>
      <c r="M54" s="520"/>
      <c r="N54" s="522"/>
      <c r="P54" s="518"/>
      <c r="Q54" s="519"/>
      <c r="R54" s="520"/>
      <c r="S54" s="520"/>
      <c r="T54" s="520"/>
      <c r="U54" s="522"/>
      <c r="W54" s="358" t="s">
        <v>86</v>
      </c>
      <c r="X54" s="324">
        <f>COUNTIFS('1. ALL DATA'!$Y$5:$Y$116,"PROMOTING LOCAL ECONOMIC GROWTH",'1. ALL DATA'!$W$5:$W$116,"Target Partially Met")</f>
        <v>1</v>
      </c>
      <c r="Y54" s="323">
        <f>X54/$X$64</f>
        <v>4.1666666666666664E-2</v>
      </c>
      <c r="Z54" s="524"/>
      <c r="AA54" s="328">
        <f>X54/$X$65</f>
        <v>4.1666666666666664E-2</v>
      </c>
      <c r="AB54" s="522"/>
    </row>
    <row r="55" spans="2:32" ht="19.5" hidden="1" customHeight="1">
      <c r="B55" s="518"/>
      <c r="C55" s="519"/>
      <c r="D55" s="520"/>
      <c r="E55" s="520"/>
      <c r="F55" s="520"/>
      <c r="G55" s="522"/>
      <c r="I55" s="518"/>
      <c r="J55" s="519"/>
      <c r="K55" s="520"/>
      <c r="L55" s="520"/>
      <c r="M55" s="520"/>
      <c r="N55" s="522"/>
      <c r="P55" s="518"/>
      <c r="Q55" s="519"/>
      <c r="R55" s="520"/>
      <c r="S55" s="520"/>
      <c r="T55" s="520"/>
      <c r="U55" s="522"/>
      <c r="W55" s="358" t="s">
        <v>88</v>
      </c>
      <c r="X55" s="324">
        <f>COUNTIFS('1. ALL DATA'!$Y$5:$Y$116,"PROMOTING LOCAL ECONOMIC GROWTH",'1. ALL DATA'!$W$5:$W$116,"Completion Date Within Reasonable Tolerance")</f>
        <v>0</v>
      </c>
      <c r="Y55" s="323">
        <f>X55/$X$64</f>
        <v>0</v>
      </c>
      <c r="Z55" s="525"/>
      <c r="AA55" s="328">
        <f>X55/$X$65</f>
        <v>0</v>
      </c>
      <c r="AB55" s="522"/>
    </row>
    <row r="56" spans="2:32" s="63" customFormat="1" ht="6" hidden="1" customHeight="1">
      <c r="B56" s="190"/>
      <c r="C56" s="57"/>
      <c r="D56" s="219"/>
      <c r="E56" s="219"/>
      <c r="F56" s="219"/>
      <c r="G56" s="192"/>
      <c r="H56" s="326"/>
      <c r="I56" s="359"/>
      <c r="J56" s="57"/>
      <c r="K56" s="219"/>
      <c r="L56" s="219"/>
      <c r="M56" s="219"/>
      <c r="N56" s="192"/>
      <c r="O56" s="326"/>
      <c r="P56" s="364"/>
      <c r="Q56" s="57"/>
      <c r="R56" s="219"/>
      <c r="S56" s="219"/>
      <c r="T56" s="219"/>
      <c r="U56" s="192"/>
      <c r="V56" s="326"/>
      <c r="W56" s="369"/>
      <c r="X56" s="57"/>
      <c r="Y56" s="219"/>
      <c r="Z56" s="219"/>
      <c r="AA56" s="219"/>
      <c r="AB56" s="192"/>
      <c r="AD56" s="65"/>
      <c r="AE56" s="65"/>
      <c r="AF56" s="65"/>
    </row>
    <row r="57" spans="2:32" ht="22.5" hidden="1" customHeight="1">
      <c r="B57" s="412" t="s">
        <v>44</v>
      </c>
      <c r="C57" s="322">
        <f>COUNTIFS('1. ALL DATA'!$Y$5:$Y$116,"PROMOTING LOCAL ECONOMIC GROWTH",'1. ALL DATA'!$I$5:$I$116,"Completed behind schedule")</f>
        <v>0</v>
      </c>
      <c r="D57" s="323">
        <f>C57/C64</f>
        <v>0</v>
      </c>
      <c r="E57" s="520">
        <f>D57+D58</f>
        <v>0</v>
      </c>
      <c r="F57" s="323">
        <f>C57/C65</f>
        <v>0</v>
      </c>
      <c r="G57" s="521">
        <f>F57+F58</f>
        <v>0</v>
      </c>
      <c r="I57" s="413" t="s">
        <v>44</v>
      </c>
      <c r="J57" s="322">
        <f>COUNTIFS('1. ALL DATA'!$Y$5:$Y$116,"PROMOTING LOCAL ECONOMIC GROWTH",'1. ALL DATA'!$N$5:$N$116,"Completed behind schedule")</f>
        <v>0</v>
      </c>
      <c r="K57" s="323">
        <f>J57/J64</f>
        <v>0</v>
      </c>
      <c r="L57" s="520">
        <f>K57+K58</f>
        <v>0</v>
      </c>
      <c r="M57" s="323">
        <f>J57/J65</f>
        <v>0</v>
      </c>
      <c r="N57" s="521">
        <f>M57+M58</f>
        <v>0</v>
      </c>
      <c r="P57" s="414" t="s">
        <v>44</v>
      </c>
      <c r="Q57" s="322">
        <f>COUNTIFS('1. ALL DATA'!$Y$5:$Y$116,"PROMOTING LOCAL ECONOMIC GROWTH",'1. ALL DATA'!$S$5:$S$116,"Completed behind schedule")</f>
        <v>0</v>
      </c>
      <c r="R57" s="323">
        <f>Q57/Q64</f>
        <v>0</v>
      </c>
      <c r="S57" s="520">
        <f>R57+R58</f>
        <v>0</v>
      </c>
      <c r="T57" s="323">
        <f>Q57/Q65</f>
        <v>0</v>
      </c>
      <c r="U57" s="521">
        <f>T57+T58</f>
        <v>0</v>
      </c>
      <c r="W57" s="413" t="s">
        <v>87</v>
      </c>
      <c r="X57" s="329">
        <f>COUNTIFS('1. ALL DATA'!$Y$5:$Y$116,"PROMOTING LOCAL ECONOMIC GROWTH",'1. ALL DATA'!$W$5:$W$116,"Completed Significantly After Target Deadline")</f>
        <v>0</v>
      </c>
      <c r="Y57" s="323">
        <f>X57/$X$64</f>
        <v>0</v>
      </c>
      <c r="Z57" s="520">
        <f>Y57+Y58</f>
        <v>0</v>
      </c>
      <c r="AA57" s="323">
        <f>X57/$X$65</f>
        <v>0</v>
      </c>
      <c r="AB57" s="521">
        <f>AA57+AA58</f>
        <v>0</v>
      </c>
    </row>
    <row r="58" spans="2:32" ht="22.5" hidden="1" customHeight="1">
      <c r="B58" s="412" t="s">
        <v>28</v>
      </c>
      <c r="C58" s="322">
        <f>COUNTIFS('1. ALL DATA'!$Y$5:$Y$116,"PROMOTING LOCAL ECONOMIC GROWTH",'1. ALL DATA'!$I$5:$I$116,"Off target")</f>
        <v>0</v>
      </c>
      <c r="D58" s="323">
        <f>C58/C64</f>
        <v>0</v>
      </c>
      <c r="E58" s="520"/>
      <c r="F58" s="323">
        <f>C58/C65</f>
        <v>0</v>
      </c>
      <c r="G58" s="521"/>
      <c r="I58" s="413" t="s">
        <v>28</v>
      </c>
      <c r="J58" s="322">
        <f>COUNTIFS('1. ALL DATA'!$Y$5:$Y$116,"PROMOTING LOCAL ECONOMIC GROWTH",'1. ALL DATA'!$N$5:$N$116,"Off target")</f>
        <v>0</v>
      </c>
      <c r="K58" s="323">
        <f>J58/J64</f>
        <v>0</v>
      </c>
      <c r="L58" s="520"/>
      <c r="M58" s="323">
        <f>J58/J65</f>
        <v>0</v>
      </c>
      <c r="N58" s="521"/>
      <c r="P58" s="414" t="s">
        <v>28</v>
      </c>
      <c r="Q58" s="322">
        <f>COUNTIFS('1. ALL DATA'!$Y$5:$Y$116,"PROMOTING LOCAL ECONOMIC GROWTH",'1. ALL DATA'!$S$5:$S$116,"Off target")</f>
        <v>0</v>
      </c>
      <c r="R58" s="323">
        <f>Q58/Q64</f>
        <v>0</v>
      </c>
      <c r="S58" s="520"/>
      <c r="T58" s="323">
        <f>Q58/Q65</f>
        <v>0</v>
      </c>
      <c r="U58" s="521"/>
      <c r="W58" s="413" t="s">
        <v>28</v>
      </c>
      <c r="X58" s="329">
        <f>COUNTIFS('1. ALL DATA'!$Y$5:$Y$116,"PROMOTING LOCAL ECONOMIC GROWTH",'1. ALL DATA'!$W$5:$W$116,"Off Target")</f>
        <v>0</v>
      </c>
      <c r="Y58" s="323">
        <f>X58/$X$64</f>
        <v>0</v>
      </c>
      <c r="Z58" s="520"/>
      <c r="AA58" s="323">
        <f>X58/$X$65</f>
        <v>0</v>
      </c>
      <c r="AB58" s="521"/>
    </row>
    <row r="59" spans="2:32" s="63" customFormat="1" ht="6.75" hidden="1" customHeight="1">
      <c r="B59" s="54"/>
      <c r="C59" s="325"/>
      <c r="D59" s="219"/>
      <c r="E59" s="219"/>
      <c r="F59" s="219"/>
      <c r="G59" s="99"/>
      <c r="H59" s="326"/>
      <c r="I59" s="57"/>
      <c r="J59" s="325"/>
      <c r="K59" s="219"/>
      <c r="L59" s="219"/>
      <c r="M59" s="219"/>
      <c r="N59" s="99"/>
      <c r="O59" s="326"/>
      <c r="P59" s="57"/>
      <c r="Q59" s="325"/>
      <c r="R59" s="219"/>
      <c r="S59" s="219"/>
      <c r="T59" s="219"/>
      <c r="U59" s="99"/>
      <c r="V59" s="326"/>
      <c r="W59" s="340"/>
      <c r="X59" s="340"/>
      <c r="Y59" s="341"/>
      <c r="Z59" s="341"/>
      <c r="AA59" s="342"/>
      <c r="AB59" s="272"/>
      <c r="AD59" s="65"/>
      <c r="AE59" s="65"/>
      <c r="AF59" s="65"/>
    </row>
    <row r="60" spans="2:32" ht="15.75" hidden="1" customHeight="1">
      <c r="B60" s="49" t="s">
        <v>2</v>
      </c>
      <c r="C60" s="334">
        <f>COUNTIFS('1. ALL DATA'!$Y$5:$Y$116,"PROMOTING LOCAL ECONOMIC GROWTH",'1. ALL DATA'!$I$5:$I$116,"Not yet due")</f>
        <v>3</v>
      </c>
      <c r="D60" s="317">
        <f>C60/C64</f>
        <v>0.125</v>
      </c>
      <c r="E60" s="317">
        <f>D60</f>
        <v>0.125</v>
      </c>
      <c r="F60" s="52"/>
      <c r="G60" s="48"/>
      <c r="I60" s="349" t="s">
        <v>2</v>
      </c>
      <c r="J60" s="334">
        <f>COUNTIFS('1. ALL DATA'!$Y$5:$Y$116,"PROMOTING LOCAL ECONOMIC GROWTH",'1. ALL DATA'!$N$5:$N$116,"Not yet due")</f>
        <v>1</v>
      </c>
      <c r="K60" s="317">
        <f>J60/J64</f>
        <v>4.1666666666666664E-2</v>
      </c>
      <c r="L60" s="317">
        <f>K60</f>
        <v>4.1666666666666664E-2</v>
      </c>
      <c r="M60" s="52"/>
      <c r="N60" s="48"/>
      <c r="P60" s="349" t="s">
        <v>2</v>
      </c>
      <c r="Q60" s="334">
        <f>COUNTIFS('1. ALL DATA'!$Y$5:$Y$116,"PROMOTING LOCAL ECONOMIC GROWTH",'1. ALL DATA'!$S$5:$S$116,"Not yet due")</f>
        <v>0</v>
      </c>
      <c r="R60" s="317">
        <f>Q60/Q64</f>
        <v>0</v>
      </c>
      <c r="S60" s="317">
        <f>R60</f>
        <v>0</v>
      </c>
      <c r="T60" s="52"/>
      <c r="U60" s="100"/>
      <c r="W60" s="370" t="s">
        <v>2</v>
      </c>
      <c r="X60" s="329">
        <f>COUNTIFS('1. ALL DATA'!$Y$5:$Y$116,"PROMOTING LOCAL ECONOMIC GROWTH",'1. ALL DATA'!$W$5:$W$116,"not yet due")</f>
        <v>0</v>
      </c>
      <c r="Y60" s="317">
        <f>X60/$X$64</f>
        <v>0</v>
      </c>
      <c r="Z60" s="317">
        <f>Y60</f>
        <v>0</v>
      </c>
      <c r="AA60" s="52"/>
      <c r="AB60" s="269"/>
    </row>
    <row r="61" spans="2:32" ht="15.75" hidden="1" customHeight="1">
      <c r="B61" s="49" t="s">
        <v>48</v>
      </c>
      <c r="C61" s="334">
        <f>COUNTIFS('1. ALL DATA'!$Y$5:$Y$116,"PROMOTING LOCAL ECONOMIC GROWTH",'1. ALL DATA'!$I$5:$I$116,"Update not provided")</f>
        <v>0</v>
      </c>
      <c r="D61" s="317">
        <f>C61/C64</f>
        <v>0</v>
      </c>
      <c r="E61" s="317">
        <f>D61</f>
        <v>0</v>
      </c>
      <c r="F61" s="52"/>
      <c r="G61" s="105"/>
      <c r="I61" s="349" t="s">
        <v>48</v>
      </c>
      <c r="J61" s="334">
        <f>COUNTIFS('1. ALL DATA'!$Y$5:$Y$116,"PROMOTING LOCAL ECONOMIC GROWTH",'1. ALL DATA'!$N$5:$N$116,"Update not provided")</f>
        <v>0</v>
      </c>
      <c r="K61" s="317">
        <f>J61/J64</f>
        <v>0</v>
      </c>
      <c r="L61" s="317">
        <f>K61</f>
        <v>0</v>
      </c>
      <c r="M61" s="52"/>
      <c r="N61" s="105"/>
      <c r="P61" s="349" t="s">
        <v>48</v>
      </c>
      <c r="Q61" s="334">
        <f>COUNTIFS('1. ALL DATA'!$Y$5:$Y$116,"PROMOTING LOCAL ECONOMIC GROWTH",'1. ALL DATA'!$S$5:$S$116,"Update not provided")</f>
        <v>0</v>
      </c>
      <c r="R61" s="317">
        <f>Q61/Q64</f>
        <v>0</v>
      </c>
      <c r="S61" s="317">
        <f>R61</f>
        <v>0</v>
      </c>
      <c r="T61" s="52"/>
      <c r="U61" s="101"/>
      <c r="W61" s="371" t="s">
        <v>48</v>
      </c>
      <c r="X61" s="329">
        <f>COUNTIFS('1. ALL DATA'!$Y$5:$Y$116,"PROMOTING LOCAL ECONOMIC GROWTH",'1. ALL DATA'!$W$5:$W$116,"update not provided")</f>
        <v>0</v>
      </c>
      <c r="Y61" s="317">
        <f>X61/$X$64</f>
        <v>0</v>
      </c>
      <c r="Z61" s="317">
        <f>Y61</f>
        <v>0</v>
      </c>
      <c r="AA61" s="52"/>
    </row>
    <row r="62" spans="2:32" ht="15.75" hidden="1" customHeight="1">
      <c r="B62" s="50" t="s">
        <v>23</v>
      </c>
      <c r="C62" s="334">
        <f>COUNTIFS('1. ALL DATA'!$Y$5:$Y$116,"PROMOTING LOCAL ECONOMIC GROWTH",'1. ALL DATA'!$I$5:$I$116,"Deferred")</f>
        <v>0</v>
      </c>
      <c r="D62" s="318">
        <f>C62/C64</f>
        <v>0</v>
      </c>
      <c r="E62" s="318">
        <f>D62</f>
        <v>0</v>
      </c>
      <c r="F62" s="47"/>
      <c r="G62" s="48"/>
      <c r="I62" s="350" t="s">
        <v>23</v>
      </c>
      <c r="J62" s="334">
        <f>COUNTIFS('1. ALL DATA'!$Y$5:$Y$116,"PROMOTING LOCAL ECONOMIC GROWTH",'1. ALL DATA'!$N$5:$N$116,"Deferred")</f>
        <v>0</v>
      </c>
      <c r="K62" s="318">
        <f>J62/J64</f>
        <v>0</v>
      </c>
      <c r="L62" s="318">
        <f>K62</f>
        <v>0</v>
      </c>
      <c r="M62" s="47"/>
      <c r="N62" s="48"/>
      <c r="P62" s="350" t="s">
        <v>23</v>
      </c>
      <c r="Q62" s="334">
        <f>COUNTIFS('1. ALL DATA'!$Y$5:$Y$116,"PROMOTING LOCAL ECONOMIC GROWTH",'1. ALL DATA'!$S$5:$S$116,"Deferred")</f>
        <v>0</v>
      </c>
      <c r="R62" s="318">
        <f>Q62/Q64</f>
        <v>0</v>
      </c>
      <c r="S62" s="318">
        <f>R62</f>
        <v>0</v>
      </c>
      <c r="T62" s="47"/>
      <c r="U62" s="100"/>
      <c r="W62" s="372" t="s">
        <v>23</v>
      </c>
      <c r="X62" s="329">
        <f>COUNTIFS('1. ALL DATA'!$Y$5:$Y$116,"PROMOTING LOCAL ECONOMIC GROWTH",'1. ALL DATA'!$W$5:$W$116,"Deferred")</f>
        <v>0</v>
      </c>
      <c r="Y62" s="318">
        <f>X62/$X$64</f>
        <v>0</v>
      </c>
      <c r="Z62" s="318">
        <f>Y62</f>
        <v>0</v>
      </c>
      <c r="AA62" s="47"/>
      <c r="AB62" s="270" t="s">
        <v>64</v>
      </c>
    </row>
    <row r="63" spans="2:32" ht="15.75" hidden="1" customHeight="1">
      <c r="B63" s="50" t="s">
        <v>29</v>
      </c>
      <c r="C63" s="334">
        <f>COUNTIFS('1. ALL DATA'!$Y$5:$Y$116,"PROMOTING LOCAL ECONOMIC GROWTH",'1. ALL DATA'!$I$5:$I$116,"Deleted")</f>
        <v>0</v>
      </c>
      <c r="D63" s="318">
        <f>C63/C64</f>
        <v>0</v>
      </c>
      <c r="E63" s="318">
        <f>D63</f>
        <v>0</v>
      </c>
      <c r="F63" s="47"/>
      <c r="G63" s="270" t="s">
        <v>64</v>
      </c>
      <c r="I63" s="350" t="s">
        <v>29</v>
      </c>
      <c r="J63" s="334">
        <f>COUNTIFS('1. ALL DATA'!$Y$5:$Y$116,"PROMOTING LOCAL ECONOMIC GROWTH",'1. ALL DATA'!$N$5:$N$116,"Deleted")</f>
        <v>0</v>
      </c>
      <c r="K63" s="318">
        <f>J63/J64</f>
        <v>0</v>
      </c>
      <c r="L63" s="318">
        <f>K63</f>
        <v>0</v>
      </c>
      <c r="M63" s="47"/>
      <c r="N63" s="270" t="s">
        <v>64</v>
      </c>
      <c r="P63" s="350" t="s">
        <v>29</v>
      </c>
      <c r="Q63" s="334">
        <f>COUNTIFS('1. ALL DATA'!$Y$5:$Y$116,"PROMOTING LOCAL ECONOMIC GROWTH",'1. ALL DATA'!$S$5:$S$116,"Deleted")</f>
        <v>0</v>
      </c>
      <c r="R63" s="318">
        <f>Q63/Q64</f>
        <v>0</v>
      </c>
      <c r="S63" s="318">
        <f>R63</f>
        <v>0</v>
      </c>
      <c r="T63" s="47"/>
      <c r="U63" s="270" t="s">
        <v>64</v>
      </c>
      <c r="W63" s="372" t="s">
        <v>29</v>
      </c>
      <c r="X63" s="329">
        <f>COUNTIFS('1. ALL DATA'!$Y$5:$Y$116,"PROMOTING LOCAL ECONOMIC GROWTH",'1. ALL DATA'!$W$5:$W$116,"Deleted")</f>
        <v>0</v>
      </c>
      <c r="Y63" s="318">
        <f>X63/$X$64</f>
        <v>0</v>
      </c>
      <c r="Z63" s="318">
        <f>Y63</f>
        <v>0</v>
      </c>
      <c r="AA63" s="47"/>
      <c r="AB63" s="270"/>
    </row>
    <row r="64" spans="2:32" ht="15.75" hidden="1" customHeight="1">
      <c r="B64" s="51" t="s">
        <v>31</v>
      </c>
      <c r="C64" s="336">
        <f>SUM(C50:C63)</f>
        <v>24</v>
      </c>
      <c r="D64" s="47"/>
      <c r="E64" s="47"/>
      <c r="F64" s="48"/>
      <c r="G64" s="48"/>
      <c r="I64" s="351" t="s">
        <v>31</v>
      </c>
      <c r="J64" s="336">
        <f>SUM(J50:J63)</f>
        <v>24</v>
      </c>
      <c r="K64" s="47"/>
      <c r="L64" s="47"/>
      <c r="M64" s="48"/>
      <c r="N64" s="48"/>
      <c r="P64" s="351" t="s">
        <v>31</v>
      </c>
      <c r="Q64" s="336">
        <f>SUM(Q50:Q63)</f>
        <v>24</v>
      </c>
      <c r="R64" s="47"/>
      <c r="S64" s="47"/>
      <c r="T64" s="48"/>
      <c r="U64" s="100"/>
      <c r="W64" s="373" t="s">
        <v>31</v>
      </c>
      <c r="X64" s="337">
        <f>SUM(X50:X63)</f>
        <v>24</v>
      </c>
      <c r="Y64" s="47"/>
      <c r="Z64" s="47"/>
      <c r="AA64" s="48"/>
      <c r="AB64" s="269"/>
    </row>
    <row r="65" spans="2:28" ht="15.75" hidden="1" customHeight="1">
      <c r="B65" s="51" t="s">
        <v>32</v>
      </c>
      <c r="C65" s="336">
        <f>C64-C63-C62-C61-C60</f>
        <v>21</v>
      </c>
      <c r="D65" s="48"/>
      <c r="E65" s="48"/>
      <c r="F65" s="48"/>
      <c r="G65" s="48"/>
      <c r="I65" s="351" t="s">
        <v>32</v>
      </c>
      <c r="J65" s="336">
        <f>J64-J63-J62-J61-J60</f>
        <v>23</v>
      </c>
      <c r="K65" s="48"/>
      <c r="L65" s="48"/>
      <c r="M65" s="48"/>
      <c r="N65" s="48"/>
      <c r="P65" s="351" t="s">
        <v>32</v>
      </c>
      <c r="Q65" s="336">
        <f>Q64-Q63-Q62-Q61-Q60</f>
        <v>24</v>
      </c>
      <c r="R65" s="48"/>
      <c r="S65" s="48"/>
      <c r="T65" s="48"/>
      <c r="U65" s="100"/>
      <c r="W65" s="373" t="s">
        <v>32</v>
      </c>
      <c r="X65" s="337">
        <f>X64-X63-X62-X61-X60</f>
        <v>24</v>
      </c>
      <c r="Y65" s="48"/>
      <c r="Z65" s="48"/>
      <c r="AA65" s="48"/>
      <c r="AB65" s="269"/>
    </row>
    <row r="66" spans="2:28" ht="15.75" hidden="1" customHeight="1">
      <c r="X66" s="343"/>
    </row>
    <row r="67" spans="2:28" ht="15.75" hidden="1" customHeight="1">
      <c r="X67" s="343"/>
    </row>
    <row r="68" spans="2:28" ht="15.75" hidden="1" customHeight="1">
      <c r="X68" s="343"/>
    </row>
    <row r="69" spans="2:28" ht="15.75" hidden="1" customHeight="1">
      <c r="B69" s="179" t="s">
        <v>252</v>
      </c>
      <c r="C69" s="87"/>
      <c r="D69" s="87"/>
      <c r="E69" s="87"/>
      <c r="F69" s="84"/>
      <c r="G69" s="87"/>
      <c r="I69" s="360" t="s">
        <v>252</v>
      </c>
      <c r="J69" s="206"/>
      <c r="K69" s="206"/>
      <c r="L69" s="206"/>
      <c r="M69" s="200"/>
      <c r="N69" s="207"/>
      <c r="P69" s="365" t="s">
        <v>252</v>
      </c>
      <c r="Q69" s="87"/>
      <c r="R69" s="87"/>
      <c r="S69" s="87"/>
      <c r="T69" s="84"/>
      <c r="U69" s="102"/>
      <c r="W69" s="338" t="s">
        <v>252</v>
      </c>
      <c r="X69" s="344"/>
      <c r="Y69" s="84"/>
      <c r="Z69" s="84"/>
      <c r="AA69" s="84"/>
      <c r="AB69" s="264"/>
    </row>
    <row r="70" spans="2:28" ht="41.25" hidden="1" customHeight="1">
      <c r="B70" s="72" t="s">
        <v>24</v>
      </c>
      <c r="C70" s="85" t="s">
        <v>25</v>
      </c>
      <c r="D70" s="85" t="s">
        <v>19</v>
      </c>
      <c r="E70" s="85" t="s">
        <v>50</v>
      </c>
      <c r="F70" s="85" t="s">
        <v>30</v>
      </c>
      <c r="G70" s="85" t="s">
        <v>51</v>
      </c>
      <c r="I70" s="85" t="s">
        <v>24</v>
      </c>
      <c r="J70" s="85" t="s">
        <v>25</v>
      </c>
      <c r="K70" s="85" t="s">
        <v>19</v>
      </c>
      <c r="L70" s="85" t="s">
        <v>50</v>
      </c>
      <c r="M70" s="85" t="s">
        <v>30</v>
      </c>
      <c r="N70" s="85" t="s">
        <v>51</v>
      </c>
      <c r="P70" s="85" t="s">
        <v>24</v>
      </c>
      <c r="Q70" s="85" t="s">
        <v>25</v>
      </c>
      <c r="R70" s="85" t="s">
        <v>19</v>
      </c>
      <c r="S70" s="85" t="s">
        <v>50</v>
      </c>
      <c r="T70" s="85" t="s">
        <v>30</v>
      </c>
      <c r="U70" s="94" t="s">
        <v>51</v>
      </c>
      <c r="W70" s="85" t="s">
        <v>24</v>
      </c>
      <c r="X70" s="85" t="s">
        <v>25</v>
      </c>
      <c r="Y70" s="85" t="s">
        <v>19</v>
      </c>
      <c r="Z70" s="85" t="s">
        <v>50</v>
      </c>
      <c r="AA70" s="85" t="s">
        <v>30</v>
      </c>
      <c r="AB70" s="265" t="s">
        <v>51</v>
      </c>
    </row>
    <row r="71" spans="2:28" ht="6.75" hidden="1" customHeight="1">
      <c r="B71" s="54"/>
      <c r="C71" s="57"/>
      <c r="D71" s="57"/>
      <c r="E71" s="57"/>
      <c r="F71" s="57"/>
      <c r="G71" s="57"/>
      <c r="I71" s="57"/>
      <c r="J71" s="57"/>
      <c r="K71" s="57"/>
      <c r="L71" s="57"/>
      <c r="M71" s="57"/>
      <c r="N71" s="57"/>
      <c r="P71" s="57"/>
      <c r="Q71" s="57"/>
      <c r="R71" s="57"/>
      <c r="S71" s="57"/>
      <c r="T71" s="57"/>
      <c r="U71" s="95"/>
      <c r="W71" s="57"/>
      <c r="X71" s="57"/>
      <c r="Y71" s="57"/>
      <c r="Z71" s="57"/>
      <c r="AA71" s="57"/>
      <c r="AB71" s="271"/>
    </row>
    <row r="72" spans="2:28" ht="27.75" hidden="1" customHeight="1">
      <c r="B72" s="312" t="s">
        <v>47</v>
      </c>
      <c r="C72" s="322">
        <f>COUNTIFS('1. ALL DATA'!$Y$5:$Y$116,"PROTECTING AND STRENGTHENING COMMUNITIES",'1. ALL DATA'!$I$5:$I$116,"Fully Achieved")</f>
        <v>7</v>
      </c>
      <c r="D72" s="323">
        <f>C72/C86</f>
        <v>0.2</v>
      </c>
      <c r="E72" s="520">
        <f>D72+D73</f>
        <v>0.62857142857142856</v>
      </c>
      <c r="F72" s="323">
        <f>C72/C87</f>
        <v>0.30434782608695654</v>
      </c>
      <c r="G72" s="517">
        <f>F72+F73</f>
        <v>0.95652173913043481</v>
      </c>
      <c r="I72" s="361" t="s">
        <v>47</v>
      </c>
      <c r="J72" s="322">
        <f>COUNTIFS('1. ALL DATA'!$Y$5:$Y$116,"PROTECTING AND STRENGTHENING COMMUNITIES",'1. ALL DATA'!$N$5:$N$116,"Fully Achieved")</f>
        <v>15</v>
      </c>
      <c r="K72" s="323">
        <f>J72/J86</f>
        <v>0.42857142857142855</v>
      </c>
      <c r="L72" s="520">
        <f>K72+K73</f>
        <v>0.88571428571428568</v>
      </c>
      <c r="M72" s="323">
        <f>J72/J87</f>
        <v>0.46875</v>
      </c>
      <c r="N72" s="517">
        <f>M72+M73</f>
        <v>0.96875</v>
      </c>
      <c r="P72" s="361" t="s">
        <v>47</v>
      </c>
      <c r="Q72" s="322">
        <f>COUNTIFS('1. ALL DATA'!$Y$5:$Y$116,"PROTECTING AND STRENGTHENING COMMUNITIES",'1. ALL DATA'!$S$5:$S$116,"Fully Achieved")</f>
        <v>18</v>
      </c>
      <c r="R72" s="323">
        <f>Q72/Q86</f>
        <v>0.51428571428571423</v>
      </c>
      <c r="S72" s="520">
        <f>R72+R73</f>
        <v>0.91428571428571426</v>
      </c>
      <c r="T72" s="323">
        <f>Q72/Q87</f>
        <v>0.52941176470588236</v>
      </c>
      <c r="U72" s="517">
        <f>T72+T73</f>
        <v>0.94117647058823528</v>
      </c>
      <c r="W72" s="361" t="s">
        <v>42</v>
      </c>
      <c r="X72" s="324">
        <f>COUNTIFS('1. ALL DATA'!$Y$5:$Y$116,"PROTECTING AND STRENGTHENING COMMUNITIES",'1. ALL DATA'!$W$5:$W$116,"Fully Achieved")</f>
        <v>31</v>
      </c>
      <c r="Y72" s="323">
        <f>X72/$X$86</f>
        <v>0.88571428571428568</v>
      </c>
      <c r="Z72" s="520">
        <f>Y72+Y73</f>
        <v>0.94285714285714284</v>
      </c>
      <c r="AA72" s="323">
        <f>X72/$X$87</f>
        <v>0.91176470588235292</v>
      </c>
      <c r="AB72" s="517">
        <f>AA72+AA73</f>
        <v>0.97058823529411764</v>
      </c>
    </row>
    <row r="73" spans="2:28" ht="27.75" hidden="1" customHeight="1">
      <c r="B73" s="312" t="s">
        <v>43</v>
      </c>
      <c r="C73" s="322">
        <f>COUNTIFS('1. ALL DATA'!$Y$5:$Y$116,"PROTECTING AND STRENGTHENING COMMUNITIES",'1. ALL DATA'!$I$5:$I$116,"On track to be achieved")</f>
        <v>15</v>
      </c>
      <c r="D73" s="323">
        <f>C73/C86</f>
        <v>0.42857142857142855</v>
      </c>
      <c r="E73" s="520"/>
      <c r="F73" s="323">
        <f>C73/C87</f>
        <v>0.65217391304347827</v>
      </c>
      <c r="G73" s="517"/>
      <c r="I73" s="361" t="s">
        <v>43</v>
      </c>
      <c r="J73" s="322">
        <f>COUNTIFS('1. ALL DATA'!$Y$5:$Y$116,"PROTECTING AND STRENGTHENING COMMUNITIES",'1. ALL DATA'!$N$5:$N$116,"On track to be achieved")</f>
        <v>16</v>
      </c>
      <c r="K73" s="323">
        <f>J73/J86</f>
        <v>0.45714285714285713</v>
      </c>
      <c r="L73" s="520"/>
      <c r="M73" s="323">
        <f>J73/J87</f>
        <v>0.5</v>
      </c>
      <c r="N73" s="517"/>
      <c r="P73" s="361" t="s">
        <v>43</v>
      </c>
      <c r="Q73" s="322">
        <f>COUNTIFS('1. ALL DATA'!$Y$5:$Y$116,"PROTECTING AND STRENGTHENING COMMUNITIES",'1. ALL DATA'!$S$5:$S$116,"On track to be achieved")</f>
        <v>14</v>
      </c>
      <c r="R73" s="323">
        <f>Q73/Q86</f>
        <v>0.4</v>
      </c>
      <c r="S73" s="520"/>
      <c r="T73" s="323">
        <f>Q73/Q87</f>
        <v>0.41176470588235292</v>
      </c>
      <c r="U73" s="517"/>
      <c r="W73" s="361" t="s">
        <v>84</v>
      </c>
      <c r="X73" s="324">
        <f>COUNTIFS('1. ALL DATA'!$Y$5:$Y$116,"PROTECTING AND STRENGTHENING COMMUNITIES",'1. ALL DATA'!$W$5:$W$116,"Numerical Outturn Within 5% Tolerance")</f>
        <v>2</v>
      </c>
      <c r="Y73" s="323">
        <f>X73/$X$86</f>
        <v>5.7142857142857141E-2</v>
      </c>
      <c r="Z73" s="520"/>
      <c r="AA73" s="323">
        <f>X73/$X$87</f>
        <v>5.8823529411764705E-2</v>
      </c>
      <c r="AB73" s="517"/>
    </row>
    <row r="74" spans="2:28" ht="7.5" hidden="1" customHeight="1">
      <c r="B74" s="54"/>
      <c r="C74" s="325"/>
      <c r="D74" s="219"/>
      <c r="E74" s="219"/>
      <c r="F74" s="219"/>
      <c r="G74" s="55"/>
      <c r="I74" s="362"/>
      <c r="J74" s="325"/>
      <c r="K74" s="219"/>
      <c r="L74" s="219"/>
      <c r="M74" s="219"/>
      <c r="N74" s="55"/>
      <c r="P74" s="362"/>
      <c r="Q74" s="325"/>
      <c r="R74" s="219"/>
      <c r="S74" s="219"/>
      <c r="T74" s="219"/>
      <c r="U74" s="55"/>
      <c r="W74" s="369"/>
      <c r="X74" s="57"/>
      <c r="Y74" s="219"/>
      <c r="Z74" s="219"/>
      <c r="AA74" s="219"/>
      <c r="AB74" s="55"/>
    </row>
    <row r="75" spans="2:28" ht="18.75" hidden="1" customHeight="1">
      <c r="B75" s="518" t="s">
        <v>27</v>
      </c>
      <c r="C75" s="519">
        <f>COUNTIFS('1. ALL DATA'!$Y$5:$Y$116,"PROTECTING AND STRENGTHENING COMMUNITIES",'1. ALL DATA'!$I$5:$I$116,"In danger of falling behind target")</f>
        <v>1</v>
      </c>
      <c r="D75" s="520">
        <f>C75/C86</f>
        <v>2.8571428571428571E-2</v>
      </c>
      <c r="E75" s="520">
        <f>D75</f>
        <v>2.8571428571428571E-2</v>
      </c>
      <c r="F75" s="520">
        <f>C75/C87</f>
        <v>4.3478260869565216E-2</v>
      </c>
      <c r="G75" s="522">
        <f>F75</f>
        <v>4.3478260869565216E-2</v>
      </c>
      <c r="I75" s="518" t="s">
        <v>27</v>
      </c>
      <c r="J75" s="519">
        <f>COUNTIFS('1. ALL DATA'!$Y$5:$Y$116,"PROTECTING AND STRENGTHENING COMMUNITIES",'1. ALL DATA'!$N$5:$N$116,"In danger of falling behind target")</f>
        <v>1</v>
      </c>
      <c r="K75" s="520">
        <f>J75/J86</f>
        <v>2.8571428571428571E-2</v>
      </c>
      <c r="L75" s="520">
        <f>K75</f>
        <v>2.8571428571428571E-2</v>
      </c>
      <c r="M75" s="520">
        <f>J75/J87</f>
        <v>3.125E-2</v>
      </c>
      <c r="N75" s="522">
        <f>M75</f>
        <v>3.125E-2</v>
      </c>
      <c r="P75" s="518" t="s">
        <v>27</v>
      </c>
      <c r="Q75" s="519">
        <f>COUNTIFS('1. ALL DATA'!$Y$5:$Y$116,"PROTECTING AND STRENGTHENING COMMUNITIES",'1. ALL DATA'!$S$5:$S$116,"In danger of falling behind target")</f>
        <v>2</v>
      </c>
      <c r="R75" s="520">
        <f>Q75/Q86</f>
        <v>5.7142857142857141E-2</v>
      </c>
      <c r="S75" s="520">
        <f>R75</f>
        <v>5.7142857142857141E-2</v>
      </c>
      <c r="T75" s="520">
        <f>Q75/Q87</f>
        <v>5.8823529411764705E-2</v>
      </c>
      <c r="U75" s="522">
        <f>T75</f>
        <v>5.8823529411764705E-2</v>
      </c>
      <c r="W75" s="363" t="s">
        <v>85</v>
      </c>
      <c r="X75" s="324">
        <f>COUNTIFS('1. ALL DATA'!$Y$5:$Y$116,"PROTECTING AND STRENGTHENING COMMUNITIES",'1. ALL DATA'!$W$5:$W$116,"Numerical Outturn Within 10% Tolerance")</f>
        <v>0</v>
      </c>
      <c r="Y75" s="323">
        <f>X75/$X$86</f>
        <v>0</v>
      </c>
      <c r="Z75" s="523">
        <f>SUM(Y75:Y78)</f>
        <v>2.8571428571428571E-2</v>
      </c>
      <c r="AA75" s="328">
        <f>X75/$X$87</f>
        <v>0</v>
      </c>
      <c r="AB75" s="522">
        <f>SUM(AA75:AA78)</f>
        <v>2.9411764705882353E-2</v>
      </c>
    </row>
    <row r="76" spans="2:28" ht="18.75" hidden="1" customHeight="1">
      <c r="B76" s="518"/>
      <c r="C76" s="519"/>
      <c r="D76" s="520"/>
      <c r="E76" s="520"/>
      <c r="F76" s="520"/>
      <c r="G76" s="522"/>
      <c r="I76" s="518"/>
      <c r="J76" s="519"/>
      <c r="K76" s="520"/>
      <c r="L76" s="520"/>
      <c r="M76" s="520"/>
      <c r="N76" s="522"/>
      <c r="P76" s="518"/>
      <c r="Q76" s="519"/>
      <c r="R76" s="520"/>
      <c r="S76" s="520"/>
      <c r="T76" s="520"/>
      <c r="U76" s="522"/>
      <c r="W76" s="363" t="s">
        <v>86</v>
      </c>
      <c r="X76" s="324">
        <f>COUNTIFS('1. ALL DATA'!$Y$5:$Y$116,"PROTECTING AND STRENGTHENING COMMUNITIES",'1. ALL DATA'!$W$5:$W$116,"Target Partially Met")</f>
        <v>1</v>
      </c>
      <c r="Y76" s="323">
        <f>X76/$X$86</f>
        <v>2.8571428571428571E-2</v>
      </c>
      <c r="Z76" s="524"/>
      <c r="AA76" s="328">
        <f>X76/$X$87</f>
        <v>2.9411764705882353E-2</v>
      </c>
      <c r="AB76" s="522"/>
    </row>
    <row r="77" spans="2:28" ht="18.75" hidden="1" customHeight="1">
      <c r="B77" s="518"/>
      <c r="C77" s="519"/>
      <c r="D77" s="520"/>
      <c r="E77" s="520"/>
      <c r="F77" s="520"/>
      <c r="G77" s="522"/>
      <c r="I77" s="518"/>
      <c r="J77" s="519"/>
      <c r="K77" s="520"/>
      <c r="L77" s="520"/>
      <c r="M77" s="520"/>
      <c r="N77" s="522"/>
      <c r="P77" s="518"/>
      <c r="Q77" s="519"/>
      <c r="R77" s="520"/>
      <c r="S77" s="520"/>
      <c r="T77" s="520"/>
      <c r="U77" s="522"/>
      <c r="W77" s="363" t="s">
        <v>88</v>
      </c>
      <c r="X77" s="324">
        <f>COUNTIFS('1. ALL DATA'!$Y$5:$Y$116,"PROTECTING AND STRENGTHENING COMMUNITIES",'1. ALL DATA'!$W$5:$W$116,"Completion Date Within Reasonable Tolerance")</f>
        <v>0</v>
      </c>
      <c r="Y77" s="323">
        <f>X77/$X$86</f>
        <v>0</v>
      </c>
      <c r="Z77" s="525"/>
      <c r="AA77" s="328">
        <f>X77/$X$87</f>
        <v>0</v>
      </c>
      <c r="AB77" s="522"/>
    </row>
    <row r="78" spans="2:28" ht="6" hidden="1" customHeight="1">
      <c r="B78" s="190"/>
      <c r="C78" s="57"/>
      <c r="D78" s="219"/>
      <c r="E78" s="219"/>
      <c r="F78" s="219"/>
      <c r="G78" s="192"/>
      <c r="I78" s="364"/>
      <c r="J78" s="57"/>
      <c r="K78" s="219"/>
      <c r="L78" s="219"/>
      <c r="M78" s="219"/>
      <c r="N78" s="192"/>
      <c r="P78" s="364"/>
      <c r="Q78" s="57"/>
      <c r="R78" s="219"/>
      <c r="S78" s="219"/>
      <c r="T78" s="219"/>
      <c r="U78" s="192"/>
      <c r="W78" s="369"/>
      <c r="X78" s="57"/>
      <c r="Y78" s="219"/>
      <c r="Z78" s="219"/>
      <c r="AA78" s="219"/>
      <c r="AB78" s="192"/>
    </row>
    <row r="79" spans="2:28" ht="30" hidden="1" customHeight="1">
      <c r="B79" s="412" t="s">
        <v>44</v>
      </c>
      <c r="C79" s="322">
        <f>COUNTIFS('1. ALL DATA'!$Y$5:$Y$116,"PROTECTING AND STRENGTHENING COMMUNITIES",'1. ALL DATA'!$I$5:$I$116,"Completed behind schedule")</f>
        <v>0</v>
      </c>
      <c r="D79" s="323">
        <f>C79/C86</f>
        <v>0</v>
      </c>
      <c r="E79" s="520">
        <f>D79+D80</f>
        <v>0</v>
      </c>
      <c r="F79" s="323">
        <f>C79/C87</f>
        <v>0</v>
      </c>
      <c r="G79" s="521">
        <f>F79+F80</f>
        <v>0</v>
      </c>
      <c r="I79" s="414" t="s">
        <v>44</v>
      </c>
      <c r="J79" s="322">
        <f>COUNTIFS('1. ALL DATA'!$Y$5:$Y$116,"PROTECTING AND STRENGTHENING COMMUNITIES",'1. ALL DATA'!$N$5:$N$116,"Completed behind schedule")</f>
        <v>0</v>
      </c>
      <c r="K79" s="323">
        <f>J79/J86</f>
        <v>0</v>
      </c>
      <c r="L79" s="520">
        <f>K79+K80</f>
        <v>0</v>
      </c>
      <c r="M79" s="323">
        <f>J79/J87</f>
        <v>0</v>
      </c>
      <c r="N79" s="521">
        <f>M79+M80</f>
        <v>0</v>
      </c>
      <c r="P79" s="414" t="s">
        <v>44</v>
      </c>
      <c r="Q79" s="322">
        <f>COUNTIFS('1. ALL DATA'!$Y$5:$Y$116,"PROTECTING AND STRENGTHENING COMMUNITIES",'1. ALL DATA'!$S$5:$S$116,"Completed behind schedule")</f>
        <v>0</v>
      </c>
      <c r="R79" s="323">
        <f>Q79/Q86</f>
        <v>0</v>
      </c>
      <c r="S79" s="520">
        <f>R79+R80</f>
        <v>0</v>
      </c>
      <c r="T79" s="323">
        <f>Q79/Q87</f>
        <v>0</v>
      </c>
      <c r="U79" s="521">
        <f>T79+T80</f>
        <v>0</v>
      </c>
      <c r="W79" s="414" t="s">
        <v>87</v>
      </c>
      <c r="X79" s="324">
        <f>COUNTIFS('1. ALL DATA'!$Y$5:$Y$116,"PROTECTING AND STRENGTHENING COMMUNITIES",'1. ALL DATA'!$W$5:$W$116,"Completed Significantly After Target Deadline")</f>
        <v>0</v>
      </c>
      <c r="Y79" s="323">
        <f>X79/$X$86</f>
        <v>0</v>
      </c>
      <c r="Z79" s="520">
        <f>Y79+Y80</f>
        <v>0</v>
      </c>
      <c r="AA79" s="323">
        <f>X79/$X$87</f>
        <v>0</v>
      </c>
      <c r="AB79" s="521">
        <f>AA79+AA80</f>
        <v>0</v>
      </c>
    </row>
    <row r="80" spans="2:28" ht="30" hidden="1" customHeight="1">
      <c r="B80" s="412" t="s">
        <v>28</v>
      </c>
      <c r="C80" s="322">
        <f>COUNTIFS('1. ALL DATA'!$Y$5:$Y$116,"PROTECTING AND STRENGTHENING COMMUNITIES",'1. ALL DATA'!$I$5:$I$116,"Off target")</f>
        <v>0</v>
      </c>
      <c r="D80" s="323">
        <f>C80/C86</f>
        <v>0</v>
      </c>
      <c r="E80" s="520"/>
      <c r="F80" s="323">
        <f>C80/C87</f>
        <v>0</v>
      </c>
      <c r="G80" s="521"/>
      <c r="I80" s="414" t="s">
        <v>28</v>
      </c>
      <c r="J80" s="322">
        <f>COUNTIFS('1. ALL DATA'!$Y$5:$Y$116,"PROTECTING AND STRENGTHENING COMMUNITIES",'1. ALL DATA'!$N$5:$N$116,"Off target")</f>
        <v>0</v>
      </c>
      <c r="K80" s="323">
        <f>J80/J86</f>
        <v>0</v>
      </c>
      <c r="L80" s="520"/>
      <c r="M80" s="323">
        <f>J80/J87</f>
        <v>0</v>
      </c>
      <c r="N80" s="521"/>
      <c r="P80" s="414" t="s">
        <v>28</v>
      </c>
      <c r="Q80" s="322">
        <f>COUNTIFS('1. ALL DATA'!$Y$5:$Y$116,"PROTECTING AND STRENGTHENING COMMUNITIES",'1. ALL DATA'!$S$5:$S$116,"Off target")</f>
        <v>0</v>
      </c>
      <c r="R80" s="323">
        <f>Q80/Q86</f>
        <v>0</v>
      </c>
      <c r="S80" s="520"/>
      <c r="T80" s="323">
        <f>Q80/Q87</f>
        <v>0</v>
      </c>
      <c r="U80" s="521"/>
      <c r="W80" s="414" t="s">
        <v>28</v>
      </c>
      <c r="X80" s="324">
        <f>COUNTIFS('1. ALL DATA'!$Y$5:$Y$116,"PROTECTING AND STRENGTHENING COMMUNITIES",'1. ALL DATA'!$W$5:$W$116,"Off Target")</f>
        <v>0</v>
      </c>
      <c r="Y80" s="323">
        <f>X80/$X$86</f>
        <v>0</v>
      </c>
      <c r="Z80" s="520"/>
      <c r="AA80" s="323">
        <f>X80/$X$87</f>
        <v>0</v>
      </c>
      <c r="AB80" s="521"/>
    </row>
    <row r="81" spans="2:28" ht="5.25" hidden="1" customHeight="1">
      <c r="B81" s="54"/>
      <c r="C81" s="325"/>
      <c r="D81" s="219"/>
      <c r="E81" s="219"/>
      <c r="F81" s="219"/>
      <c r="G81" s="99"/>
      <c r="I81" s="57"/>
      <c r="J81" s="325"/>
      <c r="K81" s="219"/>
      <c r="L81" s="219"/>
      <c r="M81" s="219"/>
      <c r="N81" s="99"/>
      <c r="P81" s="57"/>
      <c r="Q81" s="325"/>
      <c r="R81" s="219"/>
      <c r="S81" s="219"/>
      <c r="T81" s="219"/>
      <c r="U81" s="99"/>
      <c r="W81" s="345"/>
      <c r="X81" s="346"/>
      <c r="Y81" s="341"/>
      <c r="Z81" s="341"/>
      <c r="AA81" s="342"/>
      <c r="AB81" s="272"/>
    </row>
    <row r="82" spans="2:28" ht="15.75" hidden="1" customHeight="1">
      <c r="B82" s="49" t="s">
        <v>2</v>
      </c>
      <c r="C82" s="334">
        <f>COUNTIFS('1. ALL DATA'!$Y$5:$Y$116,"PROTECTING AND STRENGTHENING COMMUNITIES",'1. ALL DATA'!$I$5:$I$116,"Not yet due")</f>
        <v>12</v>
      </c>
      <c r="D82" s="317">
        <f>C82/C86</f>
        <v>0.34285714285714286</v>
      </c>
      <c r="E82" s="317">
        <f>D82</f>
        <v>0.34285714285714286</v>
      </c>
      <c r="F82" s="52"/>
      <c r="G82" s="48"/>
      <c r="I82" s="349" t="s">
        <v>2</v>
      </c>
      <c r="J82" s="334">
        <f>COUNTIFS('1. ALL DATA'!$Y$5:$Y$116,"PROTECTING AND STRENGTHENING COMMUNITIES",'1. ALL DATA'!$N$5:$N$116,"Not yet due")</f>
        <v>3</v>
      </c>
      <c r="K82" s="317">
        <f>J82/J86</f>
        <v>8.5714285714285715E-2</v>
      </c>
      <c r="L82" s="317">
        <f>K82</f>
        <v>8.5714285714285715E-2</v>
      </c>
      <c r="M82" s="52"/>
      <c r="N82" s="48"/>
      <c r="P82" s="349" t="s">
        <v>2</v>
      </c>
      <c r="Q82" s="334">
        <f>COUNTIFS('1. ALL DATA'!$Y$5:$Y$116,"PROTECTING AND STRENGTHENING COMMUNITIES",'1. ALL DATA'!$S$5:$S$116,"Not yet due")</f>
        <v>0</v>
      </c>
      <c r="R82" s="317">
        <f>Q82/Q86</f>
        <v>0</v>
      </c>
      <c r="S82" s="317">
        <f>R82</f>
        <v>0</v>
      </c>
      <c r="T82" s="52"/>
      <c r="U82" s="100"/>
      <c r="W82" s="370" t="s">
        <v>2</v>
      </c>
      <c r="X82" s="334">
        <f>COUNTIFS('1. ALL DATA'!$Y$5:$Y$116,"PROTECTING AND STRENGTHENING COMMUNITIES",'1. ALL DATA'!$W$5:$W$116,"not yet due")</f>
        <v>0</v>
      </c>
      <c r="Y82" s="317">
        <f>X82/$X$86</f>
        <v>0</v>
      </c>
      <c r="Z82" s="317">
        <f>Y82</f>
        <v>0</v>
      </c>
      <c r="AA82" s="52"/>
      <c r="AB82" s="269"/>
    </row>
    <row r="83" spans="2:28" ht="15.75" hidden="1" customHeight="1">
      <c r="B83" s="49" t="s">
        <v>48</v>
      </c>
      <c r="C83" s="334">
        <f>COUNTIFS('1. ALL DATA'!$Y$5:$Y$116,"PROTECTING AND STRENGTHENING COMMUNITIES",'1. ALL DATA'!$I$5:$I$116,"Update not provided")</f>
        <v>0</v>
      </c>
      <c r="D83" s="317">
        <f>C83/C86</f>
        <v>0</v>
      </c>
      <c r="E83" s="317">
        <f>D83</f>
        <v>0</v>
      </c>
      <c r="F83" s="52"/>
      <c r="G83" s="105"/>
      <c r="I83" s="349" t="s">
        <v>48</v>
      </c>
      <c r="J83" s="334">
        <f>COUNTIFS('1. ALL DATA'!$Y$5:$Y$116,"PROTECTING AND STRENGTHENING COMMUNITIES",'1. ALL DATA'!$N$5:$N$116,"Update not provided")</f>
        <v>0</v>
      </c>
      <c r="K83" s="317">
        <f>J83/J86</f>
        <v>0</v>
      </c>
      <c r="L83" s="317">
        <f>K83</f>
        <v>0</v>
      </c>
      <c r="M83" s="52"/>
      <c r="N83" s="105"/>
      <c r="P83" s="349" t="s">
        <v>48</v>
      </c>
      <c r="Q83" s="334">
        <f>COUNTIFS('1. ALL DATA'!$Y$5:$Y$116,"PROTECTING AND STRENGTHENING COMMUNITIES",'1. ALL DATA'!$S$5:$S$116,"Update not provided")</f>
        <v>0</v>
      </c>
      <c r="R83" s="317">
        <f>Q83/Q86</f>
        <v>0</v>
      </c>
      <c r="S83" s="317">
        <f>R83</f>
        <v>0</v>
      </c>
      <c r="T83" s="52"/>
      <c r="U83" s="101"/>
      <c r="W83" s="371" t="s">
        <v>48</v>
      </c>
      <c r="X83" s="334">
        <f>COUNTIFS('1. ALL DATA'!$Y$5:$Y$116,"PROTECTING AND STRENGTHENING COMMUNITIES",'1. ALL DATA'!$W$5:$W$116,"update not provided")</f>
        <v>0</v>
      </c>
      <c r="Y83" s="317">
        <f>X83/$X$86</f>
        <v>0</v>
      </c>
      <c r="Z83" s="317">
        <f>Y83</f>
        <v>0</v>
      </c>
      <c r="AA83" s="52"/>
    </row>
    <row r="84" spans="2:28" ht="15.75" hidden="1" customHeight="1">
      <c r="B84" s="50" t="s">
        <v>23</v>
      </c>
      <c r="C84" s="334">
        <f>COUNTIFS('1. ALL DATA'!$Y$5:$Y$116,"PROTECTING AND STRENGTHENING COMMUNITIES",'1. ALL DATA'!$I$5:$I$116,"Deferred")</f>
        <v>0</v>
      </c>
      <c r="D84" s="318">
        <f>C84/C86</f>
        <v>0</v>
      </c>
      <c r="E84" s="318">
        <f>D84</f>
        <v>0</v>
      </c>
      <c r="F84" s="47"/>
      <c r="G84" s="48"/>
      <c r="I84" s="350" t="s">
        <v>23</v>
      </c>
      <c r="J84" s="334">
        <f>COUNTIFS('1. ALL DATA'!$Y$5:$Y$116,"PROTECTING AND STRENGTHENING COMMUNITIES",'1. ALL DATA'!$N$5:$N$116,"Deferred")</f>
        <v>0</v>
      </c>
      <c r="K84" s="318">
        <f>J84/J86</f>
        <v>0</v>
      </c>
      <c r="L84" s="318">
        <f>K84</f>
        <v>0</v>
      </c>
      <c r="M84" s="47"/>
      <c r="N84" s="48"/>
      <c r="P84" s="350" t="s">
        <v>23</v>
      </c>
      <c r="Q84" s="334">
        <f>COUNTIFS('1. ALL DATA'!$Y$5:$Y$116,"PROTECTING AND STRENGTHENING COMMUNITIES",'1. ALL DATA'!$S$5:$S$116,"Deferred")</f>
        <v>0</v>
      </c>
      <c r="R84" s="318">
        <f>Q84/Q86</f>
        <v>0</v>
      </c>
      <c r="S84" s="318">
        <f>R84</f>
        <v>0</v>
      </c>
      <c r="T84" s="47"/>
      <c r="U84" s="100"/>
      <c r="W84" s="372" t="s">
        <v>23</v>
      </c>
      <c r="X84" s="334">
        <f>COUNTIFS('1. ALL DATA'!$Y$5:$Y$116,"PROTECTING AND STRENGTHENING COMMUNITIES",'1. ALL DATA'!$W$5:$W$116,"Deferred")</f>
        <v>0</v>
      </c>
      <c r="Y84" s="318">
        <f>X84/$X$86</f>
        <v>0</v>
      </c>
      <c r="Z84" s="318">
        <f>Y84</f>
        <v>0</v>
      </c>
      <c r="AA84" s="47"/>
      <c r="AB84" s="269"/>
    </row>
    <row r="85" spans="2:28" ht="15.75" hidden="1" customHeight="1">
      <c r="B85" s="50" t="s">
        <v>29</v>
      </c>
      <c r="C85" s="334">
        <f>COUNTIFS('1. ALL DATA'!$Y$5:$Y$116,"PROTECTING AND STRENGTHENING COMMUNITIES",'1. ALL DATA'!$I$5:$I$116,"Deleted")</f>
        <v>0</v>
      </c>
      <c r="D85" s="318">
        <f>C85/C86</f>
        <v>0</v>
      </c>
      <c r="E85" s="318">
        <f>D85</f>
        <v>0</v>
      </c>
      <c r="F85" s="47"/>
      <c r="G85" s="270" t="s">
        <v>64</v>
      </c>
      <c r="I85" s="350" t="s">
        <v>29</v>
      </c>
      <c r="J85" s="334">
        <f>COUNTIFS('1. ALL DATA'!$Y$5:$Y$116,"PROTECTING AND STRENGTHENING COMMUNITIES",'1. ALL DATA'!$N$5:$N$116,"Deleted")</f>
        <v>0</v>
      </c>
      <c r="K85" s="318">
        <f>J85/J86</f>
        <v>0</v>
      </c>
      <c r="L85" s="318">
        <f>K85</f>
        <v>0</v>
      </c>
      <c r="M85" s="47"/>
      <c r="N85" s="270" t="s">
        <v>64</v>
      </c>
      <c r="P85" s="350" t="s">
        <v>29</v>
      </c>
      <c r="Q85" s="334">
        <f>COUNTIFS('1. ALL DATA'!$Y$5:$Y$116,"PROTECTING AND STRENGTHENING COMMUNITIES",'1. ALL DATA'!$S$5:$S$116,"Deleted")</f>
        <v>1</v>
      </c>
      <c r="R85" s="318">
        <f>Q85/Q86</f>
        <v>2.8571428571428571E-2</v>
      </c>
      <c r="S85" s="318">
        <f>R85</f>
        <v>2.8571428571428571E-2</v>
      </c>
      <c r="T85" s="47"/>
      <c r="U85" s="270" t="s">
        <v>64</v>
      </c>
      <c r="W85" s="372" t="s">
        <v>29</v>
      </c>
      <c r="X85" s="334">
        <f>COUNTIFS('1. ALL DATA'!$Y$5:$Y$116,"PROTECTING AND STRENGTHENING COMMUNITIES",'1. ALL DATA'!$W$5:$W$116,"Deleted")</f>
        <v>1</v>
      </c>
      <c r="Y85" s="318">
        <f>X85/$X$86</f>
        <v>2.8571428571428571E-2</v>
      </c>
      <c r="Z85" s="318">
        <f>Y85</f>
        <v>2.8571428571428571E-2</v>
      </c>
      <c r="AA85" s="47"/>
      <c r="AB85" s="270"/>
    </row>
    <row r="86" spans="2:28" ht="15.75" hidden="1" customHeight="1">
      <c r="B86" s="51" t="s">
        <v>31</v>
      </c>
      <c r="C86" s="336">
        <f>SUM(C72:C85)</f>
        <v>35</v>
      </c>
      <c r="D86" s="47"/>
      <c r="E86" s="47"/>
      <c r="F86" s="48"/>
      <c r="G86" s="48"/>
      <c r="I86" s="351" t="s">
        <v>31</v>
      </c>
      <c r="J86" s="336">
        <f>SUM(J72:J85)</f>
        <v>35</v>
      </c>
      <c r="K86" s="47"/>
      <c r="L86" s="47"/>
      <c r="M86" s="48"/>
      <c r="N86" s="48"/>
      <c r="P86" s="351" t="s">
        <v>31</v>
      </c>
      <c r="Q86" s="336">
        <f>SUM(Q72:Q85)</f>
        <v>35</v>
      </c>
      <c r="R86" s="47"/>
      <c r="S86" s="47"/>
      <c r="T86" s="48"/>
      <c r="U86" s="100"/>
      <c r="W86" s="373" t="s">
        <v>31</v>
      </c>
      <c r="X86" s="336">
        <f>SUM(X72:X85)</f>
        <v>35</v>
      </c>
      <c r="Y86" s="47"/>
      <c r="Z86" s="47"/>
      <c r="AA86" s="48"/>
      <c r="AB86" s="269"/>
    </row>
    <row r="87" spans="2:28" ht="15.75" hidden="1" customHeight="1">
      <c r="B87" s="51" t="s">
        <v>32</v>
      </c>
      <c r="C87" s="336">
        <f>C86-C85-C84-C83-C82</f>
        <v>23</v>
      </c>
      <c r="D87" s="48"/>
      <c r="E87" s="48"/>
      <c r="F87" s="48"/>
      <c r="G87" s="48"/>
      <c r="I87" s="351" t="s">
        <v>32</v>
      </c>
      <c r="J87" s="336">
        <f>J86-J85-J84-J83-J82</f>
        <v>32</v>
      </c>
      <c r="K87" s="48"/>
      <c r="L87" s="48"/>
      <c r="M87" s="48"/>
      <c r="N87" s="48"/>
      <c r="P87" s="351" t="s">
        <v>32</v>
      </c>
      <c r="Q87" s="336">
        <f>Q86-Q85-Q84-Q83-Q82</f>
        <v>34</v>
      </c>
      <c r="R87" s="48"/>
      <c r="S87" s="48"/>
      <c r="T87" s="48"/>
      <c r="U87" s="100"/>
      <c r="W87" s="373" t="s">
        <v>32</v>
      </c>
      <c r="X87" s="336">
        <f>X86-X85-X84-X83-X82</f>
        <v>34</v>
      </c>
      <c r="Y87" s="48"/>
      <c r="Z87" s="48"/>
      <c r="AA87" s="48"/>
      <c r="AB87" s="270" t="s">
        <v>64</v>
      </c>
    </row>
    <row r="88" spans="2:28" ht="15.75" customHeight="1">
      <c r="AB88" s="269"/>
    </row>
    <row r="89" spans="2:28" ht="15.75" customHeight="1">
      <c r="AB89" s="269"/>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8"/>
  <sheetViews>
    <sheetView topLeftCell="A4" zoomScale="70" zoomScaleNormal="70" workbookViewId="0">
      <selection activeCell="A36" sqref="A36:XFD68"/>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8" customWidth="1"/>
    <col min="56" max="16384" width="9.140625" style="3"/>
  </cols>
  <sheetData>
    <row r="1" spans="2:56" s="2" customFormat="1" ht="36" thickTop="1">
      <c r="B1" s="2" t="s">
        <v>33</v>
      </c>
      <c r="M1" s="526" t="s">
        <v>264</v>
      </c>
      <c r="N1" s="527"/>
      <c r="O1" s="527"/>
      <c r="P1" s="527"/>
      <c r="Q1" s="527"/>
      <c r="R1" s="527"/>
      <c r="S1" s="527"/>
      <c r="T1" s="527"/>
      <c r="U1" s="527"/>
      <c r="V1" s="527"/>
      <c r="W1" s="527"/>
      <c r="X1" s="527"/>
      <c r="Y1" s="527"/>
      <c r="Z1" s="528"/>
      <c r="AZ1" s="107"/>
      <c r="BA1" s="107"/>
      <c r="BB1" s="107"/>
      <c r="BC1" s="107"/>
    </row>
    <row r="2" spans="2:56" s="2" customFormat="1" ht="35.25">
      <c r="M2" s="529"/>
      <c r="N2" s="530"/>
      <c r="O2" s="530"/>
      <c r="P2" s="530"/>
      <c r="Q2" s="530"/>
      <c r="R2" s="530"/>
      <c r="S2" s="530"/>
      <c r="T2" s="530"/>
      <c r="U2" s="530"/>
      <c r="V2" s="530"/>
      <c r="W2" s="530"/>
      <c r="X2" s="530"/>
      <c r="Y2" s="530"/>
      <c r="Z2" s="531"/>
      <c r="AZ2" s="107"/>
      <c r="BA2" s="107"/>
      <c r="BB2" s="107"/>
      <c r="BC2" s="107"/>
    </row>
    <row r="3" spans="2:56" s="2" customFormat="1" ht="36" thickBot="1">
      <c r="M3" s="532"/>
      <c r="N3" s="533"/>
      <c r="O3" s="533"/>
      <c r="P3" s="533"/>
      <c r="Q3" s="533"/>
      <c r="R3" s="533"/>
      <c r="S3" s="533"/>
      <c r="T3" s="533"/>
      <c r="U3" s="533"/>
      <c r="V3" s="533"/>
      <c r="W3" s="533"/>
      <c r="X3" s="533"/>
      <c r="Y3" s="533"/>
      <c r="Z3" s="534"/>
      <c r="AZ3" s="107"/>
      <c r="BA3" s="107"/>
      <c r="BB3" s="107"/>
      <c r="BC3" s="107"/>
    </row>
    <row r="4" spans="2:56" ht="15.75" thickTop="1">
      <c r="N4" s="22" t="s">
        <v>64</v>
      </c>
      <c r="W4" s="22" t="s">
        <v>64</v>
      </c>
      <c r="AF4" s="22" t="s">
        <v>64</v>
      </c>
      <c r="AO4" s="22" t="s">
        <v>64</v>
      </c>
    </row>
    <row r="5" spans="2:56">
      <c r="AY5" s="5" t="s">
        <v>34</v>
      </c>
      <c r="AZ5" s="109"/>
      <c r="BA5" s="109"/>
      <c r="BB5" s="109"/>
      <c r="BC5" s="109"/>
      <c r="BD5" s="4"/>
    </row>
    <row r="6" spans="2:56">
      <c r="AY6" s="6"/>
      <c r="AZ6" s="110" t="s">
        <v>35</v>
      </c>
      <c r="BA6" s="110" t="s">
        <v>36</v>
      </c>
      <c r="BB6" s="110" t="s">
        <v>37</v>
      </c>
      <c r="BC6" s="110" t="s">
        <v>38</v>
      </c>
      <c r="BD6" s="4"/>
    </row>
    <row r="7" spans="2:56">
      <c r="AY7" s="7" t="s">
        <v>20</v>
      </c>
      <c r="AZ7" s="204">
        <f>'3. % BY PRIORITY'!G6</f>
        <v>0.98765432098765427</v>
      </c>
      <c r="BA7" s="204">
        <f>'3. % BY PRIORITY'!N6</f>
        <v>0.98989898989898983</v>
      </c>
      <c r="BB7" s="204">
        <f>'3. % BY PRIORITY'!U6</f>
        <v>0.95283018867924529</v>
      </c>
      <c r="BC7" s="204">
        <f>'3. % BY PRIORITY'!AB6</f>
        <v>0.95412844036697253</v>
      </c>
      <c r="BD7" s="4"/>
    </row>
    <row r="8" spans="2:56">
      <c r="L8" s="8"/>
      <c r="M8" s="8"/>
      <c r="AY8" s="7" t="s">
        <v>21</v>
      </c>
      <c r="AZ8" s="204">
        <f>'3. % BY PRIORITY'!G9</f>
        <v>1.2345679012345678E-2</v>
      </c>
      <c r="BA8" s="204">
        <f>'3. % BY PRIORITY'!N9</f>
        <v>1.0101010101010102E-2</v>
      </c>
      <c r="BB8" s="204">
        <f>'3. % BY PRIORITY'!U9</f>
        <v>4.716981132075472E-2</v>
      </c>
      <c r="BC8" s="204">
        <f>'3. % BY PRIORITY'!AB9</f>
        <v>3.669724770642202E-2</v>
      </c>
      <c r="BD8" s="4"/>
    </row>
    <row r="9" spans="2:56">
      <c r="L9" s="8"/>
      <c r="M9" s="8"/>
      <c r="AY9" s="7" t="s">
        <v>22</v>
      </c>
      <c r="AZ9" s="204">
        <f>'3. % BY PRIORITY'!G13</f>
        <v>0</v>
      </c>
      <c r="BA9" s="204">
        <f>'3. % BY PRIORITY'!N13</f>
        <v>0</v>
      </c>
      <c r="BB9" s="204">
        <f>'3. % BY PRIORITY'!U13</f>
        <v>0</v>
      </c>
      <c r="BC9" s="204">
        <f>'3. % BY PRIORITY'!AB13</f>
        <v>9.1743119266055051E-3</v>
      </c>
      <c r="BD9" s="4"/>
    </row>
    <row r="10" spans="2:56">
      <c r="L10" s="8"/>
      <c r="M10" s="8"/>
      <c r="AY10" s="6"/>
      <c r="AZ10" s="111"/>
      <c r="BA10" s="111"/>
      <c r="BB10" s="111"/>
      <c r="BC10" s="111"/>
      <c r="BD10" s="4"/>
    </row>
    <row r="11" spans="2:56">
      <c r="AY11" s="9"/>
      <c r="AZ11" s="112"/>
      <c r="BA11" s="112"/>
      <c r="BB11" s="113"/>
      <c r="BC11" s="113"/>
      <c r="BD11" s="4"/>
    </row>
    <row r="12" spans="2:56">
      <c r="AY12" s="9"/>
      <c r="AZ12" s="112"/>
      <c r="BA12" s="112"/>
      <c r="BB12" s="113"/>
      <c r="BC12" s="113"/>
      <c r="BD12" s="4"/>
    </row>
    <row r="13" spans="2:56">
      <c r="AY13" s="9"/>
      <c r="AZ13" s="112"/>
      <c r="BA13" s="112"/>
      <c r="BB13" s="113"/>
      <c r="BC13" s="113"/>
      <c r="BD13" s="4"/>
    </row>
    <row r="14" spans="2:56">
      <c r="AY14" s="4"/>
      <c r="AZ14" s="109"/>
      <c r="BA14" s="109"/>
      <c r="BB14" s="109"/>
      <c r="BC14" s="109"/>
      <c r="BD14" s="4"/>
    </row>
    <row r="15" spans="2:56">
      <c r="AY15" s="4"/>
      <c r="AZ15" s="109"/>
      <c r="BA15" s="109"/>
      <c r="BB15" s="109"/>
      <c r="BC15" s="109"/>
      <c r="BD15" s="4"/>
    </row>
    <row r="16" spans="2:56">
      <c r="AY16" s="4"/>
      <c r="AZ16" s="109"/>
      <c r="BA16" s="109"/>
      <c r="BB16" s="109"/>
      <c r="BC16" s="109"/>
      <c r="BD16" s="4"/>
    </row>
    <row r="17" spans="12:56">
      <c r="AY17" s="4"/>
      <c r="AZ17" s="109"/>
      <c r="BA17" s="109"/>
      <c r="BB17" s="109"/>
      <c r="BC17" s="109"/>
      <c r="BD17" s="4"/>
    </row>
    <row r="18" spans="12:56">
      <c r="AY18" s="4"/>
      <c r="AZ18" s="109"/>
      <c r="BA18" s="109"/>
      <c r="BB18" s="109"/>
      <c r="BC18" s="109"/>
      <c r="BD18" s="4"/>
    </row>
    <row r="19" spans="12:56">
      <c r="AY19" s="4"/>
      <c r="AZ19" s="109"/>
      <c r="BA19" s="109"/>
      <c r="BB19" s="109"/>
      <c r="BC19" s="109"/>
      <c r="BD19" s="4"/>
    </row>
    <row r="20" spans="12:56">
      <c r="N20" s="22" t="s">
        <v>64</v>
      </c>
      <c r="W20" s="22" t="s">
        <v>64</v>
      </c>
      <c r="AF20" s="22" t="s">
        <v>64</v>
      </c>
      <c r="AO20" s="22" t="s">
        <v>64</v>
      </c>
      <c r="AY20" s="4"/>
      <c r="AZ20" s="109"/>
      <c r="BA20" s="109"/>
      <c r="BB20" s="109"/>
      <c r="BC20" s="109"/>
      <c r="BD20" s="4"/>
    </row>
    <row r="21" spans="12:56">
      <c r="AY21" s="5" t="s">
        <v>250</v>
      </c>
      <c r="AZ21" s="109"/>
      <c r="BA21" s="109"/>
      <c r="BB21" s="109"/>
      <c r="BC21" s="109"/>
      <c r="BD21" s="4"/>
    </row>
    <row r="22" spans="12:56">
      <c r="AY22" s="6"/>
      <c r="AZ22" s="110" t="s">
        <v>35</v>
      </c>
      <c r="BA22" s="110" t="s">
        <v>36</v>
      </c>
      <c r="BB22" s="110" t="s">
        <v>37</v>
      </c>
      <c r="BC22" s="110" t="s">
        <v>38</v>
      </c>
      <c r="BD22" s="4"/>
    </row>
    <row r="23" spans="12:56">
      <c r="AY23" s="7" t="s">
        <v>20</v>
      </c>
      <c r="AZ23" s="204">
        <f>'3. % BY PRIORITY'!G28</f>
        <v>1</v>
      </c>
      <c r="BA23" s="204">
        <f>'3. % BY PRIORITY'!N28</f>
        <v>1</v>
      </c>
      <c r="BB23" s="204">
        <f>'3. % BY PRIORITY'!U28</f>
        <v>0.9375</v>
      </c>
      <c r="BC23" s="204">
        <f>'3. % BY PRIORITY'!AB28</f>
        <v>0.94117647058823528</v>
      </c>
      <c r="BD23" s="4"/>
    </row>
    <row r="24" spans="12:56">
      <c r="L24" s="8"/>
      <c r="M24" s="8"/>
      <c r="AY24" s="7" t="s">
        <v>21</v>
      </c>
      <c r="AZ24" s="204">
        <f>'3. % BY PRIORITY'!G31</f>
        <v>0</v>
      </c>
      <c r="BA24" s="204">
        <f>'3. % BY PRIORITY'!N31</f>
        <v>0</v>
      </c>
      <c r="BB24" s="204">
        <f>'3. % BY PRIORITY'!U31</f>
        <v>6.25E-2</v>
      </c>
      <c r="BC24" s="204">
        <f>'3. % BY PRIORITY'!AB31</f>
        <v>3.9215686274509803E-2</v>
      </c>
      <c r="BD24" s="4"/>
    </row>
    <row r="25" spans="12:56">
      <c r="L25" s="8"/>
      <c r="M25" s="8"/>
      <c r="AY25" s="7" t="s">
        <v>22</v>
      </c>
      <c r="AZ25" s="204">
        <f>'3. % BY PRIORITY'!G35</f>
        <v>0</v>
      </c>
      <c r="BA25" s="204">
        <f>'3. % BY PRIORITY'!N35</f>
        <v>0</v>
      </c>
      <c r="BB25" s="204">
        <f>'3. % BY PRIORITY'!U35</f>
        <v>0</v>
      </c>
      <c r="BC25" s="204">
        <f>'3. % BY PRIORITY'!AB35</f>
        <v>1.9607843137254902E-2</v>
      </c>
      <c r="BD25" s="4"/>
    </row>
    <row r="26" spans="12:56">
      <c r="L26" s="8"/>
      <c r="M26" s="8"/>
      <c r="AY26" s="4"/>
      <c r="AZ26" s="109"/>
      <c r="BA26" s="109"/>
      <c r="BB26" s="109"/>
      <c r="BC26" s="109"/>
      <c r="BD26" s="4"/>
    </row>
    <row r="27" spans="12:56">
      <c r="AY27" s="9"/>
      <c r="AZ27" s="109"/>
      <c r="BA27" s="109"/>
      <c r="BB27" s="109"/>
      <c r="BC27" s="109"/>
      <c r="BD27" s="4"/>
    </row>
    <row r="28" spans="12:56">
      <c r="AY28" s="9"/>
      <c r="AZ28" s="109"/>
      <c r="BA28" s="109"/>
      <c r="BB28" s="109"/>
      <c r="BC28" s="109"/>
      <c r="BD28" s="4"/>
    </row>
    <row r="29" spans="12:56">
      <c r="AY29" s="9"/>
      <c r="AZ29" s="109"/>
      <c r="BA29" s="109"/>
      <c r="BB29" s="109"/>
      <c r="BC29" s="109"/>
      <c r="BD29" s="4"/>
    </row>
    <row r="30" spans="12:56">
      <c r="AY30" s="4"/>
      <c r="AZ30" s="109"/>
      <c r="BA30" s="109"/>
      <c r="BB30" s="109"/>
      <c r="BC30" s="109"/>
      <c r="BD30" s="4"/>
    </row>
    <row r="31" spans="12:56">
      <c r="AY31" s="4"/>
      <c r="AZ31" s="109"/>
      <c r="BA31" s="109"/>
      <c r="BB31" s="109"/>
      <c r="BC31" s="109"/>
      <c r="BD31" s="4"/>
    </row>
    <row r="32" spans="12:56">
      <c r="AY32" s="4"/>
      <c r="AZ32" s="109"/>
      <c r="BA32" s="109"/>
      <c r="BB32" s="109"/>
      <c r="BC32" s="109"/>
      <c r="BD32" s="4"/>
    </row>
    <row r="33" spans="11:56">
      <c r="AY33" s="4"/>
      <c r="AZ33" s="109"/>
      <c r="BA33" s="109"/>
      <c r="BB33" s="109"/>
      <c r="BC33" s="109"/>
      <c r="BD33" s="4"/>
    </row>
    <row r="34" spans="11:56">
      <c r="AY34" s="4"/>
      <c r="AZ34" s="109"/>
      <c r="BA34" s="109"/>
      <c r="BB34" s="109"/>
      <c r="BC34" s="109"/>
      <c r="BD34" s="4"/>
    </row>
    <row r="35" spans="11:56">
      <c r="AY35" s="4"/>
      <c r="AZ35" s="109"/>
      <c r="BA35" s="109"/>
      <c r="BB35" s="109"/>
      <c r="BC35" s="109"/>
      <c r="BD35" s="4"/>
    </row>
    <row r="36" spans="11:56" hidden="1">
      <c r="N36" s="22" t="s">
        <v>64</v>
      </c>
      <c r="W36" s="22" t="s">
        <v>64</v>
      </c>
      <c r="AF36" s="22" t="s">
        <v>64</v>
      </c>
      <c r="AO36" s="22" t="s">
        <v>64</v>
      </c>
      <c r="AY36" s="4"/>
      <c r="AZ36" s="109"/>
      <c r="BA36" s="109"/>
      <c r="BB36" s="109"/>
      <c r="BC36" s="109"/>
      <c r="BD36" s="4"/>
    </row>
    <row r="37" spans="11:56" hidden="1">
      <c r="AY37" s="5" t="s">
        <v>251</v>
      </c>
      <c r="AZ37" s="114"/>
      <c r="BA37" s="114"/>
      <c r="BB37" s="114"/>
      <c r="BC37" s="114"/>
      <c r="BD37" s="10"/>
    </row>
    <row r="38" spans="11:56" hidden="1">
      <c r="AY38" s="11"/>
      <c r="AZ38" s="110" t="s">
        <v>35</v>
      </c>
      <c r="BA38" s="110" t="s">
        <v>36</v>
      </c>
      <c r="BB38" s="110" t="s">
        <v>37</v>
      </c>
      <c r="BC38" s="110" t="s">
        <v>38</v>
      </c>
      <c r="BD38" s="10"/>
    </row>
    <row r="39" spans="11:56" hidden="1">
      <c r="AY39" s="7" t="s">
        <v>20</v>
      </c>
      <c r="AZ39" s="204">
        <f>'3. % BY PRIORITY'!G50</f>
        <v>1</v>
      </c>
      <c r="BA39" s="204">
        <f>'3. % BY PRIORITY'!N50</f>
        <v>1</v>
      </c>
      <c r="BB39" s="204">
        <f>'3. % BY PRIORITY'!U50</f>
        <v>1</v>
      </c>
      <c r="BC39" s="204">
        <f>'3. % BY PRIORITY'!AB50</f>
        <v>0.95833333333333337</v>
      </c>
      <c r="BD39" s="10"/>
    </row>
    <row r="40" spans="11:56" hidden="1">
      <c r="K40" s="8"/>
      <c r="L40" s="8"/>
      <c r="AY40" s="7" t="s">
        <v>21</v>
      </c>
      <c r="AZ40" s="204">
        <f>'3. % BY PRIORITY'!G53</f>
        <v>0</v>
      </c>
      <c r="BA40" s="204">
        <f>'3. % BY PRIORITY'!N53</f>
        <v>0</v>
      </c>
      <c r="BB40" s="204">
        <f>'3. % BY PRIORITY'!U53</f>
        <v>0</v>
      </c>
      <c r="BC40" s="204">
        <f>'3. % BY PRIORITY'!AB53</f>
        <v>4.1666666666666664E-2</v>
      </c>
      <c r="BD40" s="10"/>
    </row>
    <row r="41" spans="11:56" hidden="1">
      <c r="K41" s="8"/>
      <c r="L41" s="8"/>
      <c r="AY41" s="7" t="s">
        <v>22</v>
      </c>
      <c r="AZ41" s="204">
        <f>'3. % BY PRIORITY'!G57</f>
        <v>0</v>
      </c>
      <c r="BA41" s="204">
        <f>'3. % BY PRIORITY'!N57</f>
        <v>0</v>
      </c>
      <c r="BB41" s="204">
        <f>'3. % BY PRIORITY'!U57</f>
        <v>0</v>
      </c>
      <c r="BC41" s="204">
        <f>'3. % BY PRIORITY'!AB57</f>
        <v>0</v>
      </c>
      <c r="BD41" s="10"/>
    </row>
    <row r="42" spans="11:56" hidden="1">
      <c r="K42" s="8"/>
      <c r="L42" s="8"/>
      <c r="AY42" s="4"/>
      <c r="AZ42" s="109"/>
      <c r="BA42" s="109"/>
      <c r="BB42" s="109"/>
      <c r="BC42" s="109"/>
      <c r="BD42" s="4"/>
    </row>
    <row r="43" spans="11:56" hidden="1">
      <c r="AY43" s="9"/>
      <c r="AZ43" s="109"/>
      <c r="BA43" s="109"/>
      <c r="BB43" s="109"/>
      <c r="BC43" s="109"/>
      <c r="BD43" s="4"/>
    </row>
    <row r="44" spans="11:56" hidden="1">
      <c r="AY44" s="9"/>
      <c r="AZ44" s="109"/>
      <c r="BA44" s="109"/>
      <c r="BB44" s="109"/>
      <c r="BC44" s="109"/>
      <c r="BD44" s="4"/>
    </row>
    <row r="45" spans="11:56" hidden="1">
      <c r="AY45" s="9"/>
      <c r="AZ45" s="109"/>
      <c r="BA45" s="109"/>
      <c r="BB45" s="109"/>
      <c r="BC45" s="109"/>
      <c r="BD45" s="4"/>
    </row>
    <row r="46" spans="11:56" hidden="1">
      <c r="AY46" s="4"/>
      <c r="AZ46" s="109"/>
      <c r="BA46" s="109"/>
      <c r="BB46" s="109"/>
      <c r="BC46" s="109"/>
      <c r="BD46" s="4"/>
    </row>
    <row r="47" spans="11:56" hidden="1">
      <c r="AY47" s="4"/>
      <c r="AZ47" s="109"/>
      <c r="BA47" s="109"/>
      <c r="BB47" s="109"/>
      <c r="BC47" s="109"/>
      <c r="BD47" s="4"/>
    </row>
    <row r="48" spans="11:56" hidden="1">
      <c r="AY48" s="4"/>
      <c r="AZ48" s="109"/>
      <c r="BA48" s="109"/>
      <c r="BB48" s="109"/>
      <c r="BC48" s="109"/>
      <c r="BD48" s="4"/>
    </row>
    <row r="49" spans="12:56" hidden="1">
      <c r="AY49" s="4"/>
      <c r="AZ49" s="109"/>
      <c r="BA49" s="109"/>
      <c r="BB49" s="109"/>
      <c r="BC49" s="109"/>
      <c r="BD49" s="4"/>
    </row>
    <row r="50" spans="12:56" hidden="1">
      <c r="AY50" s="4"/>
      <c r="AZ50" s="109"/>
      <c r="BA50" s="109"/>
      <c r="BB50" s="109"/>
      <c r="BC50" s="109"/>
      <c r="BD50" s="4"/>
    </row>
    <row r="51" spans="12:56" hidden="1">
      <c r="AY51" s="4"/>
      <c r="AZ51" s="109"/>
      <c r="BA51" s="109"/>
      <c r="BB51" s="109"/>
      <c r="BC51" s="109"/>
      <c r="BD51" s="4"/>
    </row>
    <row r="52" spans="12:56" hidden="1">
      <c r="N52" s="22" t="s">
        <v>64</v>
      </c>
      <c r="W52" s="22" t="s">
        <v>64</v>
      </c>
      <c r="AF52" s="22" t="s">
        <v>64</v>
      </c>
      <c r="AP52" s="22" t="s">
        <v>64</v>
      </c>
      <c r="AY52" s="4"/>
      <c r="AZ52" s="109"/>
      <c r="BA52" s="109"/>
      <c r="BB52" s="109"/>
      <c r="BC52" s="109"/>
      <c r="BD52" s="4"/>
    </row>
    <row r="53" spans="12:56" hidden="1">
      <c r="AY53" s="5" t="s">
        <v>252</v>
      </c>
      <c r="AZ53" s="114"/>
      <c r="BA53" s="114"/>
      <c r="BB53" s="114"/>
      <c r="BC53" s="114"/>
      <c r="BD53" s="4"/>
    </row>
    <row r="54" spans="12:56" hidden="1">
      <c r="AY54" s="11"/>
      <c r="AZ54" s="110" t="s">
        <v>35</v>
      </c>
      <c r="BA54" s="110" t="s">
        <v>36</v>
      </c>
      <c r="BB54" s="110" t="s">
        <v>37</v>
      </c>
      <c r="BC54" s="110" t="s">
        <v>38</v>
      </c>
      <c r="BD54" s="4"/>
    </row>
    <row r="55" spans="12:56" hidden="1">
      <c r="AY55" s="7" t="s">
        <v>20</v>
      </c>
      <c r="AZ55" s="204">
        <f>'3. % BY PRIORITY'!G72</f>
        <v>0.95652173913043481</v>
      </c>
      <c r="BA55" s="204">
        <f>'3. % BY PRIORITY'!N72</f>
        <v>0.96875</v>
      </c>
      <c r="BB55" s="204">
        <f>'3. % BY PRIORITY'!U72</f>
        <v>0.94117647058823528</v>
      </c>
      <c r="BC55" s="204">
        <f>'3. % BY PRIORITY'!AB72</f>
        <v>0.97058823529411764</v>
      </c>
      <c r="BD55" s="4"/>
    </row>
    <row r="56" spans="12:56" hidden="1">
      <c r="L56" s="8"/>
      <c r="M56" s="8"/>
      <c r="AY56" s="7" t="s">
        <v>21</v>
      </c>
      <c r="AZ56" s="204">
        <f>'3. % BY PRIORITY'!G75</f>
        <v>4.3478260869565216E-2</v>
      </c>
      <c r="BA56" s="204">
        <f>'3. % BY PRIORITY'!N75</f>
        <v>3.125E-2</v>
      </c>
      <c r="BB56" s="204">
        <f>'3. % BY PRIORITY'!U75</f>
        <v>5.8823529411764705E-2</v>
      </c>
      <c r="BC56" s="204">
        <f>'3. % BY PRIORITY'!AB75</f>
        <v>2.9411764705882353E-2</v>
      </c>
      <c r="BD56" s="4"/>
    </row>
    <row r="57" spans="12:56" hidden="1">
      <c r="L57" s="8"/>
      <c r="M57" s="8"/>
      <c r="AY57" s="7" t="s">
        <v>22</v>
      </c>
      <c r="AZ57" s="204">
        <f>'3. % BY PRIORITY'!G79</f>
        <v>0</v>
      </c>
      <c r="BA57" s="204">
        <f>'3. % BY PRIORITY'!N79</f>
        <v>0</v>
      </c>
      <c r="BB57" s="204">
        <f>'3. % BY PRIORITY'!U79</f>
        <v>0</v>
      </c>
      <c r="BC57" s="204">
        <f>'3. % BY PRIORITY'!AB79</f>
        <v>0</v>
      </c>
      <c r="BD57" s="4"/>
    </row>
    <row r="58" spans="12:56" hidden="1">
      <c r="L58" s="8"/>
      <c r="M58" s="8"/>
      <c r="AY58" s="4"/>
      <c r="AZ58" s="109"/>
      <c r="BA58" s="109"/>
      <c r="BB58" s="109"/>
      <c r="BC58" s="109"/>
      <c r="BD58" s="4"/>
    </row>
    <row r="59" spans="12:56" hidden="1">
      <c r="AY59" s="9"/>
      <c r="AZ59" s="109"/>
      <c r="BA59" s="109"/>
      <c r="BB59" s="109"/>
      <c r="BC59" s="109"/>
      <c r="BD59" s="4"/>
    </row>
    <row r="60" spans="12:56" hidden="1">
      <c r="AY60" s="9"/>
      <c r="AZ60" s="109"/>
      <c r="BA60" s="109"/>
      <c r="BB60" s="109"/>
      <c r="BC60" s="109"/>
      <c r="BD60" s="4"/>
    </row>
    <row r="61" spans="12:56" hidden="1">
      <c r="AY61" s="9"/>
      <c r="AZ61" s="109"/>
      <c r="BA61" s="109"/>
      <c r="BB61" s="109"/>
      <c r="BC61" s="109"/>
      <c r="BD61" s="4"/>
    </row>
    <row r="62" spans="12:56" hidden="1">
      <c r="AY62" s="4"/>
      <c r="AZ62" s="109"/>
      <c r="BA62" s="109"/>
      <c r="BB62" s="109"/>
      <c r="BC62" s="109"/>
      <c r="BD62" s="4"/>
    </row>
    <row r="63" spans="12:56" hidden="1">
      <c r="AY63" s="4"/>
      <c r="AZ63" s="109"/>
      <c r="BA63" s="109"/>
      <c r="BB63" s="109"/>
      <c r="BC63" s="109"/>
      <c r="BD63" s="4"/>
    </row>
    <row r="64" spans="12:56" hidden="1">
      <c r="AY64" s="4"/>
      <c r="AZ64" s="109"/>
      <c r="BA64" s="109"/>
      <c r="BB64" s="109"/>
      <c r="BC64" s="109"/>
      <c r="BD64" s="4"/>
    </row>
    <row r="65" spans="51:56" hidden="1">
      <c r="AY65" s="4"/>
      <c r="AZ65" s="109"/>
      <c r="BA65" s="109"/>
      <c r="BB65" s="109"/>
      <c r="BC65" s="109"/>
      <c r="BD65" s="4"/>
    </row>
    <row r="66" spans="51:56" hidden="1">
      <c r="AY66" s="4"/>
      <c r="AZ66" s="109"/>
      <c r="BA66" s="109"/>
      <c r="BB66" s="109"/>
      <c r="BC66" s="109"/>
      <c r="BD66" s="4"/>
    </row>
    <row r="67" spans="51:56" hidden="1"/>
    <row r="68" spans="51:56" hidden="1"/>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32"/>
  <sheetViews>
    <sheetView topLeftCell="N1" zoomScale="70" zoomScaleNormal="70" workbookViewId="0">
      <pane ySplit="1" topLeftCell="A2" activePane="bottomLeft" state="frozen"/>
      <selection pane="bottomLeft" activeCell="AA9" sqref="AA9:AA11"/>
    </sheetView>
  </sheetViews>
  <sheetFormatPr defaultColWidth="9.140625" defaultRowHeight="14.25"/>
  <cols>
    <col min="1" max="1" width="38.85546875" style="62" customWidth="1"/>
    <col min="2" max="2" width="13.7109375" style="62" customWidth="1"/>
    <col min="3" max="3" width="13.85546875" style="62" customWidth="1"/>
    <col min="4" max="4" width="16.28515625" style="62" customWidth="1"/>
    <col min="5" max="5" width="14.140625" style="62" customWidth="1"/>
    <col min="6" max="6" width="17.140625" style="86" customWidth="1"/>
    <col min="7" max="7" width="4.7109375" style="62" customWidth="1"/>
    <col min="8" max="8" width="40.140625" style="62" customWidth="1"/>
    <col min="9" max="12" width="17.140625" style="62" customWidth="1"/>
    <col min="13" max="13" width="17.140625" style="86" customWidth="1"/>
    <col min="14" max="14" width="4.7109375" style="62" customWidth="1"/>
    <col min="15" max="15" width="40.140625" style="62" customWidth="1"/>
    <col min="16" max="19" width="17.140625" style="62" customWidth="1"/>
    <col min="20" max="20" width="17.140625" style="96" customWidth="1"/>
    <col min="21" max="21" width="4.7109375" style="62" customWidth="1"/>
    <col min="22" max="22" width="55.28515625" style="62" customWidth="1"/>
    <col min="23" max="23" width="14.5703125" style="62" customWidth="1"/>
    <col min="24" max="26" width="17.140625" style="62" customWidth="1"/>
    <col min="27" max="27" width="17.140625" style="268" customWidth="1"/>
    <col min="28" max="16384" width="9.140625" style="62"/>
  </cols>
  <sheetData>
    <row r="1" spans="1:27" s="60" customFormat="1" ht="20.25">
      <c r="A1" s="232"/>
      <c r="B1" s="233" t="s">
        <v>14</v>
      </c>
      <c r="C1" s="234"/>
      <c r="D1" s="234"/>
      <c r="E1" s="234"/>
      <c r="F1" s="235"/>
      <c r="H1" s="233" t="s">
        <v>15</v>
      </c>
      <c r="I1" s="236"/>
      <c r="J1" s="232"/>
      <c r="K1" s="232"/>
      <c r="L1" s="232"/>
      <c r="M1" s="237"/>
      <c r="O1" s="232" t="s">
        <v>16</v>
      </c>
      <c r="P1" s="232"/>
      <c r="Q1" s="232"/>
      <c r="R1" s="232"/>
      <c r="S1" s="232"/>
      <c r="T1" s="238"/>
      <c r="V1" s="232" t="s">
        <v>17</v>
      </c>
      <c r="W1" s="232"/>
      <c r="X1" s="232"/>
      <c r="Y1" s="232"/>
      <c r="Z1" s="232"/>
      <c r="AA1" s="289"/>
    </row>
    <row r="2" spans="1:27" ht="15.75">
      <c r="A2" s="69"/>
      <c r="B2" s="69"/>
      <c r="C2" s="69"/>
      <c r="D2" s="69"/>
      <c r="E2" s="69"/>
      <c r="F2" s="61"/>
      <c r="H2" s="70"/>
      <c r="I2" s="70"/>
      <c r="J2" s="70"/>
      <c r="K2" s="70"/>
      <c r="L2" s="70"/>
      <c r="M2" s="104"/>
      <c r="O2" s="70"/>
      <c r="P2" s="70"/>
      <c r="Q2" s="70"/>
      <c r="R2" s="70"/>
      <c r="S2" s="70"/>
      <c r="T2" s="92"/>
      <c r="V2" s="70"/>
      <c r="W2" s="70"/>
      <c r="X2" s="70"/>
      <c r="Y2" s="70"/>
      <c r="Z2" s="70"/>
      <c r="AA2" s="263"/>
    </row>
    <row r="3" spans="1:27" s="65" customFormat="1" ht="15.75">
      <c r="A3" s="380" t="s">
        <v>78</v>
      </c>
      <c r="B3" s="374"/>
      <c r="C3" s="374"/>
      <c r="D3" s="374"/>
      <c r="E3" s="374"/>
      <c r="F3" s="375"/>
      <c r="H3" s="380" t="s">
        <v>78</v>
      </c>
      <c r="I3" s="374"/>
      <c r="J3" s="374"/>
      <c r="K3" s="374"/>
      <c r="L3" s="374"/>
      <c r="M3" s="375"/>
      <c r="O3" s="380" t="s">
        <v>78</v>
      </c>
      <c r="P3" s="374"/>
      <c r="Q3" s="374"/>
      <c r="R3" s="374"/>
      <c r="S3" s="374"/>
      <c r="T3" s="375"/>
      <c r="V3" s="380" t="s">
        <v>78</v>
      </c>
      <c r="W3" s="374"/>
      <c r="X3" s="374"/>
      <c r="Y3" s="374"/>
      <c r="Z3" s="374"/>
      <c r="AA3" s="375"/>
    </row>
    <row r="4" spans="1:27" ht="42" customHeight="1">
      <c r="A4" s="376" t="s">
        <v>24</v>
      </c>
      <c r="B4" s="376" t="s">
        <v>25</v>
      </c>
      <c r="C4" s="376" t="s">
        <v>19</v>
      </c>
      <c r="D4" s="376" t="s">
        <v>50</v>
      </c>
      <c r="E4" s="376" t="s">
        <v>30</v>
      </c>
      <c r="F4" s="377" t="s">
        <v>51</v>
      </c>
      <c r="H4" s="376" t="s">
        <v>24</v>
      </c>
      <c r="I4" s="376" t="s">
        <v>25</v>
      </c>
      <c r="J4" s="376" t="s">
        <v>19</v>
      </c>
      <c r="K4" s="376" t="s">
        <v>50</v>
      </c>
      <c r="L4" s="376" t="s">
        <v>30</v>
      </c>
      <c r="M4" s="377" t="s">
        <v>51</v>
      </c>
      <c r="O4" s="376" t="s">
        <v>24</v>
      </c>
      <c r="P4" s="376" t="s">
        <v>25</v>
      </c>
      <c r="Q4" s="376" t="s">
        <v>19</v>
      </c>
      <c r="R4" s="376" t="s">
        <v>50</v>
      </c>
      <c r="S4" s="376" t="s">
        <v>30</v>
      </c>
      <c r="T4" s="378" t="s">
        <v>51</v>
      </c>
      <c r="V4" s="376" t="s">
        <v>24</v>
      </c>
      <c r="W4" s="376" t="s">
        <v>25</v>
      </c>
      <c r="X4" s="376" t="s">
        <v>19</v>
      </c>
      <c r="Y4" s="376" t="s">
        <v>50</v>
      </c>
      <c r="Z4" s="376" t="s">
        <v>30</v>
      </c>
      <c r="AA4" s="379" t="s">
        <v>51</v>
      </c>
    </row>
    <row r="5" spans="1:27" s="65" customFormat="1" ht="6" customHeight="1">
      <c r="A5" s="190"/>
      <c r="B5" s="190"/>
      <c r="C5" s="190"/>
      <c r="D5" s="190"/>
      <c r="E5" s="190"/>
      <c r="F5" s="202"/>
      <c r="H5" s="190"/>
      <c r="I5" s="190"/>
      <c r="J5" s="190"/>
      <c r="K5" s="190"/>
      <c r="L5" s="190"/>
      <c r="M5" s="202"/>
      <c r="O5" s="190"/>
      <c r="P5" s="190"/>
      <c r="Q5" s="190"/>
      <c r="R5" s="190"/>
      <c r="S5" s="190"/>
      <c r="T5" s="203"/>
      <c r="V5" s="190"/>
      <c r="W5" s="190"/>
      <c r="X5" s="190"/>
      <c r="Y5" s="190"/>
      <c r="Z5" s="190"/>
      <c r="AA5" s="266"/>
    </row>
    <row r="6" spans="1:27" ht="21.75" customHeight="1">
      <c r="A6" s="312" t="s">
        <v>47</v>
      </c>
      <c r="B6" s="64">
        <f>COUNTIFS('1. ALL DATA'!$AA$5:$AA$116,"LEADER OF THE COUNCIL",'1. ALL DATA'!$I$5:$I$116,"Fully Achieved")</f>
        <v>6</v>
      </c>
      <c r="C6" s="127">
        <f>B6/B20</f>
        <v>0.21428571428571427</v>
      </c>
      <c r="D6" s="535">
        <f>C6+C7</f>
        <v>0.7142857142857143</v>
      </c>
      <c r="E6" s="127">
        <f>B6/B21</f>
        <v>0.3</v>
      </c>
      <c r="F6" s="517">
        <f>E6+E7</f>
        <v>1</v>
      </c>
      <c r="H6" s="312" t="s">
        <v>47</v>
      </c>
      <c r="I6" s="73">
        <f>COUNTIFS('1. ALL DATA'!$AA$5:$AA$116,"LEADER OF THE COUNCIL",'1. ALL DATA'!$N$5:$N$116,"Fully Achieved")</f>
        <v>9</v>
      </c>
      <c r="J6" s="127">
        <f>I6/I20</f>
        <v>0.32142857142857145</v>
      </c>
      <c r="K6" s="535">
        <f>J6+J7</f>
        <v>0.89285714285714279</v>
      </c>
      <c r="L6" s="127">
        <f>I6/I21</f>
        <v>0.36</v>
      </c>
      <c r="M6" s="517">
        <f>L6+L7</f>
        <v>1</v>
      </c>
      <c r="O6" s="312" t="s">
        <v>47</v>
      </c>
      <c r="P6" s="73">
        <f>COUNTIFS('1. ALL DATA'!$AA$5:$AA$116,"LEADER OF THE COUNCIL",'1. ALL DATA'!$S$5:$S$116,"Fully Achieved")</f>
        <v>11</v>
      </c>
      <c r="Q6" s="127">
        <f>P6/P20</f>
        <v>0.39285714285714285</v>
      </c>
      <c r="R6" s="535">
        <f>Q6+Q7</f>
        <v>0.89285714285714279</v>
      </c>
      <c r="S6" s="127">
        <f>P6/P21</f>
        <v>0.40740740740740738</v>
      </c>
      <c r="T6" s="517">
        <f>S6+S7</f>
        <v>0.92592592592592582</v>
      </c>
      <c r="V6" s="312" t="s">
        <v>42</v>
      </c>
      <c r="W6" s="128">
        <f>COUNTIFS('1. ALL DATA'!$AA$5:$AA$116,"LEADER OF THE COUNCIL",'1. ALL DATA'!$W$5:$W$116,"Fully Achieved")</f>
        <v>24</v>
      </c>
      <c r="X6" s="127">
        <f>W6/$W$20</f>
        <v>0.8571428571428571</v>
      </c>
      <c r="Y6" s="535">
        <f>X6+X7</f>
        <v>0.92857142857142849</v>
      </c>
      <c r="Z6" s="127">
        <f>W6/$W$21</f>
        <v>0.8571428571428571</v>
      </c>
      <c r="AA6" s="517">
        <f>Z6+Z7</f>
        <v>0.92857142857142849</v>
      </c>
    </row>
    <row r="7" spans="1:27" ht="18.75" customHeight="1">
      <c r="A7" s="312" t="s">
        <v>43</v>
      </c>
      <c r="B7" s="64">
        <f>COUNTIFS('1. ALL DATA'!$AA$5:$AA$116,"LEADER OF THE COUNCIL",'1. ALL DATA'!$I$5:$I$116,"On track to be achieved")</f>
        <v>14</v>
      </c>
      <c r="C7" s="127">
        <f>B7/B20</f>
        <v>0.5</v>
      </c>
      <c r="D7" s="535"/>
      <c r="E7" s="127">
        <f>B7/B21</f>
        <v>0.7</v>
      </c>
      <c r="F7" s="517"/>
      <c r="H7" s="312" t="s">
        <v>43</v>
      </c>
      <c r="I7" s="73">
        <f>COUNTIFS('1. ALL DATA'!$AA$5:$AA$116,"LEADER OF THE COUNCIL",'1. ALL DATA'!$N$5:$N$116,"On track to be achieved")</f>
        <v>16</v>
      </c>
      <c r="J7" s="127">
        <f>I7/I20</f>
        <v>0.5714285714285714</v>
      </c>
      <c r="K7" s="535"/>
      <c r="L7" s="127">
        <f>I7/I21</f>
        <v>0.64</v>
      </c>
      <c r="M7" s="517"/>
      <c r="O7" s="312" t="s">
        <v>43</v>
      </c>
      <c r="P7" s="73">
        <f>COUNTIFS('1. ALL DATA'!$AA$5:$AA$116,"LEADER OF THE COUNCIL",'1. ALL DATA'!$S$5:$S$116,"On track to be achieved")</f>
        <v>14</v>
      </c>
      <c r="Q7" s="127">
        <f>P7/P20</f>
        <v>0.5</v>
      </c>
      <c r="R7" s="535"/>
      <c r="S7" s="127">
        <f>P7/P21</f>
        <v>0.51851851851851849</v>
      </c>
      <c r="T7" s="517"/>
      <c r="V7" s="312" t="s">
        <v>84</v>
      </c>
      <c r="W7" s="128">
        <f>COUNTIFS('1. ALL DATA'!$AA$5:$AA$116,"LEADER OF THE COUNCIL",'1. ALL DATA'!$W$5:$W$116,"Numerical Outturn Within 5% Tolerance")</f>
        <v>2</v>
      </c>
      <c r="X7" s="154">
        <f>W7/$W$20</f>
        <v>7.1428571428571425E-2</v>
      </c>
      <c r="Y7" s="535"/>
      <c r="Z7" s="154">
        <f t="shared" ref="Z7:Z14" si="0">W7/$W$21</f>
        <v>7.1428571428571425E-2</v>
      </c>
      <c r="AA7" s="517"/>
    </row>
    <row r="8" spans="1:27" s="65" customFormat="1" ht="6" customHeight="1">
      <c r="A8" s="190"/>
      <c r="B8" s="195"/>
      <c r="C8" s="191"/>
      <c r="D8" s="191"/>
      <c r="E8" s="191"/>
      <c r="F8" s="192"/>
      <c r="H8" s="190"/>
      <c r="I8" s="195"/>
      <c r="J8" s="191"/>
      <c r="K8" s="191"/>
      <c r="L8" s="191"/>
      <c r="M8" s="192"/>
      <c r="O8" s="190"/>
      <c r="P8" s="195"/>
      <c r="Q8" s="191"/>
      <c r="R8" s="191"/>
      <c r="S8" s="191"/>
      <c r="T8" s="192"/>
      <c r="V8" s="193"/>
      <c r="W8" s="190"/>
      <c r="X8" s="381"/>
      <c r="Y8" s="191"/>
      <c r="Z8" s="381"/>
      <c r="AA8" s="192"/>
    </row>
    <row r="9" spans="1:27" ht="21" customHeight="1">
      <c r="A9" s="518" t="s">
        <v>27</v>
      </c>
      <c r="B9" s="541">
        <f>COUNTIFS('1. ALL DATA'!$AA$5:$AA$116,"LEADER OF THE COUNCIL",'1. ALL DATA'!$I$5:$I$116,"In danger of falling behind target")</f>
        <v>0</v>
      </c>
      <c r="C9" s="535">
        <f>B9/B20</f>
        <v>0</v>
      </c>
      <c r="D9" s="535">
        <f>C9</f>
        <v>0</v>
      </c>
      <c r="E9" s="535">
        <f>B9/B21</f>
        <v>0</v>
      </c>
      <c r="F9" s="522">
        <f>E9</f>
        <v>0</v>
      </c>
      <c r="H9" s="518" t="s">
        <v>27</v>
      </c>
      <c r="I9" s="537">
        <f>COUNTIFS('1. ALL DATA'!$AA$5:$AA$116,"LEADER OF THE COUNCIL",'1. ALL DATA'!$N$5:$N$116,"In danger of falling behind target")</f>
        <v>0</v>
      </c>
      <c r="J9" s="535">
        <f>I9/I20</f>
        <v>0</v>
      </c>
      <c r="K9" s="535">
        <f>J9</f>
        <v>0</v>
      </c>
      <c r="L9" s="535">
        <f>I9/I21</f>
        <v>0</v>
      </c>
      <c r="M9" s="522">
        <f>L9</f>
        <v>0</v>
      </c>
      <c r="O9" s="518" t="s">
        <v>27</v>
      </c>
      <c r="P9" s="537">
        <f>COUNTIFS('1. ALL DATA'!$AA$5:$AA$116,"LEADER OF THE COUNCIL",'1. ALL DATA'!$S$5:$S$116,"In danger of falling behind target")</f>
        <v>2</v>
      </c>
      <c r="Q9" s="535">
        <f>P9/P20</f>
        <v>7.1428571428571425E-2</v>
      </c>
      <c r="R9" s="535">
        <f>Q9</f>
        <v>7.1428571428571425E-2</v>
      </c>
      <c r="S9" s="535">
        <f>P9/P21</f>
        <v>7.407407407407407E-2</v>
      </c>
      <c r="T9" s="522">
        <f>S9</f>
        <v>7.407407407407407E-2</v>
      </c>
      <c r="V9" s="314" t="s">
        <v>85</v>
      </c>
      <c r="W9" s="291">
        <f>COUNTIFS('1. ALL DATA'!$AA$5:$AA$116,"LEADER OF THE COUNCIL",'1. ALL DATA'!$W$5:$W$116,"Numerical Outturn Within 10% Tolerance")</f>
        <v>0</v>
      </c>
      <c r="X9" s="154">
        <f t="shared" ref="X9:X19" si="1">W9/$W$20</f>
        <v>0</v>
      </c>
      <c r="Y9" s="538">
        <f>SUM(X9:X11)</f>
        <v>3.5714285714285712E-2</v>
      </c>
      <c r="Z9" s="154">
        <f t="shared" si="0"/>
        <v>0</v>
      </c>
      <c r="AA9" s="522">
        <f>SUM(Z9:Z11)</f>
        <v>3.5714285714285712E-2</v>
      </c>
    </row>
    <row r="10" spans="1:27" ht="20.25" customHeight="1">
      <c r="A10" s="518"/>
      <c r="B10" s="541"/>
      <c r="C10" s="535"/>
      <c r="D10" s="535"/>
      <c r="E10" s="535"/>
      <c r="F10" s="522"/>
      <c r="H10" s="518"/>
      <c r="I10" s="537"/>
      <c r="J10" s="535"/>
      <c r="K10" s="535"/>
      <c r="L10" s="535"/>
      <c r="M10" s="522"/>
      <c r="O10" s="518"/>
      <c r="P10" s="537"/>
      <c r="Q10" s="535"/>
      <c r="R10" s="535"/>
      <c r="S10" s="535"/>
      <c r="T10" s="522"/>
      <c r="V10" s="314" t="s">
        <v>86</v>
      </c>
      <c r="W10" s="291">
        <f>COUNTIFS('1. ALL DATA'!$AA$5:$AA$116,"LEADER OF THE COUNCIL",'1. ALL DATA'!$W$5:$W$116,"Target Partially Met")</f>
        <v>1</v>
      </c>
      <c r="X10" s="154">
        <f t="shared" si="1"/>
        <v>3.5714285714285712E-2</v>
      </c>
      <c r="Y10" s="539"/>
      <c r="Z10" s="154">
        <f t="shared" si="0"/>
        <v>3.5714285714285712E-2</v>
      </c>
      <c r="AA10" s="522"/>
    </row>
    <row r="11" spans="1:27" ht="15.75" customHeight="1">
      <c r="A11" s="518"/>
      <c r="B11" s="541"/>
      <c r="C11" s="535"/>
      <c r="D11" s="535"/>
      <c r="E11" s="535"/>
      <c r="F11" s="522"/>
      <c r="H11" s="518"/>
      <c r="I11" s="537"/>
      <c r="J11" s="535"/>
      <c r="K11" s="535"/>
      <c r="L11" s="535"/>
      <c r="M11" s="522"/>
      <c r="O11" s="518"/>
      <c r="P11" s="537"/>
      <c r="Q11" s="535"/>
      <c r="R11" s="535"/>
      <c r="S11" s="535"/>
      <c r="T11" s="522"/>
      <c r="V11" s="314" t="s">
        <v>88</v>
      </c>
      <c r="W11" s="291">
        <f>COUNTIFS('1. ALL DATA'!$AA$5:$AA$116,"LEADER OF THE COUNCIL",'1. ALL DATA'!$W$5:$W$116,"Completion Date Within Reasonable Tolerance")</f>
        <v>0</v>
      </c>
      <c r="X11" s="154">
        <f t="shared" si="1"/>
        <v>0</v>
      </c>
      <c r="Y11" s="540"/>
      <c r="Z11" s="154">
        <f t="shared" si="0"/>
        <v>0</v>
      </c>
      <c r="AA11" s="522"/>
    </row>
    <row r="12" spans="1:27" s="65" customFormat="1" ht="6" customHeight="1">
      <c r="A12" s="190"/>
      <c r="B12" s="190"/>
      <c r="C12" s="191"/>
      <c r="D12" s="191"/>
      <c r="E12" s="191"/>
      <c r="F12" s="192"/>
      <c r="H12" s="190"/>
      <c r="I12" s="190"/>
      <c r="J12" s="191"/>
      <c r="K12" s="191"/>
      <c r="L12" s="191"/>
      <c r="M12" s="192"/>
      <c r="O12" s="190"/>
      <c r="P12" s="190"/>
      <c r="Q12" s="191"/>
      <c r="R12" s="191"/>
      <c r="S12" s="191"/>
      <c r="T12" s="192"/>
      <c r="V12" s="193"/>
      <c r="W12" s="190"/>
      <c r="X12" s="381"/>
      <c r="Y12" s="191"/>
      <c r="Z12" s="381"/>
      <c r="AA12" s="192"/>
    </row>
    <row r="13" spans="1:27" ht="20.25" customHeight="1">
      <c r="A13" s="313" t="s">
        <v>44</v>
      </c>
      <c r="B13" s="64">
        <f>COUNTIFS('1. ALL DATA'!$AA$5:$AA$116,"LEADER OF THE COUNCIL",'1. ALL DATA'!$I$5:$I$116,"Completed behind schedule")</f>
        <v>0</v>
      </c>
      <c r="C13" s="290">
        <f>B13/B20</f>
        <v>0</v>
      </c>
      <c r="D13" s="535">
        <f>C13+C14</f>
        <v>0</v>
      </c>
      <c r="E13" s="127">
        <f>B13/B21</f>
        <v>0</v>
      </c>
      <c r="F13" s="536">
        <f>E13+E14</f>
        <v>0</v>
      </c>
      <c r="H13" s="313" t="s">
        <v>44</v>
      </c>
      <c r="I13" s="73">
        <f>COUNTIFS('1. ALL DATA'!$AA$5:$AA$116,"LEADER OF THE COUNCIL",'1. ALL DATA'!$N$5:$N$116,"Completed behind schedule")</f>
        <v>0</v>
      </c>
      <c r="J13" s="127">
        <f>I13/I20</f>
        <v>0</v>
      </c>
      <c r="K13" s="535">
        <f>J13+J14</f>
        <v>0</v>
      </c>
      <c r="L13" s="127">
        <f>I13/I21</f>
        <v>0</v>
      </c>
      <c r="M13" s="536">
        <f>L13+L14</f>
        <v>0</v>
      </c>
      <c r="O13" s="313" t="s">
        <v>44</v>
      </c>
      <c r="P13" s="73">
        <f>COUNTIFS('1. ALL DATA'!$AA$5:$AA$116,"LEADER OF THE COUNCIL",'1. ALL DATA'!$S$5:$S$116,"Completed behind schedule")</f>
        <v>0</v>
      </c>
      <c r="Q13" s="127">
        <f>P13/P20</f>
        <v>0</v>
      </c>
      <c r="R13" s="535">
        <f>Q13+Q14</f>
        <v>0</v>
      </c>
      <c r="S13" s="127">
        <f>P13/P21</f>
        <v>0</v>
      </c>
      <c r="T13" s="536">
        <f>S13+S14</f>
        <v>0</v>
      </c>
      <c r="V13" s="313" t="s">
        <v>87</v>
      </c>
      <c r="W13" s="291">
        <f>COUNTIFS('1. ALL DATA'!$AA$5:$AA$116,"LEADER OF THE COUNCIL",'1. ALL DATA'!$W$5:$W$116,"Completed Significantly After Target Deadline")</f>
        <v>0</v>
      </c>
      <c r="X13" s="154">
        <f t="shared" si="1"/>
        <v>0</v>
      </c>
      <c r="Y13" s="535">
        <f>X13+X14</f>
        <v>3.5714285714285712E-2</v>
      </c>
      <c r="Z13" s="154">
        <f t="shared" si="0"/>
        <v>0</v>
      </c>
      <c r="AA13" s="536">
        <f>Z13+Z14</f>
        <v>3.5714285714285712E-2</v>
      </c>
    </row>
    <row r="14" spans="1:27" ht="20.25" customHeight="1">
      <c r="A14" s="313" t="s">
        <v>28</v>
      </c>
      <c r="B14" s="64">
        <f>COUNTIFS('1. ALL DATA'!$AA$5:$AA$116,"LEADER OF THE COUNCIL",'1. ALL DATA'!$I$5:$I$116,"Off target")</f>
        <v>0</v>
      </c>
      <c r="C14" s="290">
        <f>B14/B20</f>
        <v>0</v>
      </c>
      <c r="D14" s="535"/>
      <c r="E14" s="127">
        <f>B14/B21</f>
        <v>0</v>
      </c>
      <c r="F14" s="536"/>
      <c r="H14" s="313" t="s">
        <v>28</v>
      </c>
      <c r="I14" s="73">
        <f>COUNTIFS('1. ALL DATA'!$AA$5:$AA$116,"LEADER OF THE COUNCIL",'1. ALL DATA'!$N$5:$N$116,"Off target")</f>
        <v>0</v>
      </c>
      <c r="J14" s="127">
        <f>I14/I20</f>
        <v>0</v>
      </c>
      <c r="K14" s="535"/>
      <c r="L14" s="127">
        <f>I14/I21</f>
        <v>0</v>
      </c>
      <c r="M14" s="536"/>
      <c r="O14" s="313" t="s">
        <v>28</v>
      </c>
      <c r="P14" s="73">
        <f>COUNTIFS('1. ALL DATA'!$AA$5:$AA$116,"LEADER OF THE COUNCIL",'1. ALL DATA'!$S$5:$S$116,"Off target")</f>
        <v>0</v>
      </c>
      <c r="Q14" s="127">
        <f>P14/P20</f>
        <v>0</v>
      </c>
      <c r="R14" s="535"/>
      <c r="S14" s="127">
        <f>P14/P21</f>
        <v>0</v>
      </c>
      <c r="T14" s="536"/>
      <c r="V14" s="313" t="s">
        <v>28</v>
      </c>
      <c r="W14" s="291">
        <f>COUNTIFS('1. ALL DATA'!$AA$5:$AA$116,"LEADER OF THE COUNCIL",'1. ALL DATA'!$W$5:$W$116,"Off Target")</f>
        <v>1</v>
      </c>
      <c r="X14" s="154">
        <f t="shared" si="1"/>
        <v>3.5714285714285712E-2</v>
      </c>
      <c r="Y14" s="535"/>
      <c r="Z14" s="154">
        <f t="shared" si="0"/>
        <v>3.5714285714285712E-2</v>
      </c>
      <c r="AA14" s="536"/>
    </row>
    <row r="15" spans="1:27" s="65" customFormat="1" ht="6.75" customHeight="1">
      <c r="A15" s="190"/>
      <c r="B15" s="195"/>
      <c r="C15" s="191"/>
      <c r="D15" s="191"/>
      <c r="E15" s="191"/>
      <c r="F15" s="196"/>
      <c r="H15" s="190"/>
      <c r="I15" s="195"/>
      <c r="J15" s="191"/>
      <c r="K15" s="191"/>
      <c r="L15" s="191"/>
      <c r="M15" s="196"/>
      <c r="O15" s="190"/>
      <c r="P15" s="195"/>
      <c r="Q15" s="191"/>
      <c r="R15" s="191"/>
      <c r="S15" s="191"/>
      <c r="T15" s="196"/>
      <c r="V15" s="383"/>
      <c r="W15" s="197"/>
      <c r="X15" s="381"/>
      <c r="Y15" s="198"/>
      <c r="Z15" s="199"/>
      <c r="AA15" s="267"/>
    </row>
    <row r="16" spans="1:27" ht="15" customHeight="1">
      <c r="A16" s="49" t="s">
        <v>2</v>
      </c>
      <c r="B16" s="64">
        <f>COUNTIFS('1. ALL DATA'!$AA$5:$AA$116,"LEADER OF THE COUNCIL",'1. ALL DATA'!$I$5:$I$116,"Not yet due")</f>
        <v>8</v>
      </c>
      <c r="C16" s="79">
        <f>B16/B20</f>
        <v>0.2857142857142857</v>
      </c>
      <c r="D16" s="79">
        <f>C16</f>
        <v>0.2857142857142857</v>
      </c>
      <c r="E16" s="80"/>
      <c r="F16" s="48"/>
      <c r="H16" s="49" t="s">
        <v>2</v>
      </c>
      <c r="I16" s="64">
        <f>COUNTIFS('1. ALL DATA'!$AA$5:$AA$116,"LEADER OF THE COUNCIL",'1. ALL DATA'!$N$5:$N$116,"Not yet due")</f>
        <v>3</v>
      </c>
      <c r="J16" s="79">
        <f>I16/I20</f>
        <v>0.10714285714285714</v>
      </c>
      <c r="K16" s="79">
        <f>J16</f>
        <v>0.10714285714285714</v>
      </c>
      <c r="L16" s="80"/>
      <c r="M16" s="48"/>
      <c r="O16" s="49" t="s">
        <v>2</v>
      </c>
      <c r="P16" s="64">
        <f>COUNTIFS('1. ALL DATA'!$AA$5:$AA$116,"LEADER OF THE COUNCIL",'1. ALL DATA'!$S$5:$S$116,"Not yet due")</f>
        <v>1</v>
      </c>
      <c r="Q16" s="79">
        <f>P16/P20</f>
        <v>3.5714285714285712E-2</v>
      </c>
      <c r="R16" s="79">
        <f>Q16</f>
        <v>3.5714285714285712E-2</v>
      </c>
      <c r="S16" s="80"/>
      <c r="T16" s="100"/>
      <c r="V16" s="64" t="s">
        <v>2</v>
      </c>
      <c r="W16" s="49">
        <f>COUNTIFS('1. ALL DATA'!$AA$5:$AA$116,"LEADER OF THE COUNCIL",'1. ALL DATA'!$W$5:$W$116,"not yet due")</f>
        <v>0</v>
      </c>
      <c r="X16" s="154">
        <f t="shared" si="1"/>
        <v>0</v>
      </c>
      <c r="Y16" s="79">
        <f>X16</f>
        <v>0</v>
      </c>
      <c r="Z16" s="80"/>
      <c r="AA16" s="269"/>
    </row>
    <row r="17" spans="1:27" ht="15" customHeight="1">
      <c r="A17" s="49" t="s">
        <v>48</v>
      </c>
      <c r="B17" s="64">
        <f>COUNTIFS('1. ALL DATA'!$AA$5:$AA$116,"LEADER OF THE COUNCIL",'1. ALL DATA'!$I$5:$I$116,"Update not provided")</f>
        <v>0</v>
      </c>
      <c r="C17" s="79">
        <f>B17/B20</f>
        <v>0</v>
      </c>
      <c r="D17" s="79">
        <f>C17</f>
        <v>0</v>
      </c>
      <c r="E17" s="80"/>
      <c r="F17" s="105"/>
      <c r="H17" s="49" t="s">
        <v>48</v>
      </c>
      <c r="I17" s="64">
        <f>COUNTIFS('1. ALL DATA'!$AA$5:$AA$116,"LEADER OF THE COUNCIL",'1. ALL DATA'!$N$5:$N$116,"Update not provided")</f>
        <v>0</v>
      </c>
      <c r="J17" s="79">
        <f>I17/I20</f>
        <v>0</v>
      </c>
      <c r="K17" s="79">
        <f>J17</f>
        <v>0</v>
      </c>
      <c r="L17" s="80"/>
      <c r="M17" s="105"/>
      <c r="O17" s="49" t="s">
        <v>48</v>
      </c>
      <c r="P17" s="64">
        <f>COUNTIFS('1. ALL DATA'!$AA$5:$AA$116,"LEADER OF THE COUNCIL",'1. ALL DATA'!$S$5:$S$116,"Update not provided")</f>
        <v>0</v>
      </c>
      <c r="Q17" s="79">
        <f>P17/P20</f>
        <v>0</v>
      </c>
      <c r="R17" s="79">
        <f>Q17</f>
        <v>0</v>
      </c>
      <c r="S17" s="80"/>
      <c r="T17" s="101"/>
      <c r="V17" s="66" t="s">
        <v>48</v>
      </c>
      <c r="W17" s="49">
        <f>COUNTIFS('1. ALL DATA'!$AA$5:$AA$116,"LEADER OF THE COUNCIL",'1. ALL DATA'!$W$5:$W$116,"Update not provided")</f>
        <v>0</v>
      </c>
      <c r="X17" s="154">
        <f t="shared" si="1"/>
        <v>0</v>
      </c>
      <c r="Y17" s="79">
        <f>X17</f>
        <v>0</v>
      </c>
      <c r="Z17" s="80"/>
    </row>
    <row r="18" spans="1:27" ht="15.75" customHeight="1">
      <c r="A18" s="50" t="s">
        <v>23</v>
      </c>
      <c r="B18" s="64">
        <f>COUNTIFS('1. ALL DATA'!$AA$5:$AA$116,"LEADER OF THE COUNCIL",'1. ALL DATA'!$I$5:$I$116,"Deferred")</f>
        <v>0</v>
      </c>
      <c r="C18" s="82">
        <f>B18/B20</f>
        <v>0</v>
      </c>
      <c r="D18" s="82">
        <f>C18</f>
        <v>0</v>
      </c>
      <c r="E18" s="81"/>
      <c r="F18" s="48"/>
      <c r="H18" s="50" t="s">
        <v>23</v>
      </c>
      <c r="I18" s="64">
        <f>COUNTIFS('1. ALL DATA'!$AA$5:$AA$116,"LEADER OF THE COUNCIL",'1. ALL DATA'!$N$5:$N$116,"Deferred")</f>
        <v>0</v>
      </c>
      <c r="J18" s="82">
        <f>I18/I20</f>
        <v>0</v>
      </c>
      <c r="K18" s="82">
        <f>J18</f>
        <v>0</v>
      </c>
      <c r="L18" s="81"/>
      <c r="M18" s="48"/>
      <c r="O18" s="50" t="s">
        <v>23</v>
      </c>
      <c r="P18" s="64">
        <f>COUNTIFS('1. ALL DATA'!$AA$5:$AA$116,"LEADER OF THE COUNCIL",'1. ALL DATA'!$S$5:$S$116,"Deferred")</f>
        <v>0</v>
      </c>
      <c r="Q18" s="82">
        <f>P18/P20</f>
        <v>0</v>
      </c>
      <c r="R18" s="82">
        <f>Q18</f>
        <v>0</v>
      </c>
      <c r="S18" s="81"/>
      <c r="T18" s="100"/>
      <c r="V18" s="50" t="s">
        <v>23</v>
      </c>
      <c r="W18" s="49">
        <f>COUNTIFS('1. ALL DATA'!$AA$5:$AA$116,"LEADER OF THE COUNCIL",'1. ALL DATA'!$W$5:$W$116,"Deferred")</f>
        <v>0</v>
      </c>
      <c r="X18" s="154">
        <f t="shared" si="1"/>
        <v>0</v>
      </c>
      <c r="Y18" s="82">
        <f>X18</f>
        <v>0</v>
      </c>
      <c r="Z18" s="81"/>
      <c r="AA18" s="269"/>
    </row>
    <row r="19" spans="1:27" ht="15.75" customHeight="1">
      <c r="A19" s="50" t="s">
        <v>29</v>
      </c>
      <c r="B19" s="64">
        <f>COUNTIFS('1. ALL DATA'!$AA$5:$AA$116,"LEADER OF THE COUNCIL",'1. ALL DATA'!$I$5:$I$116,"Deleted")</f>
        <v>0</v>
      </c>
      <c r="C19" s="82">
        <f>B19/B20</f>
        <v>0</v>
      </c>
      <c r="D19" s="82">
        <f>C19</f>
        <v>0</v>
      </c>
      <c r="E19" s="81"/>
      <c r="F19" s="98" t="s">
        <v>64</v>
      </c>
      <c r="H19" s="50" t="s">
        <v>29</v>
      </c>
      <c r="I19" s="64">
        <f>COUNTIFS('1. ALL DATA'!$AA$5:$AA$116,"LEADER OF THE COUNCIL",'1. ALL DATA'!$N$5:$N$116,"Deleted")</f>
        <v>0</v>
      </c>
      <c r="J19" s="82">
        <f>I19/I20</f>
        <v>0</v>
      </c>
      <c r="K19" s="82">
        <f>J19</f>
        <v>0</v>
      </c>
      <c r="L19" s="81"/>
      <c r="M19" s="98" t="s">
        <v>64</v>
      </c>
      <c r="O19" s="50" t="s">
        <v>29</v>
      </c>
      <c r="P19" s="64">
        <f>COUNTIFS('1. ALL DATA'!$AA$5:$AA$116,"LEADER OF THE COUNCIL",'1. ALL DATA'!$S$5:$S$116,"Deleted")</f>
        <v>0</v>
      </c>
      <c r="Q19" s="82">
        <f>P19/P20</f>
        <v>0</v>
      </c>
      <c r="R19" s="82">
        <f>Q19</f>
        <v>0</v>
      </c>
      <c r="S19" s="81"/>
      <c r="T19" s="98" t="s">
        <v>64</v>
      </c>
      <c r="V19" s="50" t="s">
        <v>29</v>
      </c>
      <c r="W19" s="49">
        <f>COUNTIFS('1. ALL DATA'!$AA$5:$AA$116,"LEADER OF THE COUNCIL",'1. ALL DATA'!$W$5:$W$116,"Deleted")</f>
        <v>0</v>
      </c>
      <c r="X19" s="154">
        <f t="shared" si="1"/>
        <v>0</v>
      </c>
      <c r="Y19" s="82">
        <f>X19</f>
        <v>0</v>
      </c>
      <c r="Z19" s="81"/>
      <c r="AA19" s="98" t="s">
        <v>64</v>
      </c>
    </row>
    <row r="20" spans="1:27" ht="15.75" customHeight="1">
      <c r="A20" s="51" t="s">
        <v>31</v>
      </c>
      <c r="B20" s="83">
        <f>SUM(B6:B19)</f>
        <v>28</v>
      </c>
      <c r="C20" s="81"/>
      <c r="D20" s="81"/>
      <c r="E20" s="53"/>
      <c r="F20" s="48"/>
      <c r="H20" s="51" t="s">
        <v>31</v>
      </c>
      <c r="I20" s="83">
        <f>SUM(I6:I19)</f>
        <v>28</v>
      </c>
      <c r="J20" s="81"/>
      <c r="K20" s="81"/>
      <c r="L20" s="53"/>
      <c r="M20" s="48"/>
      <c r="O20" s="51" t="s">
        <v>31</v>
      </c>
      <c r="P20" s="83">
        <f>SUM(P6:P19)</f>
        <v>28</v>
      </c>
      <c r="Q20" s="81"/>
      <c r="R20" s="81"/>
      <c r="S20" s="53"/>
      <c r="T20" s="100"/>
      <c r="V20" s="51" t="s">
        <v>31</v>
      </c>
      <c r="W20" s="88">
        <f>SUM(W6:W19)</f>
        <v>28</v>
      </c>
      <c r="X20" s="81"/>
      <c r="Y20" s="81"/>
      <c r="Z20" s="53"/>
      <c r="AA20" s="269"/>
    </row>
    <row r="21" spans="1:27" ht="15.75" customHeight="1">
      <c r="A21" s="51" t="s">
        <v>32</v>
      </c>
      <c r="B21" s="83">
        <f>B20-B19-B18-B17-B16</f>
        <v>20</v>
      </c>
      <c r="C21" s="53"/>
      <c r="D21" s="53"/>
      <c r="E21" s="53"/>
      <c r="F21" s="48"/>
      <c r="H21" s="51" t="s">
        <v>32</v>
      </c>
      <c r="I21" s="83">
        <f>I20-I19-I18-I17-I16</f>
        <v>25</v>
      </c>
      <c r="J21" s="53"/>
      <c r="K21" s="53"/>
      <c r="L21" s="53"/>
      <c r="M21" s="48"/>
      <c r="O21" s="51" t="s">
        <v>32</v>
      </c>
      <c r="P21" s="83">
        <f>P20-P19-P18-P17-P16</f>
        <v>27</v>
      </c>
      <c r="Q21" s="53"/>
      <c r="R21" s="53"/>
      <c r="S21" s="53"/>
      <c r="T21" s="100"/>
      <c r="V21" s="51" t="s">
        <v>32</v>
      </c>
      <c r="W21" s="88">
        <f>W20-W19-W18-W17-W16</f>
        <v>28</v>
      </c>
      <c r="X21" s="53"/>
      <c r="Y21" s="53"/>
      <c r="Z21" s="53"/>
      <c r="AA21" s="269"/>
    </row>
    <row r="22" spans="1:27" ht="15.75" customHeight="1">
      <c r="V22" s="67"/>
      <c r="W22" s="65"/>
      <c r="X22" s="65"/>
      <c r="Y22" s="65"/>
      <c r="Z22" s="53"/>
      <c r="AA22" s="269"/>
    </row>
    <row r="23" spans="1:27" ht="15.75" customHeight="1"/>
    <row r="24" spans="1:27" s="65" customFormat="1" ht="15.75" customHeight="1">
      <c r="A24" s="67"/>
      <c r="E24" s="53"/>
      <c r="F24" s="1"/>
      <c r="H24" s="67"/>
      <c r="L24" s="53"/>
      <c r="M24" s="1"/>
      <c r="O24" s="67"/>
      <c r="S24" s="53"/>
      <c r="T24" s="97"/>
      <c r="AA24" s="269"/>
    </row>
    <row r="25" spans="1:27" ht="15" customHeight="1">
      <c r="Z25" s="90"/>
    </row>
    <row r="26" spans="1:27" s="65" customFormat="1" ht="15.75">
      <c r="A26" s="380" t="s">
        <v>99</v>
      </c>
      <c r="B26" s="374"/>
      <c r="C26" s="374"/>
      <c r="D26" s="374"/>
      <c r="E26" s="374"/>
      <c r="F26" s="375"/>
      <c r="H26" s="380" t="s">
        <v>99</v>
      </c>
      <c r="I26" s="374"/>
      <c r="J26" s="374"/>
      <c r="K26" s="374"/>
      <c r="L26" s="374"/>
      <c r="M26" s="375"/>
      <c r="O26" s="380" t="s">
        <v>99</v>
      </c>
      <c r="P26" s="374"/>
      <c r="Q26" s="374"/>
      <c r="R26" s="374"/>
      <c r="S26" s="374"/>
      <c r="T26" s="375"/>
      <c r="V26" s="380" t="s">
        <v>99</v>
      </c>
      <c r="W26" s="374"/>
      <c r="X26" s="374"/>
      <c r="Y26" s="374"/>
      <c r="Z26" s="374"/>
      <c r="AA26" s="375"/>
    </row>
    <row r="27" spans="1:27" ht="42" customHeight="1">
      <c r="A27" s="376" t="s">
        <v>24</v>
      </c>
      <c r="B27" s="376" t="s">
        <v>25</v>
      </c>
      <c r="C27" s="376" t="s">
        <v>19</v>
      </c>
      <c r="D27" s="376" t="s">
        <v>50</v>
      </c>
      <c r="E27" s="376" t="s">
        <v>30</v>
      </c>
      <c r="F27" s="377" t="s">
        <v>51</v>
      </c>
      <c r="H27" s="376" t="s">
        <v>24</v>
      </c>
      <c r="I27" s="376" t="s">
        <v>25</v>
      </c>
      <c r="J27" s="376" t="s">
        <v>19</v>
      </c>
      <c r="K27" s="376" t="s">
        <v>50</v>
      </c>
      <c r="L27" s="376" t="s">
        <v>30</v>
      </c>
      <c r="M27" s="377" t="s">
        <v>51</v>
      </c>
      <c r="O27" s="376" t="s">
        <v>24</v>
      </c>
      <c r="P27" s="376" t="s">
        <v>25</v>
      </c>
      <c r="Q27" s="376" t="s">
        <v>19</v>
      </c>
      <c r="R27" s="376" t="s">
        <v>50</v>
      </c>
      <c r="S27" s="376" t="s">
        <v>30</v>
      </c>
      <c r="T27" s="378" t="s">
        <v>51</v>
      </c>
      <c r="V27" s="376" t="s">
        <v>24</v>
      </c>
      <c r="W27" s="376" t="s">
        <v>25</v>
      </c>
      <c r="X27" s="376" t="s">
        <v>19</v>
      </c>
      <c r="Y27" s="376" t="s">
        <v>50</v>
      </c>
      <c r="Z27" s="376" t="s">
        <v>30</v>
      </c>
      <c r="AA27" s="379" t="s">
        <v>51</v>
      </c>
    </row>
    <row r="28" spans="1:27" s="65" customFormat="1" ht="6" customHeight="1">
      <c r="A28" s="190"/>
      <c r="B28" s="190"/>
      <c r="C28" s="190"/>
      <c r="D28" s="190"/>
      <c r="E28" s="190"/>
      <c r="F28" s="202"/>
      <c r="H28" s="190"/>
      <c r="I28" s="190"/>
      <c r="J28" s="190"/>
      <c r="K28" s="190"/>
      <c r="L28" s="190"/>
      <c r="M28" s="202"/>
      <c r="O28" s="190"/>
      <c r="P28" s="190"/>
      <c r="Q28" s="190"/>
      <c r="R28" s="190"/>
      <c r="S28" s="190"/>
      <c r="T28" s="203"/>
      <c r="V28" s="190"/>
      <c r="W28" s="190"/>
      <c r="X28" s="190"/>
      <c r="Y28" s="190"/>
      <c r="Z28" s="190"/>
      <c r="AA28" s="266"/>
    </row>
    <row r="29" spans="1:27" ht="21.75" customHeight="1">
      <c r="A29" s="312" t="s">
        <v>47</v>
      </c>
      <c r="B29" s="73">
        <f>COUNTIFS('1. ALL DATA'!$AA$5:$AA$116,"CULTURAL SERVICES",'1. ALL DATA'!$I$5:$I$116,"Fully Achieved")</f>
        <v>3</v>
      </c>
      <c r="C29" s="127">
        <f>B29/B43</f>
        <v>0.12</v>
      </c>
      <c r="D29" s="535">
        <f>C29+C30</f>
        <v>0.68</v>
      </c>
      <c r="E29" s="127">
        <f>B29/B44</f>
        <v>0.17647058823529413</v>
      </c>
      <c r="F29" s="517">
        <f>E29+E30</f>
        <v>1</v>
      </c>
      <c r="H29" s="312" t="s">
        <v>47</v>
      </c>
      <c r="I29" s="73">
        <f>COUNTIFS('1. ALL DATA'!$AA$5:$AA$116,"CULTURAL SERVICES",'1. ALL DATA'!$N$5:$N$116,"Fully Achieved")</f>
        <v>9</v>
      </c>
      <c r="J29" s="127">
        <f>I29/I43</f>
        <v>0.36</v>
      </c>
      <c r="K29" s="535">
        <f>J29+J30</f>
        <v>0.84</v>
      </c>
      <c r="L29" s="127">
        <f>I29/I44</f>
        <v>0.42857142857142855</v>
      </c>
      <c r="M29" s="517">
        <f>L29+L30</f>
        <v>1</v>
      </c>
      <c r="O29" s="312" t="s">
        <v>47</v>
      </c>
      <c r="P29" s="73">
        <f>COUNTIFS('1. ALL DATA'!$AA$5:$AA$116,"CULTURAL SERVICES",'1. ALL DATA'!$S$5:$S$116,"Fully Achieved")</f>
        <v>12</v>
      </c>
      <c r="Q29" s="127">
        <f>P29/P43</f>
        <v>0.48</v>
      </c>
      <c r="R29" s="535">
        <f>Q29+Q30</f>
        <v>0.88</v>
      </c>
      <c r="S29" s="127">
        <f>P29/P44</f>
        <v>0.52173913043478259</v>
      </c>
      <c r="T29" s="517">
        <f>S29+S30</f>
        <v>0.95652173913043481</v>
      </c>
      <c r="V29" s="312" t="s">
        <v>42</v>
      </c>
      <c r="W29" s="155">
        <f>COUNTIFS('1. ALL DATA'!$AA$5:$AA$116,"CULTURAL SERVICES",'1. ALL DATA'!$W$5:$W$116,"Fully Achieved")</f>
        <v>23</v>
      </c>
      <c r="X29" s="127">
        <f>W29/$W$43</f>
        <v>0.92</v>
      </c>
      <c r="Y29" s="535">
        <f>X29+X30</f>
        <v>0.92</v>
      </c>
      <c r="Z29" s="127">
        <f>W29/$W$44</f>
        <v>0.95833333333333337</v>
      </c>
      <c r="AA29" s="517">
        <f>Z29+Z30</f>
        <v>0.95833333333333337</v>
      </c>
    </row>
    <row r="30" spans="1:27" ht="18.75" customHeight="1">
      <c r="A30" s="312" t="s">
        <v>43</v>
      </c>
      <c r="B30" s="73">
        <f>COUNTIFS('1. ALL DATA'!$AA$5:$AA$116,"CULTURAL SERVICES",'1. ALL DATA'!$I$5:$I$116,"On track to be achieved")</f>
        <v>14</v>
      </c>
      <c r="C30" s="127">
        <f>B30/B43</f>
        <v>0.56000000000000005</v>
      </c>
      <c r="D30" s="535"/>
      <c r="E30" s="127">
        <f>B30/B44</f>
        <v>0.82352941176470584</v>
      </c>
      <c r="F30" s="517"/>
      <c r="H30" s="312" t="s">
        <v>43</v>
      </c>
      <c r="I30" s="73">
        <f>COUNTIFS('1. ALL DATA'!$AA$5:$AA$116,"CULTURAL SERVICES",'1. ALL DATA'!$N$5:$N$116,"On track to be achieved")</f>
        <v>12</v>
      </c>
      <c r="J30" s="127">
        <f>I30/I43</f>
        <v>0.48</v>
      </c>
      <c r="K30" s="535"/>
      <c r="L30" s="127">
        <f>I30/I44</f>
        <v>0.5714285714285714</v>
      </c>
      <c r="M30" s="517"/>
      <c r="O30" s="312" t="s">
        <v>43</v>
      </c>
      <c r="P30" s="73">
        <f>COUNTIFS('1. ALL DATA'!$AA$5:$AA$116,"CULTURAL SERVICES",'1. ALL DATA'!$S$5:$S$116,"On track to be achieved")</f>
        <v>10</v>
      </c>
      <c r="Q30" s="127">
        <f>P30/P43</f>
        <v>0.4</v>
      </c>
      <c r="R30" s="535"/>
      <c r="S30" s="127">
        <f>P30/P44</f>
        <v>0.43478260869565216</v>
      </c>
      <c r="T30" s="517"/>
      <c r="V30" s="312" t="s">
        <v>84</v>
      </c>
      <c r="W30" s="155">
        <f>COUNTIFS('1. ALL DATA'!$AA$5:$AA$116,"CULTURAL SERVICES",'1. ALL DATA'!$W$5:$W$116,"Numerical Outturn Within 5% Tolerance")</f>
        <v>0</v>
      </c>
      <c r="X30" s="127">
        <f>W30/$W$43</f>
        <v>0</v>
      </c>
      <c r="Y30" s="535"/>
      <c r="Z30" s="127">
        <f>W30/$W$44</f>
        <v>0</v>
      </c>
      <c r="AA30" s="517"/>
    </row>
    <row r="31" spans="1:27" s="65" customFormat="1" ht="6" customHeight="1">
      <c r="A31" s="190"/>
      <c r="B31" s="195"/>
      <c r="C31" s="191"/>
      <c r="D31" s="191"/>
      <c r="E31" s="191"/>
      <c r="F31" s="192"/>
      <c r="H31" s="190"/>
      <c r="I31" s="195"/>
      <c r="J31" s="191"/>
      <c r="K31" s="191"/>
      <c r="L31" s="191"/>
      <c r="M31" s="192"/>
      <c r="O31" s="190"/>
      <c r="P31" s="195"/>
      <c r="Q31" s="191"/>
      <c r="R31" s="191"/>
      <c r="S31" s="191"/>
      <c r="T31" s="192"/>
      <c r="V31" s="193"/>
      <c r="W31" s="190"/>
      <c r="X31" s="191"/>
      <c r="Y31" s="191"/>
      <c r="Z31" s="191"/>
      <c r="AA31" s="192"/>
    </row>
    <row r="32" spans="1:27" ht="21" customHeight="1">
      <c r="A32" s="518" t="s">
        <v>27</v>
      </c>
      <c r="B32" s="537">
        <f>COUNTIFS('1. ALL DATA'!$AA$5:$AA$116,"CULTURAL SERVICES",'1. ALL DATA'!$I$5:$I$116,"In danger of falling behind target")</f>
        <v>0</v>
      </c>
      <c r="C32" s="535">
        <f>B32/B43</f>
        <v>0</v>
      </c>
      <c r="D32" s="535">
        <f>C32</f>
        <v>0</v>
      </c>
      <c r="E32" s="535">
        <f>B32/B44</f>
        <v>0</v>
      </c>
      <c r="F32" s="522">
        <f>E32</f>
        <v>0</v>
      </c>
      <c r="H32" s="518" t="s">
        <v>27</v>
      </c>
      <c r="I32" s="537">
        <f>COUNTIFS('1. ALL DATA'!$AA$5:$AA$116,"CULTURAL SERVICES",'1. ALL DATA'!$N$5:$N$116,"In danger of falling behind target")</f>
        <v>0</v>
      </c>
      <c r="J32" s="535">
        <f>I32/I43</f>
        <v>0</v>
      </c>
      <c r="K32" s="535">
        <f>J32</f>
        <v>0</v>
      </c>
      <c r="L32" s="535">
        <f>I32/I44</f>
        <v>0</v>
      </c>
      <c r="M32" s="522">
        <f>L32</f>
        <v>0</v>
      </c>
      <c r="O32" s="518" t="s">
        <v>27</v>
      </c>
      <c r="P32" s="537">
        <f>COUNTIFS('1. ALL DATA'!$AA$5:$AA$116,"CULTURAL SERVICES",'1. ALL DATA'!$S$5:$S$116,"In danger of falling behind target")</f>
        <v>1</v>
      </c>
      <c r="Q32" s="535">
        <f>P32/P43</f>
        <v>0.04</v>
      </c>
      <c r="R32" s="535">
        <f>Q32</f>
        <v>0.04</v>
      </c>
      <c r="S32" s="535">
        <f>P32/P44</f>
        <v>4.3478260869565216E-2</v>
      </c>
      <c r="T32" s="522">
        <f>S32</f>
        <v>4.3478260869565216E-2</v>
      </c>
      <c r="V32" s="314" t="s">
        <v>85</v>
      </c>
      <c r="W32" s="291">
        <f>COUNTIFS('1. ALL DATA'!$AA$5:$AA$116,"CULTURAL SERVICES",'1. ALL DATA'!$W$5:$W$116,"Numerical Outturn Within 10% Tolerance")</f>
        <v>0</v>
      </c>
      <c r="X32" s="127">
        <f>W32/$W$43</f>
        <v>0</v>
      </c>
      <c r="Y32" s="538">
        <f>SUM(X32:X34)</f>
        <v>0.04</v>
      </c>
      <c r="Z32" s="76">
        <f>W32/$W$44</f>
        <v>0</v>
      </c>
      <c r="AA32" s="522">
        <f>SUM(Z32:Z34)</f>
        <v>4.1666666666666664E-2</v>
      </c>
    </row>
    <row r="33" spans="1:27" ht="20.25" customHeight="1">
      <c r="A33" s="518"/>
      <c r="B33" s="537"/>
      <c r="C33" s="535"/>
      <c r="D33" s="535"/>
      <c r="E33" s="535"/>
      <c r="F33" s="522"/>
      <c r="H33" s="518"/>
      <c r="I33" s="537"/>
      <c r="J33" s="535"/>
      <c r="K33" s="535"/>
      <c r="L33" s="535"/>
      <c r="M33" s="522"/>
      <c r="O33" s="518"/>
      <c r="P33" s="537"/>
      <c r="Q33" s="535"/>
      <c r="R33" s="535"/>
      <c r="S33" s="535"/>
      <c r="T33" s="522"/>
      <c r="V33" s="314" t="s">
        <v>86</v>
      </c>
      <c r="W33" s="291">
        <f>COUNTIFS('1. ALL DATA'!$AA$5:$AA$116,"CULTURAL SERVICES",'1. ALL DATA'!$W$5:$W$116,"Target Partially Met")</f>
        <v>1</v>
      </c>
      <c r="X33" s="127">
        <f>W33/$W$43</f>
        <v>0.04</v>
      </c>
      <c r="Y33" s="539"/>
      <c r="Z33" s="76">
        <f>W33/$W$44</f>
        <v>4.1666666666666664E-2</v>
      </c>
      <c r="AA33" s="522"/>
    </row>
    <row r="34" spans="1:27" ht="15.75" customHeight="1">
      <c r="A34" s="518"/>
      <c r="B34" s="537"/>
      <c r="C34" s="535"/>
      <c r="D34" s="535"/>
      <c r="E34" s="535"/>
      <c r="F34" s="522"/>
      <c r="H34" s="518"/>
      <c r="I34" s="537"/>
      <c r="J34" s="535"/>
      <c r="K34" s="535"/>
      <c r="L34" s="535"/>
      <c r="M34" s="522"/>
      <c r="O34" s="518"/>
      <c r="P34" s="537"/>
      <c r="Q34" s="535"/>
      <c r="R34" s="535"/>
      <c r="S34" s="535"/>
      <c r="T34" s="522"/>
      <c r="V34" s="314" t="s">
        <v>88</v>
      </c>
      <c r="W34" s="291">
        <f>COUNTIFS('1. ALL DATA'!$AA$5:$AA$116,"CULTURAL SERVICES",'1. ALL DATA'!$W$5:$W$116,"Completion Date Within Reasonable Tolerance")</f>
        <v>0</v>
      </c>
      <c r="X34" s="127">
        <f>W34/$W$43</f>
        <v>0</v>
      </c>
      <c r="Y34" s="540"/>
      <c r="Z34" s="76">
        <f>W34/$W$44</f>
        <v>0</v>
      </c>
      <c r="AA34" s="522"/>
    </row>
    <row r="35" spans="1:27" s="65" customFormat="1" ht="6" customHeight="1">
      <c r="A35" s="190"/>
      <c r="B35" s="190"/>
      <c r="C35" s="191"/>
      <c r="D35" s="191"/>
      <c r="E35" s="191"/>
      <c r="F35" s="192"/>
      <c r="H35" s="190"/>
      <c r="I35" s="190"/>
      <c r="J35" s="191"/>
      <c r="K35" s="191"/>
      <c r="L35" s="191"/>
      <c r="M35" s="192"/>
      <c r="O35" s="190"/>
      <c r="P35" s="190"/>
      <c r="Q35" s="191"/>
      <c r="R35" s="191"/>
      <c r="S35" s="191"/>
      <c r="T35" s="192"/>
      <c r="V35" s="193"/>
      <c r="W35" s="190"/>
      <c r="X35" s="191"/>
      <c r="Y35" s="191"/>
      <c r="Z35" s="191"/>
      <c r="AA35" s="192"/>
    </row>
    <row r="36" spans="1:27" ht="20.25" customHeight="1">
      <c r="A36" s="313" t="s">
        <v>44</v>
      </c>
      <c r="B36" s="73">
        <f>COUNTIFS('1. ALL DATA'!$AA$5:$AA$116,"CULTURAL SERVICES",'1. ALL DATA'!$I$5:$I$116,"Completed behind schedule")</f>
        <v>0</v>
      </c>
      <c r="C36" s="127">
        <f>B36/B43</f>
        <v>0</v>
      </c>
      <c r="D36" s="535">
        <f>C36+C37</f>
        <v>0</v>
      </c>
      <c r="E36" s="127">
        <f>B36/B44</f>
        <v>0</v>
      </c>
      <c r="F36" s="536">
        <f>E36+E37</f>
        <v>0</v>
      </c>
      <c r="H36" s="313" t="s">
        <v>44</v>
      </c>
      <c r="I36" s="73">
        <f>COUNTIFS('1. ALL DATA'!$AA$5:$AA$116,"CULTURAL SERVICES",'1. ALL DATA'!$N$5:$N$116,"Completed behind schedule")</f>
        <v>0</v>
      </c>
      <c r="J36" s="127">
        <f>I36/I43</f>
        <v>0</v>
      </c>
      <c r="K36" s="535">
        <f>J36+J37</f>
        <v>0</v>
      </c>
      <c r="L36" s="127">
        <f>I36/I44</f>
        <v>0</v>
      </c>
      <c r="M36" s="536">
        <f>L36+L37</f>
        <v>0</v>
      </c>
      <c r="O36" s="313" t="s">
        <v>44</v>
      </c>
      <c r="P36" s="73">
        <f>COUNTIFS('1. ALL DATA'!$AA$5:$AA$116,"CULTURAL SERVICES",'1. ALL DATA'!$S$5:$S$116,"Completed behind schedule")</f>
        <v>0</v>
      </c>
      <c r="Q36" s="127">
        <f>P36/P43</f>
        <v>0</v>
      </c>
      <c r="R36" s="535">
        <f>Q36+Q37</f>
        <v>0</v>
      </c>
      <c r="S36" s="127">
        <f>P36/P44</f>
        <v>0</v>
      </c>
      <c r="T36" s="536">
        <f>S36+S37</f>
        <v>0</v>
      </c>
      <c r="V36" s="313" t="s">
        <v>87</v>
      </c>
      <c r="W36" s="291">
        <f>COUNTIFS('1. ALL DATA'!$AA$5:$AA$116,"CULTURAL SERVICES",'1. ALL DATA'!$W$5:$W$116,"Completed Significantly After Target Deadline")</f>
        <v>0</v>
      </c>
      <c r="X36" s="127">
        <f>W36/$W$43</f>
        <v>0</v>
      </c>
      <c r="Y36" s="535">
        <f>X36+X37</f>
        <v>0</v>
      </c>
      <c r="Z36" s="127">
        <f>W36/W44</f>
        <v>0</v>
      </c>
      <c r="AA36" s="536">
        <f>Z36+Z37</f>
        <v>0</v>
      </c>
    </row>
    <row r="37" spans="1:27" ht="20.25" customHeight="1">
      <c r="A37" s="313" t="s">
        <v>28</v>
      </c>
      <c r="B37" s="73">
        <f>COUNTIFS('1. ALL DATA'!$AA$5:$AA$116,"CULTURAL SERVICES",'1. ALL DATA'!$I$5:$I$116,"Off target")</f>
        <v>0</v>
      </c>
      <c r="C37" s="127">
        <f>B37/B43</f>
        <v>0</v>
      </c>
      <c r="D37" s="535"/>
      <c r="E37" s="127">
        <f>B37/B44</f>
        <v>0</v>
      </c>
      <c r="F37" s="536"/>
      <c r="H37" s="313" t="s">
        <v>28</v>
      </c>
      <c r="I37" s="73">
        <f>COUNTIFS('1. ALL DATA'!$AA$5:$AA$116,"CULTURAL SERVICES",'1. ALL DATA'!$N$5:$N$116,"Off target")</f>
        <v>0</v>
      </c>
      <c r="J37" s="127">
        <f>I37/I43</f>
        <v>0</v>
      </c>
      <c r="K37" s="535"/>
      <c r="L37" s="127">
        <f>I37/I44</f>
        <v>0</v>
      </c>
      <c r="M37" s="536"/>
      <c r="O37" s="313" t="s">
        <v>28</v>
      </c>
      <c r="P37" s="73">
        <f>COUNTIFS('1. ALL DATA'!$AA$5:$AA$116,"CULTURAL SERVICES",'1. ALL DATA'!$S$5:$S$116,"Off target")</f>
        <v>0</v>
      </c>
      <c r="Q37" s="127">
        <f>P37/P43</f>
        <v>0</v>
      </c>
      <c r="R37" s="535"/>
      <c r="S37" s="127">
        <f>P37/P44</f>
        <v>0</v>
      </c>
      <c r="T37" s="536"/>
      <c r="V37" s="313" t="s">
        <v>28</v>
      </c>
      <c r="W37" s="291">
        <f>COUNTIFS('1. ALL DATA'!$AA$5:$AA$116,"CULTURAL SERVICES",'1. ALL DATA'!$W$5:$W$116,"Off Target")</f>
        <v>0</v>
      </c>
      <c r="X37" s="127">
        <f>W37/$W$43</f>
        <v>0</v>
      </c>
      <c r="Y37" s="535"/>
      <c r="Z37" s="127">
        <f>W37/W44</f>
        <v>0</v>
      </c>
      <c r="AA37" s="536"/>
    </row>
    <row r="38" spans="1:27" s="65" customFormat="1" ht="6.75" customHeight="1">
      <c r="A38" s="190"/>
      <c r="B38" s="195"/>
      <c r="C38" s="191"/>
      <c r="D38" s="191"/>
      <c r="E38" s="191"/>
      <c r="F38" s="196"/>
      <c r="H38" s="190"/>
      <c r="I38" s="195"/>
      <c r="J38" s="191"/>
      <c r="K38" s="191"/>
      <c r="L38" s="191"/>
      <c r="M38" s="196"/>
      <c r="O38" s="190"/>
      <c r="P38" s="195"/>
      <c r="Q38" s="191"/>
      <c r="R38" s="191"/>
      <c r="S38" s="191"/>
      <c r="T38" s="196"/>
      <c r="V38" s="383"/>
      <c r="W38" s="197"/>
      <c r="X38" s="198"/>
      <c r="Y38" s="198"/>
      <c r="Z38" s="199"/>
      <c r="AA38" s="267"/>
    </row>
    <row r="39" spans="1:27" ht="15" customHeight="1">
      <c r="A39" s="49" t="s">
        <v>2</v>
      </c>
      <c r="B39" s="64">
        <f>COUNTIFS('1. ALL DATA'!$AA$5:$AA$116,"CULTURAL SERVICES",'1. ALL DATA'!$I$5:$I$116,"Not yet due")</f>
        <v>8</v>
      </c>
      <c r="C39" s="79">
        <f>B39/B43</f>
        <v>0.32</v>
      </c>
      <c r="D39" s="79">
        <f>C39</f>
        <v>0.32</v>
      </c>
      <c r="E39" s="80"/>
      <c r="F39" s="48"/>
      <c r="H39" s="49" t="s">
        <v>2</v>
      </c>
      <c r="I39" s="64">
        <f>COUNTIFS('1. ALL DATA'!$AA$5:$AA$116,"CULTURAL SERVICES",'1. ALL DATA'!$N$5:$N$116,"Not yet due")</f>
        <v>4</v>
      </c>
      <c r="J39" s="79">
        <f>I39/I43</f>
        <v>0.16</v>
      </c>
      <c r="K39" s="79">
        <f>J39</f>
        <v>0.16</v>
      </c>
      <c r="L39" s="80"/>
      <c r="M39" s="48"/>
      <c r="O39" s="49" t="s">
        <v>2</v>
      </c>
      <c r="P39" s="64">
        <f>COUNTIFS('1. ALL DATA'!$AA$5:$AA$116,"CULTURAL SERVICES",'1. ALL DATA'!$S$5:$S$116,"Not yet due")</f>
        <v>1</v>
      </c>
      <c r="Q39" s="79">
        <f>P39/P43</f>
        <v>0.04</v>
      </c>
      <c r="R39" s="79">
        <f>Q39</f>
        <v>0.04</v>
      </c>
      <c r="S39" s="80"/>
      <c r="T39" s="100"/>
      <c r="V39" s="64" t="s">
        <v>2</v>
      </c>
      <c r="W39" s="49">
        <f>COUNTIFS('1. ALL DATA'!$AA$5:$AA$116,"CULTURAL SERVICES",'1. ALL DATA'!$W$5:$W$116,"not yet due")</f>
        <v>0</v>
      </c>
      <c r="X39" s="79">
        <f>W39/$W$43</f>
        <v>0</v>
      </c>
      <c r="Y39" s="79">
        <f>X39</f>
        <v>0</v>
      </c>
      <c r="Z39" s="80"/>
      <c r="AA39" s="269"/>
    </row>
    <row r="40" spans="1:27" ht="15" customHeight="1">
      <c r="A40" s="49" t="s">
        <v>48</v>
      </c>
      <c r="B40" s="64">
        <f>COUNTIFS('1. ALL DATA'!$AA$5:$AA$116,"CULTURAL SERVICES",'1. ALL DATA'!$I$5:$I$116,"Update not provided")</f>
        <v>0</v>
      </c>
      <c r="C40" s="79">
        <f>B40/B43</f>
        <v>0</v>
      </c>
      <c r="D40" s="79">
        <f>C40</f>
        <v>0</v>
      </c>
      <c r="E40" s="80"/>
      <c r="F40" s="105"/>
      <c r="H40" s="49" t="s">
        <v>48</v>
      </c>
      <c r="I40" s="64">
        <f>COUNTIFS('1. ALL DATA'!$AA$5:$AA$116,"CULTURAL SERVICES",'1. ALL DATA'!$N$5:$N$116,"Update not provided")</f>
        <v>0</v>
      </c>
      <c r="J40" s="79">
        <f>I40/I43</f>
        <v>0</v>
      </c>
      <c r="K40" s="79">
        <f>J40</f>
        <v>0</v>
      </c>
      <c r="L40" s="80"/>
      <c r="M40" s="105"/>
      <c r="O40" s="49" t="s">
        <v>48</v>
      </c>
      <c r="P40" s="64">
        <f>COUNTIFS('1. ALL DATA'!$AA$5:$AA$116,"CULTURAL SERVICES",'1. ALL DATA'!$S$5:$S$116,"Update not provided")</f>
        <v>0</v>
      </c>
      <c r="Q40" s="79">
        <f>P40/P43</f>
        <v>0</v>
      </c>
      <c r="R40" s="79">
        <f>Q40</f>
        <v>0</v>
      </c>
      <c r="S40" s="80"/>
      <c r="T40" s="101"/>
      <c r="V40" s="66" t="s">
        <v>48</v>
      </c>
      <c r="W40" s="49">
        <f>COUNTIFS('1. ALL DATA'!$AA$5:$AA$116,"CULTURAL SERVICES",'1. ALL DATA'!$W$5:$W$116,"Update not provided")</f>
        <v>0</v>
      </c>
      <c r="X40" s="79">
        <f>W40/$W$43</f>
        <v>0</v>
      </c>
      <c r="Y40" s="79">
        <f>X40</f>
        <v>0</v>
      </c>
      <c r="Z40" s="80"/>
    </row>
    <row r="41" spans="1:27" ht="15.75" customHeight="1">
      <c r="A41" s="50" t="s">
        <v>23</v>
      </c>
      <c r="B41" s="64">
        <f>COUNTIFS('1. ALL DATA'!$AA$5:$AA$116,"CULTURAL SERVICES",'1. ALL DATA'!$I$5:$I$116,"Deferred")</f>
        <v>0</v>
      </c>
      <c r="C41" s="82">
        <f>B41/B43</f>
        <v>0</v>
      </c>
      <c r="D41" s="82">
        <f>C41</f>
        <v>0</v>
      </c>
      <c r="E41" s="81"/>
      <c r="F41" s="48"/>
      <c r="H41" s="50" t="s">
        <v>23</v>
      </c>
      <c r="I41" s="64">
        <f>COUNTIFS('1. ALL DATA'!$AA$5:$AA$116,"CULTURAL SERVICES",'1. ALL DATA'!$N$5:$N$116,"Deferred")</f>
        <v>0</v>
      </c>
      <c r="J41" s="82">
        <f>I41/I43</f>
        <v>0</v>
      </c>
      <c r="K41" s="82">
        <f>J41</f>
        <v>0</v>
      </c>
      <c r="L41" s="81"/>
      <c r="M41" s="48"/>
      <c r="O41" s="50" t="s">
        <v>23</v>
      </c>
      <c r="P41" s="64">
        <f>COUNTIFS('1. ALL DATA'!$AA$5:$AA$116,"CULTURAL SERVICES",'1. ALL DATA'!$S$5:$S$116,"Deferred")</f>
        <v>0</v>
      </c>
      <c r="Q41" s="82">
        <f>P41/P43</f>
        <v>0</v>
      </c>
      <c r="R41" s="82">
        <f>Q41</f>
        <v>0</v>
      </c>
      <c r="S41" s="81"/>
      <c r="T41" s="100"/>
      <c r="V41" s="50" t="s">
        <v>23</v>
      </c>
      <c r="W41" s="49">
        <f>COUNTIFS('1. ALL DATA'!$AA$5:$AA$116,"CULTURAL SERVICES",'1. ALL DATA'!$W$5:$W$116,"Deferred")</f>
        <v>0</v>
      </c>
      <c r="X41" s="82">
        <f>W41/$W$43</f>
        <v>0</v>
      </c>
      <c r="Y41" s="82">
        <f>X41</f>
        <v>0</v>
      </c>
      <c r="Z41" s="81"/>
      <c r="AA41" s="269"/>
    </row>
    <row r="42" spans="1:27" ht="15.75" customHeight="1">
      <c r="A42" s="50" t="s">
        <v>29</v>
      </c>
      <c r="B42" s="64">
        <f>COUNTIFS('1. ALL DATA'!$AA$5:$AA$116,"CULTURAL SERVICES",'1. ALL DATA'!$I$5:$I$116,"Deleted")</f>
        <v>0</v>
      </c>
      <c r="C42" s="82">
        <f>B42/B43</f>
        <v>0</v>
      </c>
      <c r="D42" s="82">
        <f>C42</f>
        <v>0</v>
      </c>
      <c r="E42" s="81"/>
      <c r="F42" s="98" t="s">
        <v>64</v>
      </c>
      <c r="H42" s="50" t="s">
        <v>29</v>
      </c>
      <c r="I42" s="64">
        <f>COUNTIFS('1. ALL DATA'!$AA$5:$AA$116,"CULTURAL SERVICES",'1. ALL DATA'!$N$5:$N$116,"Deleted")</f>
        <v>0</v>
      </c>
      <c r="J42" s="82">
        <f>I42/I43</f>
        <v>0</v>
      </c>
      <c r="K42" s="82">
        <f>J42</f>
        <v>0</v>
      </c>
      <c r="L42" s="81"/>
      <c r="M42" s="106"/>
      <c r="O42" s="50" t="s">
        <v>29</v>
      </c>
      <c r="P42" s="64">
        <f>COUNTIFS('1. ALL DATA'!$AA$5:$AA$116,"CULTURAL SERVICES",'1. ALL DATA'!$S$5:$S$116,"Deleted")</f>
        <v>1</v>
      </c>
      <c r="Q42" s="82">
        <f>P42/P43</f>
        <v>0.04</v>
      </c>
      <c r="R42" s="82">
        <f>Q42</f>
        <v>0.04</v>
      </c>
      <c r="S42" s="81"/>
      <c r="T42" s="98" t="s">
        <v>64</v>
      </c>
      <c r="V42" s="50" t="s">
        <v>29</v>
      </c>
      <c r="W42" s="49">
        <f>COUNTIFS('1. ALL DATA'!$AA$5:$AA$116,"CULTURAL SERVICES",'1. ALL DATA'!$W$5:$W$116,"Deleted")</f>
        <v>1</v>
      </c>
      <c r="X42" s="82">
        <f>W42/$W$43</f>
        <v>0.04</v>
      </c>
      <c r="Y42" s="82">
        <f>X42</f>
        <v>0.04</v>
      </c>
      <c r="Z42" s="81"/>
      <c r="AA42" s="98" t="s">
        <v>64</v>
      </c>
    </row>
    <row r="43" spans="1:27" ht="15.75" customHeight="1">
      <c r="A43" s="51" t="s">
        <v>31</v>
      </c>
      <c r="B43" s="83">
        <f>SUM(B29:B42)</f>
        <v>25</v>
      </c>
      <c r="C43" s="81"/>
      <c r="D43" s="81"/>
      <c r="E43" s="53"/>
      <c r="F43" s="106"/>
      <c r="H43" s="51" t="s">
        <v>31</v>
      </c>
      <c r="I43" s="83">
        <f>SUM(I29:I42)</f>
        <v>25</v>
      </c>
      <c r="J43" s="81"/>
      <c r="K43" s="81"/>
      <c r="L43" s="53"/>
      <c r="M43" s="98" t="s">
        <v>64</v>
      </c>
      <c r="O43" s="51" t="s">
        <v>31</v>
      </c>
      <c r="P43" s="83">
        <f>SUM(P29:P42)</f>
        <v>25</v>
      </c>
      <c r="Q43" s="81"/>
      <c r="R43" s="81"/>
      <c r="S43" s="53"/>
      <c r="T43" s="100"/>
      <c r="V43" s="51" t="s">
        <v>31</v>
      </c>
      <c r="W43" s="88">
        <f>SUM(W29:W42)</f>
        <v>25</v>
      </c>
      <c r="X43" s="81"/>
      <c r="Y43" s="81"/>
      <c r="Z43" s="53"/>
      <c r="AA43" s="269"/>
    </row>
    <row r="44" spans="1:27" ht="15.75" customHeight="1">
      <c r="A44" s="51" t="s">
        <v>32</v>
      </c>
      <c r="B44" s="83">
        <f>B43-B42-B41-B40-B39</f>
        <v>17</v>
      </c>
      <c r="C44" s="53"/>
      <c r="D44" s="53"/>
      <c r="E44" s="53"/>
      <c r="F44" s="48"/>
      <c r="H44" s="51" t="s">
        <v>32</v>
      </c>
      <c r="I44" s="83">
        <f>I43-I42-I41-I40-I39</f>
        <v>21</v>
      </c>
      <c r="J44" s="53"/>
      <c r="K44" s="53"/>
      <c r="L44" s="53"/>
      <c r="M44" s="48"/>
      <c r="O44" s="51" t="s">
        <v>32</v>
      </c>
      <c r="P44" s="83">
        <f>P43-P42-P41-P40-P39</f>
        <v>23</v>
      </c>
      <c r="Q44" s="53"/>
      <c r="R44" s="53"/>
      <c r="S44" s="53"/>
      <c r="T44" s="100"/>
      <c r="V44" s="51" t="s">
        <v>32</v>
      </c>
      <c r="W44" s="88">
        <f>W43-W42-W41-W40-W39</f>
        <v>24</v>
      </c>
      <c r="X44" s="53"/>
      <c r="Y44" s="53"/>
      <c r="Z44" s="53"/>
      <c r="AA44" s="269"/>
    </row>
    <row r="45" spans="1:27" ht="15.75" customHeight="1">
      <c r="V45" s="67"/>
      <c r="W45" s="65"/>
      <c r="X45" s="65"/>
      <c r="Y45" s="65"/>
      <c r="Z45" s="53"/>
      <c r="AA45" s="269"/>
    </row>
    <row r="46" spans="1:27" ht="15.75" customHeight="1"/>
    <row r="47" spans="1:27" s="65" customFormat="1" ht="15.75" customHeight="1">
      <c r="A47" s="67"/>
      <c r="E47" s="53"/>
      <c r="F47" s="1"/>
      <c r="H47" s="67"/>
      <c r="L47" s="53"/>
      <c r="M47" s="1"/>
      <c r="O47" s="67"/>
      <c r="S47" s="53"/>
      <c r="T47" s="97"/>
      <c r="AA47" s="269"/>
    </row>
    <row r="48" spans="1:27" s="65" customFormat="1" ht="15.75" customHeight="1">
      <c r="A48" s="380" t="s">
        <v>253</v>
      </c>
      <c r="B48" s="374"/>
      <c r="C48" s="374"/>
      <c r="D48" s="374"/>
      <c r="E48" s="374"/>
      <c r="F48" s="375"/>
      <c r="H48" s="380" t="s">
        <v>253</v>
      </c>
      <c r="I48" s="374"/>
      <c r="J48" s="374"/>
      <c r="K48" s="374"/>
      <c r="L48" s="374"/>
      <c r="M48" s="375"/>
      <c r="O48" s="380" t="s">
        <v>253</v>
      </c>
      <c r="P48" s="374"/>
      <c r="Q48" s="374"/>
      <c r="R48" s="374"/>
      <c r="S48" s="374"/>
      <c r="T48" s="375"/>
      <c r="V48" s="380" t="s">
        <v>253</v>
      </c>
      <c r="W48" s="374"/>
      <c r="X48" s="374"/>
      <c r="Y48" s="374"/>
      <c r="Z48" s="374"/>
      <c r="AA48" s="375"/>
    </row>
    <row r="49" spans="1:27" ht="36" customHeight="1">
      <c r="A49" s="376" t="s">
        <v>24</v>
      </c>
      <c r="B49" s="376" t="s">
        <v>25</v>
      </c>
      <c r="C49" s="376" t="s">
        <v>19</v>
      </c>
      <c r="D49" s="376" t="s">
        <v>50</v>
      </c>
      <c r="E49" s="376" t="s">
        <v>30</v>
      </c>
      <c r="F49" s="377" t="s">
        <v>51</v>
      </c>
      <c r="H49" s="376" t="s">
        <v>24</v>
      </c>
      <c r="I49" s="376" t="s">
        <v>25</v>
      </c>
      <c r="J49" s="376" t="s">
        <v>19</v>
      </c>
      <c r="K49" s="376" t="s">
        <v>50</v>
      </c>
      <c r="L49" s="376" t="s">
        <v>30</v>
      </c>
      <c r="M49" s="377" t="s">
        <v>51</v>
      </c>
      <c r="O49" s="376" t="s">
        <v>24</v>
      </c>
      <c r="P49" s="376" t="s">
        <v>25</v>
      </c>
      <c r="Q49" s="376" t="s">
        <v>19</v>
      </c>
      <c r="R49" s="376" t="s">
        <v>50</v>
      </c>
      <c r="S49" s="376" t="s">
        <v>30</v>
      </c>
      <c r="T49" s="378" t="s">
        <v>51</v>
      </c>
      <c r="V49" s="376" t="s">
        <v>24</v>
      </c>
      <c r="W49" s="376" t="s">
        <v>25</v>
      </c>
      <c r="X49" s="376" t="s">
        <v>19</v>
      </c>
      <c r="Y49" s="376" t="s">
        <v>50</v>
      </c>
      <c r="Z49" s="376" t="s">
        <v>30</v>
      </c>
      <c r="AA49" s="379" t="s">
        <v>51</v>
      </c>
    </row>
    <row r="50" spans="1:27" s="65" customFormat="1" ht="7.5" customHeight="1">
      <c r="A50" s="190"/>
      <c r="B50" s="190"/>
      <c r="C50" s="190"/>
      <c r="D50" s="190"/>
      <c r="E50" s="190"/>
      <c r="F50" s="202"/>
      <c r="H50" s="190"/>
      <c r="I50" s="190"/>
      <c r="J50" s="190"/>
      <c r="K50" s="190"/>
      <c r="L50" s="190"/>
      <c r="M50" s="202"/>
      <c r="O50" s="190"/>
      <c r="P50" s="190"/>
      <c r="Q50" s="190"/>
      <c r="R50" s="190"/>
      <c r="S50" s="190"/>
      <c r="T50" s="203"/>
      <c r="V50" s="190"/>
      <c r="W50" s="190"/>
      <c r="X50" s="190"/>
      <c r="Y50" s="190"/>
      <c r="Z50" s="190"/>
      <c r="AA50" s="266"/>
    </row>
    <row r="51" spans="1:27" ht="18.75" customHeight="1">
      <c r="A51" s="312" t="s">
        <v>47</v>
      </c>
      <c r="B51" s="73">
        <f>COUNTIFS('1. ALL DATA'!$AA$5:$AA$116,"ENTERPRISE AND ENVIRONMENT",'1. ALL DATA'!$I$5:$I$116,"Fully Achieved")</f>
        <v>1</v>
      </c>
      <c r="C51" s="127">
        <f>B51/B65</f>
        <v>4.7619047619047616E-2</v>
      </c>
      <c r="D51" s="535">
        <f>C51+C52</f>
        <v>0.71428571428571419</v>
      </c>
      <c r="E51" s="127">
        <f>B51/B66</f>
        <v>6.25E-2</v>
      </c>
      <c r="F51" s="517">
        <f>E51+E52</f>
        <v>0.9375</v>
      </c>
      <c r="H51" s="312" t="s">
        <v>47</v>
      </c>
      <c r="I51" s="73">
        <f>COUNTIFS('1. ALL DATA'!$AA$5:$AA$116,"ENTERPRISE AND ENVIRONMENT",'1. ALL DATA'!$N$5:$N$116,"Fully Achieved")</f>
        <v>8</v>
      </c>
      <c r="J51" s="127">
        <f>I51/I65</f>
        <v>0.38095238095238093</v>
      </c>
      <c r="K51" s="535">
        <f>J51+J52</f>
        <v>0.90476190476190477</v>
      </c>
      <c r="L51" s="127">
        <f>I51/I66</f>
        <v>0.4</v>
      </c>
      <c r="M51" s="517">
        <f>L51+L52</f>
        <v>0.95000000000000007</v>
      </c>
      <c r="O51" s="312" t="s">
        <v>47</v>
      </c>
      <c r="P51" s="73">
        <f>COUNTIFS('1. ALL DATA'!$AA$5:$AA$116,"ENTERPRISE AND ENVIRONMENT",'1. ALL DATA'!$S$5:$S$116,"Fully Achieved")</f>
        <v>10</v>
      </c>
      <c r="Q51" s="127">
        <f>P51/P65</f>
        <v>0.47619047619047616</v>
      </c>
      <c r="R51" s="535">
        <f>Q51+Q52</f>
        <v>0.95238095238095233</v>
      </c>
      <c r="S51" s="127">
        <f>P51/P66</f>
        <v>0.47619047619047616</v>
      </c>
      <c r="T51" s="517">
        <f>S51+S52</f>
        <v>0.95238095238095233</v>
      </c>
      <c r="V51" s="312" t="s">
        <v>42</v>
      </c>
      <c r="W51" s="155">
        <f>COUNTIFS('1. ALL DATA'!$AA$5:$AA$116,"ENTERPRISE AND ENVIRONMENT",'1. ALL DATA'!$W$5:$W$116,"Fully Achieved")</f>
        <v>18</v>
      </c>
      <c r="X51" s="127">
        <f>W51/$W$65</f>
        <v>0.8571428571428571</v>
      </c>
      <c r="Y51" s="535">
        <f>X51+X52</f>
        <v>0.95238095238095233</v>
      </c>
      <c r="Z51" s="127">
        <f>W51/$W$66</f>
        <v>0.8571428571428571</v>
      </c>
      <c r="AA51" s="517">
        <f>Z51+Z52</f>
        <v>0.95238095238095233</v>
      </c>
    </row>
    <row r="52" spans="1:27" ht="18.75" customHeight="1">
      <c r="A52" s="312" t="s">
        <v>43</v>
      </c>
      <c r="B52" s="73">
        <f>COUNTIFS('1. ALL DATA'!$AA$5:$AA$116,"ENTERPRISE AND ENVIRONMENT",'1. ALL DATA'!$I$5:$I$116,"On track to be achieved")</f>
        <v>14</v>
      </c>
      <c r="C52" s="127">
        <f>B52/B65</f>
        <v>0.66666666666666663</v>
      </c>
      <c r="D52" s="535"/>
      <c r="E52" s="127">
        <f>B52/B66</f>
        <v>0.875</v>
      </c>
      <c r="F52" s="517"/>
      <c r="H52" s="312" t="s">
        <v>43</v>
      </c>
      <c r="I52" s="73">
        <f>COUNTIFS('1. ALL DATA'!$AA$5:$AA$116,"ENTERPRISE AND ENVIRONMENT",'1. ALL DATA'!$N$5:$N$116,"On track to be achieved")</f>
        <v>11</v>
      </c>
      <c r="J52" s="127">
        <f>I52/I65</f>
        <v>0.52380952380952384</v>
      </c>
      <c r="K52" s="535"/>
      <c r="L52" s="127">
        <f>I52/I66</f>
        <v>0.55000000000000004</v>
      </c>
      <c r="M52" s="517"/>
      <c r="O52" s="312" t="s">
        <v>43</v>
      </c>
      <c r="P52" s="73">
        <f>COUNTIFS('1. ALL DATA'!$AA$5:$AA$116,"ENTERPRISE AND ENVIRONMENT",'1. ALL DATA'!$S$5:$S$116,"On track to be achieved")</f>
        <v>10</v>
      </c>
      <c r="Q52" s="127">
        <f>P52/P65</f>
        <v>0.47619047619047616</v>
      </c>
      <c r="R52" s="535"/>
      <c r="S52" s="127">
        <f>P52/P66</f>
        <v>0.47619047619047616</v>
      </c>
      <c r="T52" s="517"/>
      <c r="V52" s="312" t="s">
        <v>84</v>
      </c>
      <c r="W52" s="155">
        <f>COUNTIFS('1. ALL DATA'!$AA$5:$AA$116,"ENTERPRISE AND ENVIRONMENT",'1. ALL DATA'!$W$5:$W$116,"Numerical Outturn Within 5% Tolerance")</f>
        <v>2</v>
      </c>
      <c r="X52" s="127">
        <f>W52/$W$65</f>
        <v>9.5238095238095233E-2</v>
      </c>
      <c r="Y52" s="535"/>
      <c r="Z52" s="127">
        <f>W52/$W$66</f>
        <v>9.5238095238095233E-2</v>
      </c>
      <c r="AA52" s="517"/>
    </row>
    <row r="53" spans="1:27" s="65" customFormat="1" ht="6.75" customHeight="1">
      <c r="A53" s="190"/>
      <c r="B53" s="195"/>
      <c r="C53" s="191"/>
      <c r="D53" s="191"/>
      <c r="E53" s="191"/>
      <c r="F53" s="192"/>
      <c r="H53" s="190"/>
      <c r="I53" s="195"/>
      <c r="J53" s="191"/>
      <c r="K53" s="191"/>
      <c r="L53" s="191"/>
      <c r="M53" s="192"/>
      <c r="O53" s="190"/>
      <c r="P53" s="195"/>
      <c r="Q53" s="191"/>
      <c r="R53" s="191"/>
      <c r="S53" s="191"/>
      <c r="T53" s="192"/>
      <c r="V53" s="193"/>
      <c r="W53" s="190"/>
      <c r="X53" s="191"/>
      <c r="Y53" s="191"/>
      <c r="Z53" s="191"/>
      <c r="AA53" s="192"/>
    </row>
    <row r="54" spans="1:27" ht="16.5" customHeight="1">
      <c r="A54" s="518" t="s">
        <v>27</v>
      </c>
      <c r="B54" s="537">
        <f>COUNTIFS('1. ALL DATA'!$AA$5:$AA$116,"ENTERPRISE AND ENVIRONMENT",'1. ALL DATA'!$I$5:$I$116,"In danger of falling behind target")</f>
        <v>1</v>
      </c>
      <c r="C54" s="535">
        <f>B54/B65</f>
        <v>4.7619047619047616E-2</v>
      </c>
      <c r="D54" s="535">
        <f>C54</f>
        <v>4.7619047619047616E-2</v>
      </c>
      <c r="E54" s="535">
        <f>B54/B66</f>
        <v>6.25E-2</v>
      </c>
      <c r="F54" s="522">
        <f>E54</f>
        <v>6.25E-2</v>
      </c>
      <c r="H54" s="518" t="s">
        <v>27</v>
      </c>
      <c r="I54" s="537">
        <f>COUNTIFS('1. ALL DATA'!$AA$5:$AA$116,"ENTERPRISE AND ENVIRONMENT",'1. ALL DATA'!$N$5:$N$116,"In danger of falling behind target")</f>
        <v>1</v>
      </c>
      <c r="J54" s="535">
        <f>I54/I65</f>
        <v>4.7619047619047616E-2</v>
      </c>
      <c r="K54" s="535">
        <f>J54</f>
        <v>4.7619047619047616E-2</v>
      </c>
      <c r="L54" s="535">
        <f>I54/I66</f>
        <v>0.05</v>
      </c>
      <c r="M54" s="522">
        <f>L54</f>
        <v>0.05</v>
      </c>
      <c r="O54" s="518" t="s">
        <v>27</v>
      </c>
      <c r="P54" s="537">
        <f>COUNTIFS('1. ALL DATA'!$AA$5:$AA$116,"ENTERPRISE AND ENVIRONMENT",'1. ALL DATA'!$S$5:$S$116,"In danger of falling behind target")</f>
        <v>1</v>
      </c>
      <c r="Q54" s="535">
        <f>P54/P65</f>
        <v>4.7619047619047616E-2</v>
      </c>
      <c r="R54" s="535">
        <f>Q54</f>
        <v>4.7619047619047616E-2</v>
      </c>
      <c r="S54" s="535">
        <f>P54/P66</f>
        <v>4.7619047619047616E-2</v>
      </c>
      <c r="T54" s="522">
        <f>S54</f>
        <v>4.7619047619047616E-2</v>
      </c>
      <c r="V54" s="314" t="s">
        <v>85</v>
      </c>
      <c r="W54" s="291">
        <f>COUNTIFS('1. ALL DATA'!$AA$5:$AA$116,"ENTERPRISE AND ENVIRONMENT",'1. ALL DATA'!$W$5:$W$116,"Numerical Outturn Within 10% Tolerance")</f>
        <v>0</v>
      </c>
      <c r="X54" s="127">
        <f>W54/$W$65</f>
        <v>0</v>
      </c>
      <c r="Y54" s="538">
        <f>SUM(X54:X56)</f>
        <v>4.7619047619047616E-2</v>
      </c>
      <c r="Z54" s="76">
        <f>W54/$W$66</f>
        <v>0</v>
      </c>
      <c r="AA54" s="522">
        <f>SUM(Z54:Z56)</f>
        <v>4.7619047619047616E-2</v>
      </c>
    </row>
    <row r="55" spans="1:27" ht="16.5" customHeight="1">
      <c r="A55" s="518"/>
      <c r="B55" s="537"/>
      <c r="C55" s="535"/>
      <c r="D55" s="535"/>
      <c r="E55" s="535"/>
      <c r="F55" s="522"/>
      <c r="H55" s="518"/>
      <c r="I55" s="537"/>
      <c r="J55" s="535"/>
      <c r="K55" s="535"/>
      <c r="L55" s="535"/>
      <c r="M55" s="522"/>
      <c r="O55" s="518"/>
      <c r="P55" s="537"/>
      <c r="Q55" s="535"/>
      <c r="R55" s="535"/>
      <c r="S55" s="535"/>
      <c r="T55" s="522"/>
      <c r="V55" s="314" t="s">
        <v>86</v>
      </c>
      <c r="W55" s="291">
        <f>COUNTIFS('1. ALL DATA'!$AA$5:$AA$116,"ENTERPRISE AND ENVIRONMENT",'1. ALL DATA'!$W$5:$W$116,"Target Partially Met")</f>
        <v>1</v>
      </c>
      <c r="X55" s="127">
        <f>W55/$W$65</f>
        <v>4.7619047619047616E-2</v>
      </c>
      <c r="Y55" s="539"/>
      <c r="Z55" s="76">
        <f>W55/$W$66</f>
        <v>4.7619047619047616E-2</v>
      </c>
      <c r="AA55" s="522"/>
    </row>
    <row r="56" spans="1:27" ht="16.5" customHeight="1">
      <c r="A56" s="518"/>
      <c r="B56" s="537"/>
      <c r="C56" s="535"/>
      <c r="D56" s="535"/>
      <c r="E56" s="535"/>
      <c r="F56" s="522"/>
      <c r="H56" s="518"/>
      <c r="I56" s="537"/>
      <c r="J56" s="535"/>
      <c r="K56" s="535"/>
      <c r="L56" s="535"/>
      <c r="M56" s="522"/>
      <c r="O56" s="518"/>
      <c r="P56" s="537"/>
      <c r="Q56" s="535"/>
      <c r="R56" s="535"/>
      <c r="S56" s="535"/>
      <c r="T56" s="522"/>
      <c r="V56" s="314" t="s">
        <v>88</v>
      </c>
      <c r="W56" s="291">
        <f>COUNTIFS('1. ALL DATA'!$AA$5:$AA$116,"ENTERPRISE AND ENVIRONMENT",'1. ALL DATA'!$W$5:$W$116,"Completion Date Within Reasonable Tolerance")</f>
        <v>0</v>
      </c>
      <c r="X56" s="127">
        <f>W56/$W$65</f>
        <v>0</v>
      </c>
      <c r="Y56" s="540"/>
      <c r="Z56" s="76">
        <f>W56/$W$66</f>
        <v>0</v>
      </c>
      <c r="AA56" s="522"/>
    </row>
    <row r="57" spans="1:27" s="65" customFormat="1" ht="6" customHeight="1">
      <c r="A57" s="190"/>
      <c r="B57" s="190"/>
      <c r="C57" s="191"/>
      <c r="D57" s="191"/>
      <c r="E57" s="191"/>
      <c r="F57" s="192"/>
      <c r="H57" s="190"/>
      <c r="I57" s="190"/>
      <c r="J57" s="191"/>
      <c r="K57" s="191"/>
      <c r="L57" s="191"/>
      <c r="M57" s="192"/>
      <c r="O57" s="190"/>
      <c r="P57" s="190"/>
      <c r="Q57" s="191"/>
      <c r="R57" s="191"/>
      <c r="S57" s="191"/>
      <c r="T57" s="192"/>
      <c r="V57" s="193"/>
      <c r="W57" s="190"/>
      <c r="X57" s="191"/>
      <c r="Y57" s="191"/>
      <c r="Z57" s="191"/>
      <c r="AA57" s="192"/>
    </row>
    <row r="58" spans="1:27" ht="22.5" customHeight="1">
      <c r="A58" s="313" t="s">
        <v>44</v>
      </c>
      <c r="B58" s="73">
        <f>COUNTIFS('1. ALL DATA'!$AA$5:$AA$116,"ENTERPRISE AND ENVIRONMENT",'1. ALL DATA'!$I$5:$I$116,"Completed behind schedule")</f>
        <v>0</v>
      </c>
      <c r="C58" s="127">
        <f>B58/B65</f>
        <v>0</v>
      </c>
      <c r="D58" s="535">
        <f>C58+C59</f>
        <v>0</v>
      </c>
      <c r="E58" s="127">
        <f>B58/B66</f>
        <v>0</v>
      </c>
      <c r="F58" s="536">
        <f>E58+E59</f>
        <v>0</v>
      </c>
      <c r="H58" s="313" t="s">
        <v>44</v>
      </c>
      <c r="I58" s="73">
        <f>COUNTIFS('1. ALL DATA'!$AA$5:$AA$116,"ENTERPRISE AND ENVIRONMENT",'1. ALL DATA'!$N$5:$N$116,"Completed behind schedule")</f>
        <v>0</v>
      </c>
      <c r="J58" s="127">
        <f>I58/I65</f>
        <v>0</v>
      </c>
      <c r="K58" s="535">
        <f>J58+J59</f>
        <v>0</v>
      </c>
      <c r="L58" s="127">
        <f>I58/I66</f>
        <v>0</v>
      </c>
      <c r="M58" s="536">
        <f>L58+L59</f>
        <v>0</v>
      </c>
      <c r="O58" s="313" t="s">
        <v>44</v>
      </c>
      <c r="P58" s="73">
        <f>COUNTIFS('1. ALL DATA'!$AA$5:$AA$116,"ENTERPRISE AND ENVIRONMENT",'1. ALL DATA'!$S$5:$S$116,"Completed behind schedule")</f>
        <v>0</v>
      </c>
      <c r="Q58" s="127">
        <f>P58/P65</f>
        <v>0</v>
      </c>
      <c r="R58" s="535">
        <f>Q58+Q59</f>
        <v>0</v>
      </c>
      <c r="S58" s="127">
        <f>P58/P66</f>
        <v>0</v>
      </c>
      <c r="T58" s="536">
        <f>S58+S59</f>
        <v>0</v>
      </c>
      <c r="V58" s="313" t="s">
        <v>87</v>
      </c>
      <c r="W58" s="291">
        <f>COUNTIFS('1. ALL DATA'!$AA$5:$AA$116,"ENTERPRISE AND ENVIRONMENT",'1. ALL DATA'!$W$5:$W$116,"Completed Significantly After Target Deadline")</f>
        <v>0</v>
      </c>
      <c r="X58" s="127">
        <f>W58/$W$65</f>
        <v>0</v>
      </c>
      <c r="Y58" s="535">
        <f>X58+X59</f>
        <v>0</v>
      </c>
      <c r="Z58" s="127">
        <f>W58/$W$66</f>
        <v>0</v>
      </c>
      <c r="AA58" s="536">
        <f>Z58+Z59</f>
        <v>0</v>
      </c>
    </row>
    <row r="59" spans="1:27" ht="22.5" customHeight="1">
      <c r="A59" s="313" t="s">
        <v>28</v>
      </c>
      <c r="B59" s="73">
        <f>COUNTIFS('1. ALL DATA'!$AA$5:$AA$116,"ENTERPRISE AND ENVIRONMENT",'1. ALL DATA'!$I$5:$I$116,"Off target")</f>
        <v>0</v>
      </c>
      <c r="C59" s="127">
        <f>B59/B65</f>
        <v>0</v>
      </c>
      <c r="D59" s="535"/>
      <c r="E59" s="127">
        <f>B59/B66</f>
        <v>0</v>
      </c>
      <c r="F59" s="536"/>
      <c r="H59" s="313" t="s">
        <v>28</v>
      </c>
      <c r="I59" s="73">
        <f>COUNTIFS('1. ALL DATA'!$AA$5:$AA$116,"ENTERPRISE AND ENVIRONMENT",'1. ALL DATA'!$N$5:$N$116,"Off target")</f>
        <v>0</v>
      </c>
      <c r="J59" s="127">
        <f>I59/I65</f>
        <v>0</v>
      </c>
      <c r="K59" s="535"/>
      <c r="L59" s="127">
        <f>I59/I66</f>
        <v>0</v>
      </c>
      <c r="M59" s="536"/>
      <c r="O59" s="313" t="s">
        <v>28</v>
      </c>
      <c r="P59" s="73">
        <f>COUNTIFS('1. ALL DATA'!$AA$5:$AA$116,"ENTERPRISE AND ENVIRONMENT",'1. ALL DATA'!$S$5:$S$116,"Off target")</f>
        <v>0</v>
      </c>
      <c r="Q59" s="127">
        <f>P59/P65</f>
        <v>0</v>
      </c>
      <c r="R59" s="535"/>
      <c r="S59" s="127">
        <f>P59/P66</f>
        <v>0</v>
      </c>
      <c r="T59" s="536"/>
      <c r="V59" s="313" t="s">
        <v>28</v>
      </c>
      <c r="W59" s="291">
        <f>COUNTIFS('1. ALL DATA'!$AA$5:$AA$116,"ENTERPRISE AND ENVIRONMENT",'1. ALL DATA'!$W$5:$W$116,"Off Target")</f>
        <v>0</v>
      </c>
      <c r="X59" s="127">
        <f>W59/$W$65</f>
        <v>0</v>
      </c>
      <c r="Y59" s="535"/>
      <c r="Z59" s="127">
        <f>W59/$W$66</f>
        <v>0</v>
      </c>
      <c r="AA59" s="536"/>
    </row>
    <row r="60" spans="1:27" s="65" customFormat="1" ht="6.75" customHeight="1">
      <c r="A60" s="190"/>
      <c r="B60" s="195"/>
      <c r="C60" s="191"/>
      <c r="D60" s="191"/>
      <c r="E60" s="191"/>
      <c r="F60" s="196"/>
      <c r="H60" s="190"/>
      <c r="I60" s="195"/>
      <c r="J60" s="191"/>
      <c r="K60" s="191"/>
      <c r="L60" s="191"/>
      <c r="M60" s="196"/>
      <c r="O60" s="190"/>
      <c r="P60" s="195"/>
      <c r="Q60" s="191"/>
      <c r="R60" s="191"/>
      <c r="S60" s="191"/>
      <c r="T60" s="196"/>
      <c r="V60" s="383"/>
      <c r="W60" s="197"/>
      <c r="X60" s="198"/>
      <c r="Y60" s="198"/>
      <c r="Z60" s="199"/>
      <c r="AA60" s="267"/>
    </row>
    <row r="61" spans="1:27" ht="15.75" customHeight="1">
      <c r="A61" s="49" t="s">
        <v>2</v>
      </c>
      <c r="B61" s="64">
        <f>COUNTIFS('1. ALL DATA'!$AA$5:$AA$116,"ENTERPRISE AND ENVIRONMENT",'1. ALL DATA'!$I$5:$I$116,"Not yet due")</f>
        <v>5</v>
      </c>
      <c r="C61" s="79">
        <f>B61/B65</f>
        <v>0.23809523809523808</v>
      </c>
      <c r="D61" s="79">
        <f>C61</f>
        <v>0.23809523809523808</v>
      </c>
      <c r="E61" s="80"/>
      <c r="F61" s="48"/>
      <c r="H61" s="49" t="s">
        <v>2</v>
      </c>
      <c r="I61" s="64">
        <f>COUNTIFS('1. ALL DATA'!$AA$5:$AA$116,"ENTERPRISE AND ENVIRONMENT",'1. ALL DATA'!$N$5:$N$116,"Not yet due")</f>
        <v>1</v>
      </c>
      <c r="J61" s="79">
        <f>I61/I65</f>
        <v>4.7619047619047616E-2</v>
      </c>
      <c r="K61" s="79">
        <f>J61</f>
        <v>4.7619047619047616E-2</v>
      </c>
      <c r="L61" s="80"/>
      <c r="M61" s="48"/>
      <c r="O61" s="49" t="s">
        <v>2</v>
      </c>
      <c r="P61" s="64">
        <f>COUNTIFS('1. ALL DATA'!$AA$5:$AA$116,"ENTERPRISE AND ENVIRONMENT",'1. ALL DATA'!$S$5:$S$116,"Not yet due")</f>
        <v>0</v>
      </c>
      <c r="Q61" s="79">
        <f>P61/P65</f>
        <v>0</v>
      </c>
      <c r="R61" s="79">
        <f>Q61</f>
        <v>0</v>
      </c>
      <c r="S61" s="80"/>
      <c r="T61" s="100"/>
      <c r="V61" s="64" t="s">
        <v>2</v>
      </c>
      <c r="W61" s="49">
        <f>COUNTIFS('1. ALL DATA'!$AA$5:$AA$116,"ENTERPRISE AND ENVIRONMENT",'1. ALL DATA'!$W$5:$W$116,"not yet due")</f>
        <v>0</v>
      </c>
      <c r="X61" s="79">
        <f>W61/$W$65</f>
        <v>0</v>
      </c>
      <c r="Y61" s="79">
        <f>X61</f>
        <v>0</v>
      </c>
      <c r="Z61" s="80"/>
      <c r="AA61" s="269"/>
    </row>
    <row r="62" spans="1:27" ht="15.75" customHeight="1">
      <c r="A62" s="49" t="s">
        <v>48</v>
      </c>
      <c r="B62" s="64">
        <f>COUNTIFS('1. ALL DATA'!$AA$5:$AA$116,"ENTERPRISE AND ENVIRONMENT",'1. ALL DATA'!$I$5:$I$116,"Update not provided")</f>
        <v>0</v>
      </c>
      <c r="C62" s="79">
        <f>B62/B65</f>
        <v>0</v>
      </c>
      <c r="D62" s="79">
        <f>C62</f>
        <v>0</v>
      </c>
      <c r="E62" s="80"/>
      <c r="F62" s="105"/>
      <c r="H62" s="49" t="s">
        <v>48</v>
      </c>
      <c r="I62" s="64">
        <f>COUNTIFS('1. ALL DATA'!$AA$5:$AA$116,"ENTERPRISE AND ENVIRONMENT",'1. ALL DATA'!$N$5:$N$116,"Update not provided")</f>
        <v>0</v>
      </c>
      <c r="J62" s="79">
        <f>I62/I65</f>
        <v>0</v>
      </c>
      <c r="K62" s="79">
        <f>J62</f>
        <v>0</v>
      </c>
      <c r="L62" s="80"/>
      <c r="M62" s="105"/>
      <c r="O62" s="49" t="s">
        <v>48</v>
      </c>
      <c r="P62" s="64">
        <f>COUNTIFS('1. ALL DATA'!$AA$5:$AA$116,"ENTERPRISE AND ENVIRONMENT",'1. ALL DATA'!$S$5:$S$116,"Update not provided")</f>
        <v>0</v>
      </c>
      <c r="Q62" s="79">
        <f>P62/P65</f>
        <v>0</v>
      </c>
      <c r="R62" s="79">
        <f>Q62</f>
        <v>0</v>
      </c>
      <c r="S62" s="80"/>
      <c r="T62" s="101"/>
      <c r="V62" s="66" t="s">
        <v>48</v>
      </c>
      <c r="W62" s="49">
        <f>COUNTIFS('1. ALL DATA'!$AA$5:$AA$116,"ENTERPRISE AND ENVIRONMENT",'1. ALL DATA'!$W$5:$W$116,"Update not provided")</f>
        <v>0</v>
      </c>
      <c r="X62" s="79">
        <f>W62/$W$65</f>
        <v>0</v>
      </c>
      <c r="Y62" s="79">
        <f>X62</f>
        <v>0</v>
      </c>
      <c r="Z62" s="80"/>
    </row>
    <row r="63" spans="1:27" ht="15.75" customHeight="1">
      <c r="A63" s="50" t="s">
        <v>23</v>
      </c>
      <c r="B63" s="64">
        <f>COUNTIFS('1. ALL DATA'!$AA$5:$AA$116,"ENTERPRISE AND ENVIRONMENT",'1. ALL DATA'!$I$5:$I$116,"Deferred")</f>
        <v>0</v>
      </c>
      <c r="C63" s="82">
        <f>B63/B65</f>
        <v>0</v>
      </c>
      <c r="D63" s="82">
        <f>C63</f>
        <v>0</v>
      </c>
      <c r="E63" s="81"/>
      <c r="F63" s="48"/>
      <c r="H63" s="50" t="s">
        <v>23</v>
      </c>
      <c r="I63" s="64">
        <f>COUNTIFS('1. ALL DATA'!$AA$5:$AA$116,"ENTERPRISE AND ENVIRONMENT",'1. ALL DATA'!$N$5:$N$116,"Deferred")</f>
        <v>0</v>
      </c>
      <c r="J63" s="82">
        <f>I63/I65</f>
        <v>0</v>
      </c>
      <c r="K63" s="82">
        <f>J63</f>
        <v>0</v>
      </c>
      <c r="L63" s="81"/>
      <c r="M63" s="48"/>
      <c r="O63" s="50" t="s">
        <v>23</v>
      </c>
      <c r="P63" s="64">
        <f>COUNTIFS('1. ALL DATA'!$AA$5:$AA$116,"ENTERPRISE AND ENVIRONMENT",'1. ALL DATA'!$S$5:$S$116,"Deferred")</f>
        <v>0</v>
      </c>
      <c r="Q63" s="82">
        <f>P63/P65</f>
        <v>0</v>
      </c>
      <c r="R63" s="82">
        <f>Q63</f>
        <v>0</v>
      </c>
      <c r="S63" s="81"/>
      <c r="T63" s="100"/>
      <c r="V63" s="50" t="s">
        <v>23</v>
      </c>
      <c r="W63" s="49">
        <f>COUNTIFS('1. ALL DATA'!$AA$5:$AA$116,"ENTERPRISE AND ENVIRONMENT",'1. ALL DATA'!$W$5:$W$116,"Deferred")</f>
        <v>0</v>
      </c>
      <c r="X63" s="82">
        <f>W63/$W$65</f>
        <v>0</v>
      </c>
      <c r="Y63" s="82">
        <f>X63</f>
        <v>0</v>
      </c>
      <c r="Z63" s="81"/>
      <c r="AA63" s="269"/>
    </row>
    <row r="64" spans="1:27" ht="15.75" customHeight="1">
      <c r="A64" s="50" t="s">
        <v>29</v>
      </c>
      <c r="B64" s="64">
        <f>COUNTIFS('1. ALL DATA'!$AA$5:$AA$116,"ENTERPRISE AND ENVIRONMENT",'1. ALL DATA'!$I$5:$I$116,"Deleted")</f>
        <v>0</v>
      </c>
      <c r="C64" s="82">
        <f>B64/B65</f>
        <v>0</v>
      </c>
      <c r="D64" s="82">
        <f>C64</f>
        <v>0</v>
      </c>
      <c r="E64" s="81"/>
      <c r="F64" s="98" t="s">
        <v>64</v>
      </c>
      <c r="H64" s="50" t="s">
        <v>29</v>
      </c>
      <c r="I64" s="64">
        <f>COUNTIFS('1. ALL DATA'!$AA$5:$AA$116,"ENTERPRISE AND ENVIRONMENT",'1. ALL DATA'!$N$5:$N$116,"Deleted")</f>
        <v>0</v>
      </c>
      <c r="J64" s="82">
        <f>I64/I65</f>
        <v>0</v>
      </c>
      <c r="K64" s="82">
        <f>J64</f>
        <v>0</v>
      </c>
      <c r="L64" s="81"/>
      <c r="M64" s="98" t="s">
        <v>64</v>
      </c>
      <c r="O64" s="50" t="s">
        <v>29</v>
      </c>
      <c r="P64" s="64">
        <f>COUNTIFS('1. ALL DATA'!$AA$5:$AA$116,"ENTERPRISE AND ENVIRONMENT",'1. ALL DATA'!$S$5:$S$116,"Deleted")</f>
        <v>0</v>
      </c>
      <c r="Q64" s="82">
        <f>P64/P65</f>
        <v>0</v>
      </c>
      <c r="R64" s="82">
        <f>Q64</f>
        <v>0</v>
      </c>
      <c r="S64" s="81"/>
      <c r="T64" s="98" t="s">
        <v>64</v>
      </c>
      <c r="V64" s="50" t="s">
        <v>29</v>
      </c>
      <c r="W64" s="49">
        <f>COUNTIFS('1. ALL DATA'!$AA$5:$AA$116,"ENTERPRISE AND ENVIRONMENT",'1. ALL DATA'!$W$5:$W$116,"Deleted")</f>
        <v>0</v>
      </c>
      <c r="X64" s="82">
        <f>W64/$W$65</f>
        <v>0</v>
      </c>
      <c r="Y64" s="82">
        <f>X64</f>
        <v>0</v>
      </c>
      <c r="Z64" s="81"/>
      <c r="AA64" s="98" t="s">
        <v>64</v>
      </c>
    </row>
    <row r="65" spans="1:27" ht="15.75" customHeight="1">
      <c r="A65" s="51" t="s">
        <v>31</v>
      </c>
      <c r="B65" s="83">
        <f>SUM(B51:B64)</f>
        <v>21</v>
      </c>
      <c r="C65" s="81"/>
      <c r="D65" s="81"/>
      <c r="E65" s="53"/>
      <c r="F65" s="106"/>
      <c r="H65" s="51" t="s">
        <v>31</v>
      </c>
      <c r="I65" s="83">
        <f>SUM(I51:I64)</f>
        <v>21</v>
      </c>
      <c r="J65" s="81"/>
      <c r="K65" s="81"/>
      <c r="L65" s="53"/>
      <c r="M65" s="48"/>
      <c r="O65" s="51" t="s">
        <v>31</v>
      </c>
      <c r="P65" s="83">
        <f>SUM(P51:P64)</f>
        <v>21</v>
      </c>
      <c r="Q65" s="81"/>
      <c r="R65" s="81"/>
      <c r="S65" s="53"/>
      <c r="T65" s="100"/>
      <c r="V65" s="51" t="s">
        <v>31</v>
      </c>
      <c r="W65" s="88">
        <f>SUM(W51:W64)</f>
        <v>21</v>
      </c>
      <c r="X65" s="81"/>
      <c r="Y65" s="81"/>
      <c r="Z65" s="53"/>
      <c r="AA65" s="269"/>
    </row>
    <row r="66" spans="1:27" ht="15.75" customHeight="1">
      <c r="A66" s="51" t="s">
        <v>32</v>
      </c>
      <c r="B66" s="83">
        <f>B65-B64-B63-B62-B61</f>
        <v>16</v>
      </c>
      <c r="C66" s="53"/>
      <c r="D66" s="53"/>
      <c r="E66" s="53"/>
      <c r="F66" s="48"/>
      <c r="H66" s="51" t="s">
        <v>32</v>
      </c>
      <c r="I66" s="83">
        <f>I65-I64-I63-I62-I61</f>
        <v>20</v>
      </c>
      <c r="J66" s="53"/>
      <c r="K66" s="53"/>
      <c r="L66" s="53"/>
      <c r="M66" s="48"/>
      <c r="O66" s="51" t="s">
        <v>32</v>
      </c>
      <c r="P66" s="83">
        <f>P65-P64-P63-P62-P61</f>
        <v>21</v>
      </c>
      <c r="Q66" s="53"/>
      <c r="R66" s="53"/>
      <c r="S66" s="53"/>
      <c r="T66" s="100"/>
      <c r="V66" s="51" t="s">
        <v>32</v>
      </c>
      <c r="W66" s="88">
        <f>W65-W64-W63-W62-W61</f>
        <v>21</v>
      </c>
      <c r="X66" s="53"/>
      <c r="Y66" s="53"/>
      <c r="Z66" s="53"/>
      <c r="AA66" s="269"/>
    </row>
    <row r="67" spans="1:27" ht="15.75" customHeight="1">
      <c r="W67" s="89"/>
    </row>
    <row r="68" spans="1:27" ht="15.75" customHeight="1">
      <c r="W68" s="89"/>
    </row>
    <row r="69" spans="1:27" ht="15.75" customHeight="1">
      <c r="W69" s="89"/>
    </row>
    <row r="70" spans="1:27" s="65" customFormat="1" ht="15.75">
      <c r="A70" s="382" t="s">
        <v>464</v>
      </c>
      <c r="B70" s="374"/>
      <c r="C70" s="374"/>
      <c r="D70" s="374"/>
      <c r="E70" s="374"/>
      <c r="F70" s="375"/>
      <c r="H70" s="382" t="s">
        <v>464</v>
      </c>
      <c r="I70" s="374"/>
      <c r="J70" s="374"/>
      <c r="K70" s="374"/>
      <c r="L70" s="374"/>
      <c r="M70" s="375"/>
      <c r="O70" s="382" t="s">
        <v>464</v>
      </c>
      <c r="P70" s="374"/>
      <c r="Q70" s="374"/>
      <c r="R70" s="374"/>
      <c r="S70" s="374"/>
      <c r="T70" s="375"/>
      <c r="V70" s="382" t="s">
        <v>464</v>
      </c>
      <c r="W70" s="374"/>
      <c r="X70" s="374"/>
      <c r="Y70" s="374"/>
      <c r="Z70" s="374"/>
      <c r="AA70" s="375"/>
    </row>
    <row r="71" spans="1:27" ht="41.25" customHeight="1">
      <c r="A71" s="376" t="s">
        <v>24</v>
      </c>
      <c r="B71" s="376" t="s">
        <v>25</v>
      </c>
      <c r="C71" s="376" t="s">
        <v>19</v>
      </c>
      <c r="D71" s="376" t="s">
        <v>50</v>
      </c>
      <c r="E71" s="376" t="s">
        <v>30</v>
      </c>
      <c r="F71" s="377" t="s">
        <v>51</v>
      </c>
      <c r="H71" s="376" t="s">
        <v>24</v>
      </c>
      <c r="I71" s="376" t="s">
        <v>25</v>
      </c>
      <c r="J71" s="376" t="s">
        <v>19</v>
      </c>
      <c r="K71" s="376" t="s">
        <v>50</v>
      </c>
      <c r="L71" s="376" t="s">
        <v>30</v>
      </c>
      <c r="M71" s="377" t="s">
        <v>51</v>
      </c>
      <c r="O71" s="376" t="s">
        <v>24</v>
      </c>
      <c r="P71" s="376" t="s">
        <v>25</v>
      </c>
      <c r="Q71" s="376" t="s">
        <v>19</v>
      </c>
      <c r="R71" s="376" t="s">
        <v>50</v>
      </c>
      <c r="S71" s="376" t="s">
        <v>30</v>
      </c>
      <c r="T71" s="378" t="s">
        <v>51</v>
      </c>
      <c r="V71" s="376" t="s">
        <v>24</v>
      </c>
      <c r="W71" s="376" t="s">
        <v>25</v>
      </c>
      <c r="X71" s="376" t="s">
        <v>19</v>
      </c>
      <c r="Y71" s="376" t="s">
        <v>50</v>
      </c>
      <c r="Z71" s="376" t="s">
        <v>30</v>
      </c>
      <c r="AA71" s="379" t="s">
        <v>51</v>
      </c>
    </row>
    <row r="72" spans="1:27" ht="6.75" customHeight="1">
      <c r="A72" s="54"/>
      <c r="B72" s="54"/>
      <c r="C72" s="54"/>
      <c r="D72" s="54"/>
      <c r="E72" s="54"/>
      <c r="F72" s="57"/>
      <c r="H72" s="54"/>
      <c r="I72" s="54"/>
      <c r="J72" s="54"/>
      <c r="K72" s="54"/>
      <c r="L72" s="54"/>
      <c r="M72" s="57"/>
      <c r="O72" s="54"/>
      <c r="P72" s="54"/>
      <c r="Q72" s="54"/>
      <c r="R72" s="54"/>
      <c r="S72" s="54"/>
      <c r="T72" s="95"/>
      <c r="V72" s="54"/>
      <c r="W72" s="54"/>
      <c r="X72" s="54"/>
      <c r="Y72" s="54"/>
      <c r="Z72" s="54"/>
      <c r="AA72" s="271"/>
    </row>
    <row r="73" spans="1:27" ht="27.75" customHeight="1">
      <c r="A73" s="312" t="s">
        <v>47</v>
      </c>
      <c r="B73" s="73">
        <f>COUNTIFS('1. ALL DATA'!$AA$5:$AA$116,"programmes and transformation",'1. ALL DATA'!$I$5:$I$116,"Fully Achieved")</f>
        <v>3</v>
      </c>
      <c r="C73" s="127">
        <f>B73/B87</f>
        <v>0.375</v>
      </c>
      <c r="D73" s="535">
        <f>C73+C74</f>
        <v>0.375</v>
      </c>
      <c r="E73" s="127">
        <f>B73/B88</f>
        <v>1</v>
      </c>
      <c r="F73" s="517">
        <f>E73+E74</f>
        <v>1</v>
      </c>
      <c r="H73" s="312" t="s">
        <v>47</v>
      </c>
      <c r="I73" s="73">
        <f>COUNTIFS('1. ALL DATA'!$AA$5:$AA$116,"programmes and transformation",'1. ALL DATA'!$N$5:$N$116,"Fully Achieved")</f>
        <v>3</v>
      </c>
      <c r="J73" s="127">
        <f>I73/I87</f>
        <v>0.375</v>
      </c>
      <c r="K73" s="535">
        <f>J73+J74</f>
        <v>0.625</v>
      </c>
      <c r="L73" s="127">
        <f>I73/I88</f>
        <v>0.6</v>
      </c>
      <c r="M73" s="517">
        <f>L73+L74</f>
        <v>1</v>
      </c>
      <c r="O73" s="312" t="s">
        <v>47</v>
      </c>
      <c r="P73" s="73">
        <f>COUNTIFS('1. ALL DATA'!$AA$5:$AA$116,"programmes and transformation",'1. ALL DATA'!$S$5:$S$116,"Fully Achieved")</f>
        <v>6</v>
      </c>
      <c r="Q73" s="127">
        <f>P73/P87</f>
        <v>0.75</v>
      </c>
      <c r="R73" s="535">
        <f>Q73+Q74</f>
        <v>0.75</v>
      </c>
      <c r="S73" s="127">
        <f>P73/P88</f>
        <v>0.8571428571428571</v>
      </c>
      <c r="T73" s="517">
        <f>S73+S74</f>
        <v>0.8571428571428571</v>
      </c>
      <c r="V73" s="312" t="s">
        <v>42</v>
      </c>
      <c r="W73" s="155">
        <f>COUNTIFS('1. ALL DATA'!$AA$5:$AA$116,"programmes and transformation",'1. ALL DATA'!$W$5:$W$116,"Fully Achieved")</f>
        <v>7</v>
      </c>
      <c r="X73" s="127">
        <f>W73/$W$87</f>
        <v>0.875</v>
      </c>
      <c r="Y73" s="535">
        <f>X73+X74</f>
        <v>0.875</v>
      </c>
      <c r="Z73" s="127">
        <f>W73/$W$88</f>
        <v>0.875</v>
      </c>
      <c r="AA73" s="517">
        <f>Z73+Z74</f>
        <v>0.875</v>
      </c>
    </row>
    <row r="74" spans="1:27" ht="27.75" customHeight="1">
      <c r="A74" s="312" t="s">
        <v>43</v>
      </c>
      <c r="B74" s="73">
        <f>COUNTIFS('1. ALL DATA'!$AA$5:$AA$116,"programmes and transformation",'1. ALL DATA'!$I$5:$I$116,"On track to be achieved")</f>
        <v>0</v>
      </c>
      <c r="C74" s="127">
        <f>B74/B87</f>
        <v>0</v>
      </c>
      <c r="D74" s="535"/>
      <c r="E74" s="127">
        <f>B74/B88</f>
        <v>0</v>
      </c>
      <c r="F74" s="517"/>
      <c r="H74" s="312" t="s">
        <v>43</v>
      </c>
      <c r="I74" s="73">
        <f>COUNTIFS('1. ALL DATA'!$AA$5:$AA$116,"programmes and transformation",'1. ALL DATA'!$N$5:$N$116,"On track to be achieved")</f>
        <v>2</v>
      </c>
      <c r="J74" s="127">
        <f>I74/I87</f>
        <v>0.25</v>
      </c>
      <c r="K74" s="535"/>
      <c r="L74" s="127">
        <f>I74/I88</f>
        <v>0.4</v>
      </c>
      <c r="M74" s="517"/>
      <c r="O74" s="312" t="s">
        <v>43</v>
      </c>
      <c r="P74" s="73">
        <f>COUNTIFS('1. ALL DATA'!$AA$5:$AA$116,"programmes and transformation",'1. ALL DATA'!$S$5:$S$116,"On track to be achieved")</f>
        <v>0</v>
      </c>
      <c r="Q74" s="127">
        <f>P74/P87</f>
        <v>0</v>
      </c>
      <c r="R74" s="535"/>
      <c r="S74" s="127">
        <f>P74/P88</f>
        <v>0</v>
      </c>
      <c r="T74" s="517"/>
      <c r="V74" s="312" t="s">
        <v>84</v>
      </c>
      <c r="W74" s="155">
        <f>COUNTIFS('1. ALL DATA'!$AA$5:$AA$116,"programmes and transformation",'1. ALL DATA'!$W$5:$W$116,"Numerical Outturn Within 5% Tolerance")</f>
        <v>0</v>
      </c>
      <c r="X74" s="127">
        <f>W74/$W$87</f>
        <v>0</v>
      </c>
      <c r="Y74" s="535"/>
      <c r="Z74" s="127">
        <f>W74/$W$88</f>
        <v>0</v>
      </c>
      <c r="AA74" s="517"/>
    </row>
    <row r="75" spans="1:27" ht="7.5" customHeight="1">
      <c r="A75" s="190"/>
      <c r="B75" s="74"/>
      <c r="C75" s="75"/>
      <c r="D75" s="75"/>
      <c r="E75" s="75"/>
      <c r="F75" s="192"/>
      <c r="H75" s="190"/>
      <c r="I75" s="74"/>
      <c r="J75" s="75"/>
      <c r="K75" s="75"/>
      <c r="L75" s="75"/>
      <c r="M75" s="192"/>
      <c r="O75" s="190"/>
      <c r="P75" s="74"/>
      <c r="Q75" s="75"/>
      <c r="R75" s="75"/>
      <c r="S75" s="75"/>
      <c r="T75" s="192"/>
      <c r="V75" s="193"/>
      <c r="W75" s="54"/>
      <c r="X75" s="75"/>
      <c r="Y75" s="75"/>
      <c r="Z75" s="75"/>
      <c r="AA75" s="192"/>
    </row>
    <row r="76" spans="1:27" ht="21" customHeight="1">
      <c r="A76" s="518" t="s">
        <v>27</v>
      </c>
      <c r="B76" s="537">
        <f>COUNTIFS('1. ALL DATA'!$AA$5:$AA$116,"programmes and transformation",'1. ALL DATA'!$I$5:$I$116,"In danger of falling behind target")</f>
        <v>0</v>
      </c>
      <c r="C76" s="535">
        <f>B76/B87</f>
        <v>0</v>
      </c>
      <c r="D76" s="535">
        <f>C76</f>
        <v>0</v>
      </c>
      <c r="E76" s="535">
        <f>B76/B88</f>
        <v>0</v>
      </c>
      <c r="F76" s="522">
        <f>E76</f>
        <v>0</v>
      </c>
      <c r="H76" s="518" t="s">
        <v>27</v>
      </c>
      <c r="I76" s="537">
        <f>COUNTIFS('1. ALL DATA'!$AA$5:$AA$116,"programmes and transformation",'1. ALL DATA'!$N$5:$N$116,"In danger of falling behind target")</f>
        <v>0</v>
      </c>
      <c r="J76" s="535">
        <f>I76/I87</f>
        <v>0</v>
      </c>
      <c r="K76" s="535">
        <f>J76</f>
        <v>0</v>
      </c>
      <c r="L76" s="535">
        <f>I76/I88</f>
        <v>0</v>
      </c>
      <c r="M76" s="522">
        <f>L76</f>
        <v>0</v>
      </c>
      <c r="O76" s="518" t="s">
        <v>27</v>
      </c>
      <c r="P76" s="537">
        <f>COUNTIFS('1. ALL DATA'!$AA$5:$AA$116,"programmes and transformation",'1. ALL DATA'!$S$5:$S$116,"In danger of falling behind target")</f>
        <v>1</v>
      </c>
      <c r="Q76" s="535">
        <f>P76/P87</f>
        <v>0.125</v>
      </c>
      <c r="R76" s="535">
        <f>Q76</f>
        <v>0.125</v>
      </c>
      <c r="S76" s="535">
        <f>P76/P88</f>
        <v>0.14285714285714285</v>
      </c>
      <c r="T76" s="522">
        <f>S76</f>
        <v>0.14285714285714285</v>
      </c>
      <c r="V76" s="314" t="s">
        <v>85</v>
      </c>
      <c r="W76" s="291">
        <f>COUNTIFS('1. ALL DATA'!$AA$5:$AA$116,"programmes and transformation",'1. ALL DATA'!$W$5:$W$116,"Numerical Outturn Within 10% Tolerance")</f>
        <v>0</v>
      </c>
      <c r="X76" s="127">
        <f>W76/$W$87</f>
        <v>0</v>
      </c>
      <c r="Y76" s="538">
        <f>SUM(X76:X79)</f>
        <v>0.125</v>
      </c>
      <c r="Z76" s="76">
        <f>W76/$W$88</f>
        <v>0</v>
      </c>
      <c r="AA76" s="522">
        <f>SUM(Z76:Z79)</f>
        <v>0.125</v>
      </c>
    </row>
    <row r="77" spans="1:27" ht="18.75" customHeight="1">
      <c r="A77" s="518"/>
      <c r="B77" s="537"/>
      <c r="C77" s="535"/>
      <c r="D77" s="535"/>
      <c r="E77" s="535"/>
      <c r="F77" s="522"/>
      <c r="H77" s="518"/>
      <c r="I77" s="537"/>
      <c r="J77" s="535"/>
      <c r="K77" s="535"/>
      <c r="L77" s="535"/>
      <c r="M77" s="522"/>
      <c r="O77" s="518"/>
      <c r="P77" s="537"/>
      <c r="Q77" s="535"/>
      <c r="R77" s="535"/>
      <c r="S77" s="535"/>
      <c r="T77" s="522"/>
      <c r="V77" s="314" t="s">
        <v>86</v>
      </c>
      <c r="W77" s="291">
        <f>COUNTIFS('1. ALL DATA'!$AA$5:$AA$116,"programmes and transformation",'1. ALL DATA'!$W$5:$W$116,"Target Partially Met")</f>
        <v>1</v>
      </c>
      <c r="X77" s="127">
        <f>W77/$W$87</f>
        <v>0.125</v>
      </c>
      <c r="Y77" s="539"/>
      <c r="Z77" s="76">
        <f>W77/$W$88</f>
        <v>0.125</v>
      </c>
      <c r="AA77" s="522"/>
    </row>
    <row r="78" spans="1:27" ht="20.25" customHeight="1">
      <c r="A78" s="518"/>
      <c r="B78" s="537"/>
      <c r="C78" s="535"/>
      <c r="D78" s="535"/>
      <c r="E78" s="535"/>
      <c r="F78" s="522"/>
      <c r="H78" s="518"/>
      <c r="I78" s="537"/>
      <c r="J78" s="535"/>
      <c r="K78" s="535"/>
      <c r="L78" s="535"/>
      <c r="M78" s="522"/>
      <c r="O78" s="518"/>
      <c r="P78" s="537"/>
      <c r="Q78" s="535"/>
      <c r="R78" s="535"/>
      <c r="S78" s="535"/>
      <c r="T78" s="522"/>
      <c r="V78" s="314" t="s">
        <v>88</v>
      </c>
      <c r="W78" s="291">
        <f>COUNTIFS('1. ALL DATA'!$AA$5:$AA$116,"programmes and transformation",'1. ALL DATA'!$W$5:$W$116,"Completion Date Within Reasonable Tolerance")</f>
        <v>0</v>
      </c>
      <c r="X78" s="127">
        <f>W78/$W$87</f>
        <v>0</v>
      </c>
      <c r="Y78" s="540"/>
      <c r="Z78" s="76">
        <f>W78/$W$88</f>
        <v>0</v>
      </c>
      <c r="AA78" s="522"/>
    </row>
    <row r="79" spans="1:27" ht="6" customHeight="1">
      <c r="A79" s="190"/>
      <c r="B79" s="54"/>
      <c r="C79" s="75"/>
      <c r="D79" s="75"/>
      <c r="E79" s="75"/>
      <c r="F79" s="192"/>
      <c r="H79" s="190"/>
      <c r="I79" s="54"/>
      <c r="J79" s="75"/>
      <c r="K79" s="75"/>
      <c r="L79" s="75"/>
      <c r="M79" s="192"/>
      <c r="O79" s="190"/>
      <c r="P79" s="54"/>
      <c r="Q79" s="75"/>
      <c r="R79" s="75"/>
      <c r="S79" s="75"/>
      <c r="T79" s="192"/>
      <c r="V79" s="193"/>
      <c r="W79" s="54"/>
      <c r="X79" s="75"/>
      <c r="Y79" s="75"/>
      <c r="Z79" s="75"/>
      <c r="AA79" s="192"/>
    </row>
    <row r="80" spans="1:27" ht="30" customHeight="1">
      <c r="A80" s="313" t="s">
        <v>44</v>
      </c>
      <c r="B80" s="73">
        <f>COUNTIFS('1. ALL DATA'!$AA$5:$AA$116,"programmes and transformation",'1. ALL DATA'!$I$5:$I$116,"Completed behind schedule")</f>
        <v>0</v>
      </c>
      <c r="C80" s="127">
        <f>B80/B87</f>
        <v>0</v>
      </c>
      <c r="D80" s="535">
        <f>C80+C81</f>
        <v>0</v>
      </c>
      <c r="E80" s="127">
        <f>B80/B88</f>
        <v>0</v>
      </c>
      <c r="F80" s="536">
        <f>E80+E81</f>
        <v>0</v>
      </c>
      <c r="H80" s="313" t="s">
        <v>44</v>
      </c>
      <c r="I80" s="73">
        <f>COUNTIFS('1. ALL DATA'!$AA$5:$AA$116,"programmes and transformation",'1. ALL DATA'!$N$5:$N$116,"Completed behind schedule")</f>
        <v>0</v>
      </c>
      <c r="J80" s="127">
        <f>I80/I87</f>
        <v>0</v>
      </c>
      <c r="K80" s="535">
        <f>J80+J81</f>
        <v>0</v>
      </c>
      <c r="L80" s="127">
        <f>I80/I88</f>
        <v>0</v>
      </c>
      <c r="M80" s="536">
        <f>L80+L81</f>
        <v>0</v>
      </c>
      <c r="O80" s="313" t="s">
        <v>44</v>
      </c>
      <c r="P80" s="73">
        <f>COUNTIFS('1. ALL DATA'!$AA$5:$AA$116,"programmes and transformation",'1. ALL DATA'!$S$5:$S$116,"Completed behind schedule")</f>
        <v>0</v>
      </c>
      <c r="Q80" s="127">
        <f>P80/P87</f>
        <v>0</v>
      </c>
      <c r="R80" s="535">
        <f>Q80+Q81</f>
        <v>0</v>
      </c>
      <c r="S80" s="127">
        <f>P80/P88</f>
        <v>0</v>
      </c>
      <c r="T80" s="536">
        <f>S80+S81</f>
        <v>0</v>
      </c>
      <c r="V80" s="313" t="s">
        <v>87</v>
      </c>
      <c r="W80" s="291">
        <f>COUNTIFS('1. ALL DATA'!$AA$5:$AA$116,"programmes and transformation",'1. ALL DATA'!$W$5:$W$116,"Completed Significantly After Target Deadline")</f>
        <v>0</v>
      </c>
      <c r="X80" s="127">
        <f>W80/$W$87</f>
        <v>0</v>
      </c>
      <c r="Y80" s="535">
        <f>X80+X81</f>
        <v>0</v>
      </c>
      <c r="Z80" s="127">
        <f>W80/$W$88</f>
        <v>0</v>
      </c>
      <c r="AA80" s="536">
        <f>Z80+Z81</f>
        <v>0</v>
      </c>
    </row>
    <row r="81" spans="1:27" ht="30" customHeight="1">
      <c r="A81" s="313" t="s">
        <v>28</v>
      </c>
      <c r="B81" s="73">
        <f>COUNTIFS('1. ALL DATA'!$AA$5:$AA$116,"programmes and transformation",'1. ALL DATA'!$I$5:$I$116,"Off target")</f>
        <v>0</v>
      </c>
      <c r="C81" s="127">
        <f>B81/B87</f>
        <v>0</v>
      </c>
      <c r="D81" s="535"/>
      <c r="E81" s="127">
        <f>B81/B88</f>
        <v>0</v>
      </c>
      <c r="F81" s="536"/>
      <c r="H81" s="313" t="s">
        <v>28</v>
      </c>
      <c r="I81" s="73">
        <f>COUNTIFS('1. ALL DATA'!$AA$5:$AA$116,"programmes and transformation",'1. ALL DATA'!$N$5:$N$116,"Off target")</f>
        <v>0</v>
      </c>
      <c r="J81" s="127">
        <f>I81/I87</f>
        <v>0</v>
      </c>
      <c r="K81" s="535"/>
      <c r="L81" s="127">
        <f>I81/I88</f>
        <v>0</v>
      </c>
      <c r="M81" s="536"/>
      <c r="O81" s="313" t="s">
        <v>28</v>
      </c>
      <c r="P81" s="73">
        <f>COUNTIFS('1. ALL DATA'!$AA$5:$AA$116,"programmes and transformation",'1. ALL DATA'!$S$5:$S$116,"Off target")</f>
        <v>0</v>
      </c>
      <c r="Q81" s="127">
        <f>P81/P87</f>
        <v>0</v>
      </c>
      <c r="R81" s="535"/>
      <c r="S81" s="127">
        <f>P81/P88</f>
        <v>0</v>
      </c>
      <c r="T81" s="536"/>
      <c r="V81" s="313" t="s">
        <v>28</v>
      </c>
      <c r="W81" s="291">
        <f>COUNTIFS('1. ALL DATA'!$AA$5:$AA$116,"programmes and transformation",'1. ALL DATA'!$W$5:$W$116,"Off Target")</f>
        <v>0</v>
      </c>
      <c r="X81" s="127">
        <f>W81/$W$87</f>
        <v>0</v>
      </c>
      <c r="Y81" s="535"/>
      <c r="Z81" s="127">
        <f>W81/$W$88</f>
        <v>0</v>
      </c>
      <c r="AA81" s="536"/>
    </row>
    <row r="82" spans="1:27" ht="5.25" customHeight="1">
      <c r="A82" s="54"/>
      <c r="B82" s="74"/>
      <c r="C82" s="75"/>
      <c r="D82" s="75"/>
      <c r="E82" s="75"/>
      <c r="F82" s="99"/>
      <c r="H82" s="54"/>
      <c r="I82" s="74"/>
      <c r="J82" s="75"/>
      <c r="K82" s="75"/>
      <c r="L82" s="75"/>
      <c r="M82" s="99"/>
      <c r="O82" s="54"/>
      <c r="P82" s="74"/>
      <c r="Q82" s="75"/>
      <c r="R82" s="75"/>
      <c r="S82" s="75"/>
      <c r="T82" s="99"/>
      <c r="V82" s="315"/>
      <c r="W82" s="58"/>
      <c r="X82" s="77"/>
      <c r="Y82" s="77"/>
      <c r="Z82" s="78"/>
      <c r="AA82" s="272"/>
    </row>
    <row r="83" spans="1:27" ht="15.75" customHeight="1">
      <c r="A83" s="49" t="s">
        <v>2</v>
      </c>
      <c r="B83" s="64">
        <f>COUNTIFS('1. ALL DATA'!$AA$5:$AA$116,"programmes and transformation",'1. ALL DATA'!$I$5:$I$116,"Not yet due")</f>
        <v>5</v>
      </c>
      <c r="C83" s="79">
        <f>B83/B87</f>
        <v>0.625</v>
      </c>
      <c r="D83" s="79">
        <f>C83</f>
        <v>0.625</v>
      </c>
      <c r="E83" s="80"/>
      <c r="F83" s="48"/>
      <c r="H83" s="49" t="s">
        <v>2</v>
      </c>
      <c r="I83" s="64">
        <f>COUNTIFS('1. ALL DATA'!$AA$5:$AA$116,"programmes and transformation",'1. ALL DATA'!$N$5:$N$116,"Not yet due")</f>
        <v>3</v>
      </c>
      <c r="J83" s="79">
        <f>I83/I87</f>
        <v>0.375</v>
      </c>
      <c r="K83" s="79">
        <f>J83</f>
        <v>0.375</v>
      </c>
      <c r="L83" s="80"/>
      <c r="M83" s="48"/>
      <c r="O83" s="49" t="s">
        <v>2</v>
      </c>
      <c r="P83" s="64">
        <f>COUNTIFS('1. ALL DATA'!$AA$5:$AA$116,"programmes and transformation",'1. ALL DATA'!$S$5:$S$116,"Not yet due")</f>
        <v>1</v>
      </c>
      <c r="Q83" s="79">
        <f>P83/P87</f>
        <v>0.125</v>
      </c>
      <c r="R83" s="79">
        <f>Q83</f>
        <v>0.125</v>
      </c>
      <c r="S83" s="80"/>
      <c r="T83" s="100"/>
      <c r="V83" s="64" t="s">
        <v>2</v>
      </c>
      <c r="W83" s="49">
        <f>COUNTIFS('1. ALL DATA'!$AA$5:$AA$116,"programmes and transformation",'1. ALL DATA'!$W$5:$W$116,"not yet due")</f>
        <v>0</v>
      </c>
      <c r="X83" s="79">
        <f>W83/$W$87</f>
        <v>0</v>
      </c>
      <c r="Y83" s="79">
        <f>X83</f>
        <v>0</v>
      </c>
      <c r="Z83" s="80"/>
      <c r="AA83" s="269"/>
    </row>
    <row r="84" spans="1:27" ht="15.75" customHeight="1">
      <c r="A84" s="49" t="s">
        <v>48</v>
      </c>
      <c r="B84" s="64">
        <f>COUNTIFS('1. ALL DATA'!$AA$5:$AA$116,"programmes and transformation",'1. ALL DATA'!$I$5:$I$116,"Update not provided")</f>
        <v>0</v>
      </c>
      <c r="C84" s="79">
        <f>B84/B87</f>
        <v>0</v>
      </c>
      <c r="D84" s="79">
        <f>C84</f>
        <v>0</v>
      </c>
      <c r="E84" s="80"/>
      <c r="F84" s="105"/>
      <c r="H84" s="49" t="s">
        <v>48</v>
      </c>
      <c r="I84" s="64">
        <f>COUNTIFS('1. ALL DATA'!$AA$5:$AA$116,"programmes and transformation",'1. ALL DATA'!$N$5:$N$116,"Update not provided")</f>
        <v>0</v>
      </c>
      <c r="J84" s="79">
        <f>I84/I87</f>
        <v>0</v>
      </c>
      <c r="K84" s="79">
        <f>J84</f>
        <v>0</v>
      </c>
      <c r="L84" s="80"/>
      <c r="M84" s="105"/>
      <c r="O84" s="49" t="s">
        <v>48</v>
      </c>
      <c r="P84" s="64">
        <f>COUNTIFS('1. ALL DATA'!$AA$5:$AA$116,"programmes and transformation",'1. ALL DATA'!$S$5:$S$116,"Update not provided")</f>
        <v>0</v>
      </c>
      <c r="Q84" s="79">
        <f>P84/P87</f>
        <v>0</v>
      </c>
      <c r="R84" s="79">
        <f>Q84</f>
        <v>0</v>
      </c>
      <c r="S84" s="80"/>
      <c r="T84" s="101"/>
      <c r="V84" s="66" t="s">
        <v>48</v>
      </c>
      <c r="W84" s="49">
        <f>COUNTIFS('1. ALL DATA'!$AA$5:$AA$116,"programmes and transformation",'1. ALL DATA'!$W$5:$W$116,"Update not provided")</f>
        <v>0</v>
      </c>
      <c r="X84" s="79">
        <f>W84/$W$87</f>
        <v>0</v>
      </c>
      <c r="Y84" s="79">
        <f>X84</f>
        <v>0</v>
      </c>
      <c r="Z84" s="80"/>
    </row>
    <row r="85" spans="1:27" ht="15.75" customHeight="1">
      <c r="A85" s="50" t="s">
        <v>23</v>
      </c>
      <c r="B85" s="64">
        <f>COUNTIFS('1. ALL DATA'!$AA$5:$AA$116,"programmes and transformation",'1. ALL DATA'!$I$5:$I$116,"Deferred")</f>
        <v>0</v>
      </c>
      <c r="C85" s="82">
        <f>B85/B87</f>
        <v>0</v>
      </c>
      <c r="D85" s="82">
        <f>C85</f>
        <v>0</v>
      </c>
      <c r="E85" s="81"/>
      <c r="F85" s="48"/>
      <c r="H85" s="50" t="s">
        <v>23</v>
      </c>
      <c r="I85" s="64">
        <f>COUNTIFS('1. ALL DATA'!$AA$5:$AA$116,"programmes and transformation",'1. ALL DATA'!$N$5:$N$116,"Deferred")</f>
        <v>0</v>
      </c>
      <c r="J85" s="82">
        <f>I85/I87</f>
        <v>0</v>
      </c>
      <c r="K85" s="82">
        <f>J85</f>
        <v>0</v>
      </c>
      <c r="L85" s="81"/>
      <c r="M85" s="48"/>
      <c r="O85" s="50" t="s">
        <v>23</v>
      </c>
      <c r="P85" s="64">
        <f>COUNTIFS('1. ALL DATA'!$AA$5:$AA$116,"programmes and transformation",'1. ALL DATA'!$S$5:$S$116,"Deferred")</f>
        <v>0</v>
      </c>
      <c r="Q85" s="82">
        <f>P85/P87</f>
        <v>0</v>
      </c>
      <c r="R85" s="82">
        <f>Q85</f>
        <v>0</v>
      </c>
      <c r="S85" s="81"/>
      <c r="T85" s="100"/>
      <c r="V85" s="50" t="s">
        <v>23</v>
      </c>
      <c r="W85" s="49">
        <f>COUNTIFS('1. ALL DATA'!$AA$5:$AA$116,"programmes and transformation",'1. ALL DATA'!$W$5:$W$116,"Deferred")</f>
        <v>0</v>
      </c>
      <c r="X85" s="82">
        <f>W85/$W$87</f>
        <v>0</v>
      </c>
      <c r="Y85" s="82">
        <f>X85</f>
        <v>0</v>
      </c>
      <c r="Z85" s="81"/>
      <c r="AA85" s="269"/>
    </row>
    <row r="86" spans="1:27" ht="15.75" customHeight="1">
      <c r="A86" s="50" t="s">
        <v>29</v>
      </c>
      <c r="B86" s="64">
        <f>COUNTIFS('1. ALL DATA'!$AA$5:$AA$116,"programmes and transformation",'1. ALL DATA'!$I$5:$I$116,"Deleted")</f>
        <v>0</v>
      </c>
      <c r="C86" s="82">
        <f>B86/B87</f>
        <v>0</v>
      </c>
      <c r="D86" s="82">
        <f>C86</f>
        <v>0</v>
      </c>
      <c r="E86" s="81"/>
      <c r="F86" s="98" t="s">
        <v>64</v>
      </c>
      <c r="H86" s="50" t="s">
        <v>29</v>
      </c>
      <c r="I86" s="64">
        <f>COUNTIFS('1. ALL DATA'!$AA$5:$AA$116,"programmes and transformation",'1. ALL DATA'!$N$5:$N$116,"Deleted")</f>
        <v>0</v>
      </c>
      <c r="J86" s="82">
        <f>I86/I87</f>
        <v>0</v>
      </c>
      <c r="K86" s="82">
        <f>J86</f>
        <v>0</v>
      </c>
      <c r="L86" s="81"/>
      <c r="M86" s="98" t="s">
        <v>64</v>
      </c>
      <c r="O86" s="50" t="s">
        <v>29</v>
      </c>
      <c r="P86" s="64">
        <f>COUNTIFS('1. ALL DATA'!$AA$5:$AA$116,"programmes and transformation",'1. ALL DATA'!$S$5:$S$116,"Deleted")</f>
        <v>0</v>
      </c>
      <c r="Q86" s="82">
        <f>P86/P87</f>
        <v>0</v>
      </c>
      <c r="R86" s="82">
        <f>Q86</f>
        <v>0</v>
      </c>
      <c r="S86" s="81"/>
      <c r="T86" s="98" t="s">
        <v>64</v>
      </c>
      <c r="V86" s="50" t="s">
        <v>29</v>
      </c>
      <c r="W86" s="49">
        <f>COUNTIFS('1. ALL DATA'!$AA$5:$AA$116,"programmes and transformation",'1. ALL DATA'!$W$5:$W$116,"Deleted")</f>
        <v>0</v>
      </c>
      <c r="X86" s="82">
        <f>W86/$W$87</f>
        <v>0</v>
      </c>
      <c r="Y86" s="82">
        <f>X86</f>
        <v>0</v>
      </c>
      <c r="Z86" s="81"/>
      <c r="AA86" s="98" t="s">
        <v>64</v>
      </c>
    </row>
    <row r="87" spans="1:27" ht="15.75" customHeight="1">
      <c r="A87" s="51" t="s">
        <v>31</v>
      </c>
      <c r="B87" s="83">
        <f>SUM(B73:B86)</f>
        <v>8</v>
      </c>
      <c r="C87" s="81"/>
      <c r="D87" s="81"/>
      <c r="E87" s="53"/>
      <c r="F87" s="48"/>
      <c r="H87" s="51" t="s">
        <v>31</v>
      </c>
      <c r="I87" s="83">
        <f>SUM(I73:I86)</f>
        <v>8</v>
      </c>
      <c r="J87" s="81"/>
      <c r="K87" s="81"/>
      <c r="L87" s="53"/>
      <c r="M87" s="48"/>
      <c r="O87" s="51" t="s">
        <v>31</v>
      </c>
      <c r="P87" s="83">
        <f>SUM(P73:P86)</f>
        <v>8</v>
      </c>
      <c r="Q87" s="81"/>
      <c r="R87" s="81"/>
      <c r="S87" s="53"/>
      <c r="T87" s="100"/>
      <c r="V87" s="51" t="s">
        <v>31</v>
      </c>
      <c r="W87" s="88">
        <f>SUM(W73:W86)</f>
        <v>8</v>
      </c>
      <c r="X87" s="81"/>
      <c r="Y87" s="81"/>
      <c r="Z87" s="53"/>
      <c r="AA87" s="269"/>
    </row>
    <row r="88" spans="1:27" ht="15.75" customHeight="1">
      <c r="A88" s="51" t="s">
        <v>32</v>
      </c>
      <c r="B88" s="83">
        <f>B87-B86-B85-B84-B83</f>
        <v>3</v>
      </c>
      <c r="C88" s="53"/>
      <c r="D88" s="53"/>
      <c r="E88" s="53"/>
      <c r="F88" s="48"/>
      <c r="H88" s="51" t="s">
        <v>32</v>
      </c>
      <c r="I88" s="83">
        <f>I87-I86-I85-I84-I83</f>
        <v>5</v>
      </c>
      <c r="J88" s="53"/>
      <c r="K88" s="53"/>
      <c r="L88" s="53"/>
      <c r="M88" s="48"/>
      <c r="O88" s="51" t="s">
        <v>32</v>
      </c>
      <c r="P88" s="83">
        <f>P87-P86-P85-P84-P83</f>
        <v>7</v>
      </c>
      <c r="Q88" s="53"/>
      <c r="R88" s="53"/>
      <c r="S88" s="53"/>
      <c r="T88" s="100"/>
      <c r="V88" s="51" t="s">
        <v>32</v>
      </c>
      <c r="W88" s="88">
        <f>W87-W86-W85-W84-W83</f>
        <v>8</v>
      </c>
      <c r="X88" s="53"/>
      <c r="Y88" s="53"/>
      <c r="Z88" s="53"/>
      <c r="AA88" s="269"/>
    </row>
    <row r="89" spans="1:27" ht="15.75" customHeight="1">
      <c r="V89" s="67"/>
      <c r="W89" s="65"/>
      <c r="X89" s="65"/>
      <c r="Y89" s="65"/>
      <c r="Z89" s="53"/>
      <c r="AA89" s="269"/>
    </row>
    <row r="90" spans="1:27" ht="15.75" customHeight="1"/>
    <row r="91" spans="1:27" s="65" customFormat="1" ht="15.75" customHeight="1">
      <c r="A91" s="67"/>
      <c r="E91" s="53"/>
      <c r="F91" s="1"/>
      <c r="H91" s="67"/>
      <c r="L91" s="53"/>
      <c r="M91" s="1"/>
      <c r="O91" s="67"/>
      <c r="S91" s="53"/>
      <c r="T91" s="97"/>
      <c r="AA91" s="269"/>
    </row>
    <row r="92" spans="1:27" s="65" customFormat="1" ht="15.75">
      <c r="A92" s="382" t="s">
        <v>254</v>
      </c>
      <c r="B92" s="374"/>
      <c r="C92" s="374"/>
      <c r="D92" s="374"/>
      <c r="E92" s="374"/>
      <c r="F92" s="375"/>
      <c r="H92" s="382" t="s">
        <v>254</v>
      </c>
      <c r="I92" s="374"/>
      <c r="J92" s="374"/>
      <c r="K92" s="374"/>
      <c r="L92" s="374"/>
      <c r="M92" s="375"/>
      <c r="O92" s="382" t="s">
        <v>254</v>
      </c>
      <c r="P92" s="374"/>
      <c r="Q92" s="374"/>
      <c r="R92" s="374"/>
      <c r="S92" s="374"/>
      <c r="T92" s="375"/>
      <c r="V92" s="382" t="s">
        <v>254</v>
      </c>
      <c r="W92" s="374"/>
      <c r="X92" s="374"/>
      <c r="Y92" s="374"/>
      <c r="Z92" s="374"/>
      <c r="AA92" s="375"/>
    </row>
    <row r="93" spans="1:27" ht="36" customHeight="1">
      <c r="A93" s="376" t="s">
        <v>24</v>
      </c>
      <c r="B93" s="376" t="s">
        <v>25</v>
      </c>
      <c r="C93" s="376" t="s">
        <v>19</v>
      </c>
      <c r="D93" s="376" t="s">
        <v>50</v>
      </c>
      <c r="E93" s="376" t="s">
        <v>30</v>
      </c>
      <c r="F93" s="377" t="s">
        <v>51</v>
      </c>
      <c r="H93" s="376" t="s">
        <v>24</v>
      </c>
      <c r="I93" s="376" t="s">
        <v>25</v>
      </c>
      <c r="J93" s="376" t="s">
        <v>19</v>
      </c>
      <c r="K93" s="376" t="s">
        <v>50</v>
      </c>
      <c r="L93" s="376" t="s">
        <v>30</v>
      </c>
      <c r="M93" s="377" t="s">
        <v>51</v>
      </c>
      <c r="O93" s="376" t="s">
        <v>24</v>
      </c>
      <c r="P93" s="376" t="s">
        <v>25</v>
      </c>
      <c r="Q93" s="376" t="s">
        <v>19</v>
      </c>
      <c r="R93" s="376" t="s">
        <v>50</v>
      </c>
      <c r="S93" s="376" t="s">
        <v>30</v>
      </c>
      <c r="T93" s="378" t="s">
        <v>51</v>
      </c>
      <c r="V93" s="376" t="s">
        <v>24</v>
      </c>
      <c r="W93" s="376" t="s">
        <v>25</v>
      </c>
      <c r="X93" s="376" t="s">
        <v>19</v>
      </c>
      <c r="Y93" s="376" t="s">
        <v>50</v>
      </c>
      <c r="Z93" s="376" t="s">
        <v>30</v>
      </c>
      <c r="AA93" s="379" t="s">
        <v>51</v>
      </c>
    </row>
    <row r="94" spans="1:27" s="65" customFormat="1" ht="7.5" customHeight="1">
      <c r="A94" s="190"/>
      <c r="B94" s="190"/>
      <c r="C94" s="190"/>
      <c r="D94" s="190"/>
      <c r="E94" s="190"/>
      <c r="F94" s="202"/>
      <c r="H94" s="190"/>
      <c r="I94" s="190"/>
      <c r="J94" s="190"/>
      <c r="K94" s="190"/>
      <c r="L94" s="190"/>
      <c r="M94" s="202"/>
      <c r="O94" s="190"/>
      <c r="P94" s="190"/>
      <c r="Q94" s="190"/>
      <c r="R94" s="190"/>
      <c r="S94" s="190"/>
      <c r="T94" s="203"/>
      <c r="V94" s="190"/>
      <c r="W94" s="190"/>
      <c r="X94" s="190"/>
      <c r="Y94" s="190"/>
      <c r="Z94" s="190"/>
      <c r="AA94" s="266"/>
    </row>
    <row r="95" spans="1:27" ht="18.75" customHeight="1">
      <c r="A95" s="312" t="s">
        <v>47</v>
      </c>
      <c r="B95" s="73">
        <f>COUNTIFS('1. ALL DATA'!$AA$5:$AA$116,"PLANNING AND NEIGHBOURHOODS",'1. ALL DATA'!$I$5:$I$116,"Fully Achieved")</f>
        <v>3</v>
      </c>
      <c r="C95" s="127">
        <f>B95/B109</f>
        <v>0.15</v>
      </c>
      <c r="D95" s="535">
        <f>C95+C96</f>
        <v>0.85</v>
      </c>
      <c r="E95" s="127">
        <f>B95/B110</f>
        <v>0.17647058823529413</v>
      </c>
      <c r="F95" s="517">
        <f>E95+E96</f>
        <v>1</v>
      </c>
      <c r="H95" s="312" t="s">
        <v>47</v>
      </c>
      <c r="I95" s="73">
        <f>COUNTIFS('1. ALL DATA'!$AA$5:$AA$116,"PLANNING AND NEIGHBOURHOODS",'1. ALL DATA'!$N$5:$N$116,"Fully Achieved")</f>
        <v>10</v>
      </c>
      <c r="J95" s="127">
        <f>I95/I109</f>
        <v>0.5</v>
      </c>
      <c r="K95" s="535">
        <f>J95+J96</f>
        <v>1</v>
      </c>
      <c r="L95" s="127">
        <f>I95/I110</f>
        <v>0.5</v>
      </c>
      <c r="M95" s="517">
        <f>L95+L96</f>
        <v>1</v>
      </c>
      <c r="O95" s="312" t="s">
        <v>47</v>
      </c>
      <c r="P95" s="73">
        <f>COUNTIFS('1. ALL DATA'!$AA$5:$AA$116,"PLANNING AND NEIGHBOURHOODS",'1. ALL DATA'!$S$5:$S$116,"Fully Achieved")</f>
        <v>12</v>
      </c>
      <c r="Q95" s="127">
        <f>P95/P109</f>
        <v>0.6</v>
      </c>
      <c r="R95" s="535">
        <f>Q95+Q96</f>
        <v>1</v>
      </c>
      <c r="S95" s="127">
        <f>P95/P110</f>
        <v>0.6</v>
      </c>
      <c r="T95" s="517">
        <f>S95+S96</f>
        <v>1</v>
      </c>
      <c r="V95" s="312" t="s">
        <v>42</v>
      </c>
      <c r="W95" s="155">
        <f>COUNTIFS('1. ALL DATA'!$AA$5:$AA$116,"PLANNING AND NEIGHBOURHOODS",'1. ALL DATA'!$W$5:$W$116,"Fully Achieved")</f>
        <v>20</v>
      </c>
      <c r="X95" s="127">
        <f>W95/$W$109</f>
        <v>1</v>
      </c>
      <c r="Y95" s="535">
        <f>X95+X96</f>
        <v>1</v>
      </c>
      <c r="Z95" s="127">
        <f>W95/$W$110</f>
        <v>1</v>
      </c>
      <c r="AA95" s="517">
        <f>Z95+Z96</f>
        <v>1</v>
      </c>
    </row>
    <row r="96" spans="1:27" ht="18.75" customHeight="1">
      <c r="A96" s="312" t="s">
        <v>43</v>
      </c>
      <c r="B96" s="73">
        <f>COUNTIFS('1. ALL DATA'!$AA$5:$AA$116,"PLANNING AND NEIGHBOURHOODS",'1. ALL DATA'!$I$5:$I$116,"On track to be achieved")</f>
        <v>14</v>
      </c>
      <c r="C96" s="127">
        <f>B96/B109</f>
        <v>0.7</v>
      </c>
      <c r="D96" s="535"/>
      <c r="E96" s="127">
        <f>B96/B110</f>
        <v>0.82352941176470584</v>
      </c>
      <c r="F96" s="517"/>
      <c r="H96" s="312" t="s">
        <v>43</v>
      </c>
      <c r="I96" s="73">
        <f>COUNTIFS('1. ALL DATA'!$AA$5:$AA$116,"PLANNING AND NEIGHBOURHOODS",'1. ALL DATA'!$N$5:$N$116,"On track to be achieved")</f>
        <v>10</v>
      </c>
      <c r="J96" s="127">
        <f>I96/I109</f>
        <v>0.5</v>
      </c>
      <c r="K96" s="535"/>
      <c r="L96" s="127">
        <f>I96/I110</f>
        <v>0.5</v>
      </c>
      <c r="M96" s="517"/>
      <c r="O96" s="312" t="s">
        <v>43</v>
      </c>
      <c r="P96" s="73">
        <f>COUNTIFS('1. ALL DATA'!$AA$5:$AA$116,"PLANNING AND NEIGHBOURHOODS",'1. ALL DATA'!$S$5:$S$116,"On track to be achieved")</f>
        <v>8</v>
      </c>
      <c r="Q96" s="127">
        <f>P96/P109</f>
        <v>0.4</v>
      </c>
      <c r="R96" s="535"/>
      <c r="S96" s="127">
        <f>P96/P110</f>
        <v>0.4</v>
      </c>
      <c r="T96" s="517"/>
      <c r="V96" s="312" t="s">
        <v>84</v>
      </c>
      <c r="W96" s="155">
        <f>COUNTIFS('1. ALL DATA'!$AA$5:$AA$116,"PLANNING AND NEIGHBOURHOODS",'1. ALL DATA'!$W$5:$W$116,"Numerical Outturn Within 5% Tolerance")</f>
        <v>0</v>
      </c>
      <c r="X96" s="154">
        <f t="shared" ref="X96:X108" si="2">W96/$W$109</f>
        <v>0</v>
      </c>
      <c r="Y96" s="535"/>
      <c r="Z96" s="154">
        <f t="shared" ref="Z96:Z103" si="3">W96/$W$110</f>
        <v>0</v>
      </c>
      <c r="AA96" s="517"/>
    </row>
    <row r="97" spans="1:27" s="65" customFormat="1" ht="6.75" customHeight="1">
      <c r="A97" s="190"/>
      <c r="B97" s="195"/>
      <c r="C97" s="191"/>
      <c r="D97" s="191"/>
      <c r="E97" s="191"/>
      <c r="F97" s="192"/>
      <c r="H97" s="190"/>
      <c r="I97" s="195"/>
      <c r="J97" s="191"/>
      <c r="K97" s="191"/>
      <c r="L97" s="191"/>
      <c r="M97" s="192"/>
      <c r="O97" s="190"/>
      <c r="P97" s="195"/>
      <c r="Q97" s="191"/>
      <c r="R97" s="191"/>
      <c r="S97" s="191"/>
      <c r="T97" s="192"/>
      <c r="V97" s="193"/>
      <c r="W97" s="190"/>
      <c r="X97" s="381"/>
      <c r="Y97" s="191"/>
      <c r="Z97" s="381"/>
      <c r="AA97" s="192"/>
    </row>
    <row r="98" spans="1:27" ht="16.5" customHeight="1">
      <c r="A98" s="518" t="s">
        <v>27</v>
      </c>
      <c r="B98" s="537">
        <f>COUNTIFS('1. ALL DATA'!$AA$5:$AA$116,"PLANNING AND NEIGHBOURHOODS",'1. ALL DATA'!$I$5:$I$116,"In danger of falling behind target")</f>
        <v>0</v>
      </c>
      <c r="C98" s="535">
        <f>B98/B109</f>
        <v>0</v>
      </c>
      <c r="D98" s="535">
        <f>C98</f>
        <v>0</v>
      </c>
      <c r="E98" s="535">
        <f>B98/B110</f>
        <v>0</v>
      </c>
      <c r="F98" s="522">
        <f>E98</f>
        <v>0</v>
      </c>
      <c r="H98" s="518" t="s">
        <v>27</v>
      </c>
      <c r="I98" s="537">
        <f>COUNTIFS('1. ALL DATA'!$AA$5:$AA$116,"PLANNING AND NEIGHBOURHOODS",'1. ALL DATA'!$N$5:$N$116,"In danger of falling behind target")</f>
        <v>0</v>
      </c>
      <c r="J98" s="535">
        <f>I98/I109</f>
        <v>0</v>
      </c>
      <c r="K98" s="535">
        <f>J98</f>
        <v>0</v>
      </c>
      <c r="L98" s="535">
        <f>I98/I110</f>
        <v>0</v>
      </c>
      <c r="M98" s="522">
        <f>L98</f>
        <v>0</v>
      </c>
      <c r="O98" s="518" t="s">
        <v>27</v>
      </c>
      <c r="P98" s="537">
        <f>COUNTIFS('1. ALL DATA'!$AA$5:$AA$116,"PLANNING AND NEIGHBOURHOODS",'1. ALL DATA'!$S$5:$S$116,"In danger of falling behind target")</f>
        <v>0</v>
      </c>
      <c r="Q98" s="535">
        <f>P98/P109</f>
        <v>0</v>
      </c>
      <c r="R98" s="535">
        <f>Q98</f>
        <v>0</v>
      </c>
      <c r="S98" s="535">
        <f>P98/P110</f>
        <v>0</v>
      </c>
      <c r="T98" s="522">
        <f>S98</f>
        <v>0</v>
      </c>
      <c r="V98" s="314" t="s">
        <v>85</v>
      </c>
      <c r="W98" s="291">
        <f>COUNTIFS('1. ALL DATA'!$AA$5:$AA$116,"PLANNING AND NEIGHBOURHOODS",'1. ALL DATA'!$W$5:$W$116,"Numerical Outturn Within 10% Tolerance")</f>
        <v>0</v>
      </c>
      <c r="X98" s="154">
        <f t="shared" si="2"/>
        <v>0</v>
      </c>
      <c r="Y98" s="538">
        <f>SUM(X98:X100)</f>
        <v>0</v>
      </c>
      <c r="Z98" s="154">
        <f t="shared" si="3"/>
        <v>0</v>
      </c>
      <c r="AA98" s="522">
        <f>SUM(Z98:Z100)</f>
        <v>0</v>
      </c>
    </row>
    <row r="99" spans="1:27" ht="16.5" customHeight="1">
      <c r="A99" s="518"/>
      <c r="B99" s="537"/>
      <c r="C99" s="535"/>
      <c r="D99" s="535"/>
      <c r="E99" s="535"/>
      <c r="F99" s="522"/>
      <c r="H99" s="518"/>
      <c r="I99" s="537"/>
      <c r="J99" s="535"/>
      <c r="K99" s="535"/>
      <c r="L99" s="535"/>
      <c r="M99" s="522"/>
      <c r="O99" s="518"/>
      <c r="P99" s="537"/>
      <c r="Q99" s="535"/>
      <c r="R99" s="535"/>
      <c r="S99" s="535"/>
      <c r="T99" s="522"/>
      <c r="V99" s="314" t="s">
        <v>86</v>
      </c>
      <c r="W99" s="291">
        <f>COUNTIFS('1. ALL DATA'!$AA$5:$AA$116,"PLANNING AND NEIGHBOURHOODS",'1. ALL DATA'!$W$5:$W$116,"Target Partially Met")</f>
        <v>0</v>
      </c>
      <c r="X99" s="154">
        <f t="shared" si="2"/>
        <v>0</v>
      </c>
      <c r="Y99" s="539"/>
      <c r="Z99" s="154">
        <f t="shared" si="3"/>
        <v>0</v>
      </c>
      <c r="AA99" s="522"/>
    </row>
    <row r="100" spans="1:27" ht="16.5" customHeight="1">
      <c r="A100" s="518"/>
      <c r="B100" s="537"/>
      <c r="C100" s="535"/>
      <c r="D100" s="535"/>
      <c r="E100" s="535"/>
      <c r="F100" s="522"/>
      <c r="H100" s="518"/>
      <c r="I100" s="537"/>
      <c r="J100" s="535"/>
      <c r="K100" s="535"/>
      <c r="L100" s="535"/>
      <c r="M100" s="522"/>
      <c r="O100" s="518"/>
      <c r="P100" s="537"/>
      <c r="Q100" s="535"/>
      <c r="R100" s="535"/>
      <c r="S100" s="535"/>
      <c r="T100" s="522"/>
      <c r="V100" s="314" t="s">
        <v>88</v>
      </c>
      <c r="W100" s="291">
        <f>COUNTIFS('1. ALL DATA'!$AA$5:$AA$116,"PLANNING AND NEIGHBOURHOODS",'1. ALL DATA'!$W$5:$W$116,"Completion Date Within Reasonable Tolerance")</f>
        <v>0</v>
      </c>
      <c r="X100" s="154">
        <f t="shared" si="2"/>
        <v>0</v>
      </c>
      <c r="Y100" s="540"/>
      <c r="Z100" s="154">
        <f t="shared" si="3"/>
        <v>0</v>
      </c>
      <c r="AA100" s="522"/>
    </row>
    <row r="101" spans="1:27" s="65" customFormat="1" ht="6" customHeight="1">
      <c r="A101" s="190"/>
      <c r="B101" s="190"/>
      <c r="C101" s="191"/>
      <c r="D101" s="191"/>
      <c r="E101" s="191"/>
      <c r="F101" s="192"/>
      <c r="H101" s="190"/>
      <c r="I101" s="190"/>
      <c r="J101" s="191"/>
      <c r="K101" s="191"/>
      <c r="L101" s="191"/>
      <c r="M101" s="192"/>
      <c r="O101" s="190"/>
      <c r="P101" s="190"/>
      <c r="Q101" s="191"/>
      <c r="R101" s="191"/>
      <c r="S101" s="191"/>
      <c r="T101" s="192"/>
      <c r="V101" s="193"/>
      <c r="W101" s="190"/>
      <c r="X101" s="381"/>
      <c r="Y101" s="191"/>
      <c r="Z101" s="381"/>
      <c r="AA101" s="192"/>
    </row>
    <row r="102" spans="1:27" ht="22.5" customHeight="1">
      <c r="A102" s="313" t="s">
        <v>44</v>
      </c>
      <c r="B102" s="73">
        <f>COUNTIFS('1. ALL DATA'!$AA$5:$AA$116,"PLANNING AND NEIGHBOURHOODS",'1. ALL DATA'!$I$5:$I$116,"Completed behind schedule")</f>
        <v>0</v>
      </c>
      <c r="C102" s="127">
        <f>B102/B109</f>
        <v>0</v>
      </c>
      <c r="D102" s="535">
        <f>C102+C103</f>
        <v>0</v>
      </c>
      <c r="E102" s="127">
        <f>B102/B110</f>
        <v>0</v>
      </c>
      <c r="F102" s="536">
        <f>E102+E103</f>
        <v>0</v>
      </c>
      <c r="H102" s="313" t="s">
        <v>44</v>
      </c>
      <c r="I102" s="73">
        <f>COUNTIFS('1. ALL DATA'!$AA$5:$AA$116,"PLANNING AND NEIGHBOURHOODS",'1. ALL DATA'!$N$5:$N$116,"Completed behind schedule")</f>
        <v>0</v>
      </c>
      <c r="J102" s="127">
        <f>I102/I109</f>
        <v>0</v>
      </c>
      <c r="K102" s="535">
        <f>J102+J103</f>
        <v>0</v>
      </c>
      <c r="L102" s="127">
        <f>I102/I110</f>
        <v>0</v>
      </c>
      <c r="M102" s="536">
        <f>L102+L103</f>
        <v>0</v>
      </c>
      <c r="O102" s="313" t="s">
        <v>44</v>
      </c>
      <c r="P102" s="73">
        <f>COUNTIFS('1. ALL DATA'!$AA$5:$AA$116,"PLANNING AND NEIGHBOURHOODS",'1. ALL DATA'!$S$5:$S$116,"Completed behind schedule")</f>
        <v>0</v>
      </c>
      <c r="Q102" s="127">
        <f>P102/P109</f>
        <v>0</v>
      </c>
      <c r="R102" s="535">
        <f>Q102+Q103</f>
        <v>0</v>
      </c>
      <c r="S102" s="127">
        <f>P102/P110</f>
        <v>0</v>
      </c>
      <c r="T102" s="536">
        <f>S102+S103</f>
        <v>0</v>
      </c>
      <c r="V102" s="313" t="s">
        <v>87</v>
      </c>
      <c r="W102" s="291">
        <f>COUNTIFS('1. ALL DATA'!$AA$5:$AA$116,"PLANNING AND NEIGHBOURHOODS",'1. ALL DATA'!$W$5:$W$116,"Completed Significantly After Target Deadline")</f>
        <v>0</v>
      </c>
      <c r="X102" s="154">
        <f t="shared" si="2"/>
        <v>0</v>
      </c>
      <c r="Y102" s="535">
        <f>X102+X103</f>
        <v>0</v>
      </c>
      <c r="Z102" s="154">
        <f t="shared" si="3"/>
        <v>0</v>
      </c>
      <c r="AA102" s="536">
        <f>Z102+Z103</f>
        <v>0</v>
      </c>
    </row>
    <row r="103" spans="1:27" ht="22.5" customHeight="1">
      <c r="A103" s="313" t="s">
        <v>28</v>
      </c>
      <c r="B103" s="73">
        <f>COUNTIFS('1. ALL DATA'!$AA$5:$AA$116,"PLANNING AND NEIGHBOURHOODS",'1. ALL DATA'!$I$5:$I$116,"Off target")</f>
        <v>0</v>
      </c>
      <c r="C103" s="127">
        <f>B103/B109</f>
        <v>0</v>
      </c>
      <c r="D103" s="535"/>
      <c r="E103" s="127">
        <f>B103/B110</f>
        <v>0</v>
      </c>
      <c r="F103" s="536"/>
      <c r="H103" s="313" t="s">
        <v>28</v>
      </c>
      <c r="I103" s="73">
        <f>COUNTIFS('1. ALL DATA'!$AA$5:$AA$116,"PLANNING AND NEIGHBOURHOODS",'1. ALL DATA'!$N$5:$N$116,"Off target")</f>
        <v>0</v>
      </c>
      <c r="J103" s="127">
        <f>I103/I109</f>
        <v>0</v>
      </c>
      <c r="K103" s="535"/>
      <c r="L103" s="127">
        <f>I103/I110</f>
        <v>0</v>
      </c>
      <c r="M103" s="536"/>
      <c r="O103" s="313" t="s">
        <v>28</v>
      </c>
      <c r="P103" s="73">
        <f>COUNTIFS('1. ALL DATA'!$AA$5:$AA$116,"PLANNING AND NEIGHBOURHOODS",'1. ALL DATA'!$S$5:$S$116,"Off target")</f>
        <v>0</v>
      </c>
      <c r="Q103" s="127">
        <f>P103/P109</f>
        <v>0</v>
      </c>
      <c r="R103" s="535"/>
      <c r="S103" s="127">
        <f>P103/P110</f>
        <v>0</v>
      </c>
      <c r="T103" s="536"/>
      <c r="V103" s="313" t="s">
        <v>28</v>
      </c>
      <c r="W103" s="291">
        <f>COUNTIFS('1. ALL DATA'!$AA$5:$AA$116,"PLANNING AND NEIGHBOURHOODS",'1. ALL DATA'!$W$5:$W$116,"Off Target")</f>
        <v>0</v>
      </c>
      <c r="X103" s="154">
        <f t="shared" si="2"/>
        <v>0</v>
      </c>
      <c r="Y103" s="535"/>
      <c r="Z103" s="154">
        <f t="shared" si="3"/>
        <v>0</v>
      </c>
      <c r="AA103" s="536"/>
    </row>
    <row r="104" spans="1:27" s="65" customFormat="1" ht="6.75" customHeight="1">
      <c r="A104" s="190"/>
      <c r="B104" s="195"/>
      <c r="C104" s="191"/>
      <c r="D104" s="191"/>
      <c r="E104" s="191"/>
      <c r="F104" s="196"/>
      <c r="H104" s="190"/>
      <c r="I104" s="195"/>
      <c r="J104" s="191"/>
      <c r="K104" s="191"/>
      <c r="L104" s="191"/>
      <c r="M104" s="196"/>
      <c r="O104" s="190"/>
      <c r="P104" s="195"/>
      <c r="Q104" s="191"/>
      <c r="R104" s="191"/>
      <c r="S104" s="191"/>
      <c r="T104" s="196"/>
      <c r="V104" s="383"/>
      <c r="W104" s="197"/>
      <c r="X104" s="381"/>
      <c r="Y104" s="198"/>
      <c r="Z104" s="199"/>
      <c r="AA104" s="267"/>
    </row>
    <row r="105" spans="1:27" ht="15.75" customHeight="1">
      <c r="A105" s="49" t="s">
        <v>2</v>
      </c>
      <c r="B105" s="64">
        <f>COUNTIFS('1. ALL DATA'!$AA$5:$AA$116,"PLANNING AND NEIGHBOURHOODS",'1. ALL DATA'!$I$5:$I$116,"Not yet due")</f>
        <v>3</v>
      </c>
      <c r="C105" s="79">
        <f>B105/B109</f>
        <v>0.15</v>
      </c>
      <c r="D105" s="79">
        <f>C105</f>
        <v>0.15</v>
      </c>
      <c r="E105" s="80"/>
      <c r="F105" s="48"/>
      <c r="H105" s="49" t="s">
        <v>2</v>
      </c>
      <c r="I105" s="64">
        <f>COUNTIFS('1. ALL DATA'!$AA$5:$AA$116,"PLANNING AND NEIGHBOURHOODS",'1. ALL DATA'!$N$5:$N$116,"Not yet due")</f>
        <v>0</v>
      </c>
      <c r="J105" s="79">
        <f>I105/I109</f>
        <v>0</v>
      </c>
      <c r="K105" s="79">
        <f>J105</f>
        <v>0</v>
      </c>
      <c r="L105" s="80"/>
      <c r="M105" s="48"/>
      <c r="O105" s="49" t="s">
        <v>2</v>
      </c>
      <c r="P105" s="64">
        <f>COUNTIFS('1. ALL DATA'!$AA$5:$AA$116,"PLANNING AND NEIGHBOURHOODS",'1. ALL DATA'!$S$5:$S$116,"Not yet due")</f>
        <v>0</v>
      </c>
      <c r="Q105" s="79">
        <f>P105/P109</f>
        <v>0</v>
      </c>
      <c r="R105" s="79">
        <f>Q105</f>
        <v>0</v>
      </c>
      <c r="S105" s="80"/>
      <c r="T105" s="100"/>
      <c r="V105" s="64" t="s">
        <v>2</v>
      </c>
      <c r="W105" s="49">
        <f>COUNTIFS('1. ALL DATA'!$AA$5:$AA$116,"PLANNING AND NEIGHBOURHOODS",'1. ALL DATA'!$W$5:$W$116,"not yet due")</f>
        <v>0</v>
      </c>
      <c r="X105" s="154">
        <f t="shared" si="2"/>
        <v>0</v>
      </c>
      <c r="Y105" s="79">
        <f>X105</f>
        <v>0</v>
      </c>
      <c r="Z105" s="80"/>
      <c r="AA105" s="269"/>
    </row>
    <row r="106" spans="1:27" ht="15.75" customHeight="1">
      <c r="A106" s="49" t="s">
        <v>48</v>
      </c>
      <c r="B106" s="64">
        <f>COUNTIFS('1. ALL DATA'!$AA$5:$AA$116,"PLANNING AND NEIGHBOURHOODS",'1. ALL DATA'!$I$5:$I$116,"Update not provided")</f>
        <v>0</v>
      </c>
      <c r="C106" s="79">
        <f>B106/B109</f>
        <v>0</v>
      </c>
      <c r="D106" s="79">
        <f>C106</f>
        <v>0</v>
      </c>
      <c r="E106" s="80"/>
      <c r="F106" s="105"/>
      <c r="H106" s="49" t="s">
        <v>48</v>
      </c>
      <c r="I106" s="64">
        <f>COUNTIFS('1. ALL DATA'!$AA$5:$AA$116,"PLANNING AND NEIGHBOURHOODS",'1. ALL DATA'!$N$5:$N$116,"Update not provided")</f>
        <v>0</v>
      </c>
      <c r="J106" s="79">
        <f>I106/I109</f>
        <v>0</v>
      </c>
      <c r="K106" s="79">
        <f>J106</f>
        <v>0</v>
      </c>
      <c r="L106" s="80"/>
      <c r="M106" s="105"/>
      <c r="O106" s="49" t="s">
        <v>48</v>
      </c>
      <c r="P106" s="64">
        <f>COUNTIFS('1. ALL DATA'!$AA$5:$AA$116,"PLANNING AND NEIGHBOURHOODS",'1. ALL DATA'!$S$5:$S$116,"Update not provided")</f>
        <v>0</v>
      </c>
      <c r="Q106" s="79">
        <f>P106/P109</f>
        <v>0</v>
      </c>
      <c r="R106" s="79">
        <f>Q106</f>
        <v>0</v>
      </c>
      <c r="S106" s="80"/>
      <c r="T106" s="101"/>
      <c r="V106" s="66" t="s">
        <v>48</v>
      </c>
      <c r="W106" s="49">
        <f>COUNTIFS('1. ALL DATA'!$AA$5:$AA$116,"PLANNING AND NEIGHBOURHOODS",'1. ALL DATA'!$W$5:$W$116,"Update not provided")</f>
        <v>0</v>
      </c>
      <c r="X106" s="154">
        <f t="shared" si="2"/>
        <v>0</v>
      </c>
      <c r="Y106" s="79">
        <f>X106</f>
        <v>0</v>
      </c>
      <c r="Z106" s="80"/>
    </row>
    <row r="107" spans="1:27" ht="15.75" customHeight="1">
      <c r="A107" s="50" t="s">
        <v>23</v>
      </c>
      <c r="B107" s="64">
        <f>COUNTIFS('1. ALL DATA'!$AA$5:$AA$116,"PLANNING AND NEIGHBOURHOODS",'1. ALL DATA'!$I$5:$I$116,"Deferred")</f>
        <v>0</v>
      </c>
      <c r="C107" s="82">
        <f>B107/B109</f>
        <v>0</v>
      </c>
      <c r="D107" s="82">
        <f>C107</f>
        <v>0</v>
      </c>
      <c r="E107" s="81"/>
      <c r="F107" s="48"/>
      <c r="H107" s="50" t="s">
        <v>23</v>
      </c>
      <c r="I107" s="64">
        <f>COUNTIFS('1. ALL DATA'!$AA$5:$AA$116,"PLANNING AND NEIGHBOURHOODS",'1. ALL DATA'!$N$5:$N$116,"Deferred")</f>
        <v>0</v>
      </c>
      <c r="J107" s="82">
        <f>I107/I109</f>
        <v>0</v>
      </c>
      <c r="K107" s="82">
        <f>J107</f>
        <v>0</v>
      </c>
      <c r="L107" s="81"/>
      <c r="M107" s="48"/>
      <c r="O107" s="50" t="s">
        <v>23</v>
      </c>
      <c r="P107" s="64">
        <f>COUNTIFS('1. ALL DATA'!$AA$5:$AA$116,"PLANNING AND NEIGHBOURHOODS",'1. ALL DATA'!$S$5:$S$116,"Deferred")</f>
        <v>0</v>
      </c>
      <c r="Q107" s="82">
        <f>P107/P109</f>
        <v>0</v>
      </c>
      <c r="R107" s="82">
        <f>Q107</f>
        <v>0</v>
      </c>
      <c r="S107" s="81"/>
      <c r="T107" s="100"/>
      <c r="V107" s="50" t="s">
        <v>23</v>
      </c>
      <c r="W107" s="49">
        <f>COUNTIFS('1. ALL DATA'!$AA$5:$AA$116,"PLANNING AND NEIGHBOURHOODS",'1. ALL DATA'!$W$5:$W$116,"Deferred")</f>
        <v>0</v>
      </c>
      <c r="X107" s="154">
        <f t="shared" si="2"/>
        <v>0</v>
      </c>
      <c r="Y107" s="82">
        <f>X107</f>
        <v>0</v>
      </c>
      <c r="Z107" s="81"/>
      <c r="AA107" s="269"/>
    </row>
    <row r="108" spans="1:27" ht="15.75" customHeight="1">
      <c r="A108" s="50" t="s">
        <v>29</v>
      </c>
      <c r="B108" s="64">
        <f>COUNTIFS('1. ALL DATA'!$AA$5:$AA$116,"PLANNING AND NEIGHBOURHOODS",'1. ALL DATA'!$I$5:$I$116,"Deleted")</f>
        <v>0</v>
      </c>
      <c r="C108" s="82">
        <f>B108/B109</f>
        <v>0</v>
      </c>
      <c r="D108" s="82">
        <f>C108</f>
        <v>0</v>
      </c>
      <c r="E108" s="81"/>
      <c r="F108" s="98" t="s">
        <v>64</v>
      </c>
      <c r="H108" s="50" t="s">
        <v>29</v>
      </c>
      <c r="I108" s="64">
        <f>COUNTIFS('1. ALL DATA'!$AA$5:$AA$116,"PLANNING AND NEIGHBOURHOODS",'1. ALL DATA'!$N$5:$N$116,"Deleted")</f>
        <v>0</v>
      </c>
      <c r="J108" s="82">
        <f>I108/I109</f>
        <v>0</v>
      </c>
      <c r="K108" s="82">
        <f>J108</f>
        <v>0</v>
      </c>
      <c r="L108" s="81"/>
      <c r="M108" s="98" t="s">
        <v>64</v>
      </c>
      <c r="O108" s="50" t="s">
        <v>29</v>
      </c>
      <c r="P108" s="64">
        <f>COUNTIFS('1. ALL DATA'!$AA$5:$AA$116,"PLANNING AND NEIGHBOURHOODS",'1. ALL DATA'!$S$5:$S$116,"Deleted")</f>
        <v>0</v>
      </c>
      <c r="Q108" s="82">
        <f>P108/P109</f>
        <v>0</v>
      </c>
      <c r="R108" s="82">
        <f>Q108</f>
        <v>0</v>
      </c>
      <c r="S108" s="81"/>
      <c r="T108" s="98" t="s">
        <v>64</v>
      </c>
      <c r="V108" s="50" t="s">
        <v>29</v>
      </c>
      <c r="W108" s="49">
        <f>COUNTIFS('1. ALL DATA'!$AA$5:$AA$116,"PLANNING AND NEIGHBOURHOODS",'1. ALL DATA'!$W$5:$W$116,"Deleted")</f>
        <v>0</v>
      </c>
      <c r="X108" s="154">
        <f t="shared" si="2"/>
        <v>0</v>
      </c>
      <c r="Y108" s="82">
        <f>X108</f>
        <v>0</v>
      </c>
      <c r="Z108" s="81"/>
      <c r="AA108" s="98" t="s">
        <v>64</v>
      </c>
    </row>
    <row r="109" spans="1:27" ht="15.75" customHeight="1">
      <c r="A109" s="51" t="s">
        <v>31</v>
      </c>
      <c r="B109" s="83">
        <f>SUM(B95:B108)</f>
        <v>20</v>
      </c>
      <c r="C109" s="81"/>
      <c r="D109" s="81"/>
      <c r="E109" s="53"/>
      <c r="F109" s="48"/>
      <c r="H109" s="51" t="s">
        <v>31</v>
      </c>
      <c r="I109" s="83">
        <f>SUM(I95:I108)</f>
        <v>20</v>
      </c>
      <c r="J109" s="81"/>
      <c r="K109" s="81"/>
      <c r="L109" s="53"/>
      <c r="M109" s="48"/>
      <c r="O109" s="51" t="s">
        <v>31</v>
      </c>
      <c r="P109" s="83">
        <f>SUM(P95:P108)</f>
        <v>20</v>
      </c>
      <c r="Q109" s="81"/>
      <c r="R109" s="81"/>
      <c r="S109" s="53"/>
      <c r="T109" s="100"/>
      <c r="V109" s="51" t="s">
        <v>31</v>
      </c>
      <c r="W109" s="88">
        <f>SUM(W95:W108)</f>
        <v>20</v>
      </c>
      <c r="X109" s="81"/>
      <c r="Y109" s="81"/>
      <c r="Z109" s="53"/>
      <c r="AA109" s="269"/>
    </row>
    <row r="110" spans="1:27" ht="15.75" customHeight="1">
      <c r="A110" s="51" t="s">
        <v>32</v>
      </c>
      <c r="B110" s="83">
        <f>B109-B108-B107-B106-B105</f>
        <v>17</v>
      </c>
      <c r="C110" s="53"/>
      <c r="D110" s="53"/>
      <c r="E110" s="53"/>
      <c r="F110" s="48"/>
      <c r="H110" s="51" t="s">
        <v>32</v>
      </c>
      <c r="I110" s="83">
        <f>I109-I108-I107-I106-I105</f>
        <v>20</v>
      </c>
      <c r="J110" s="53"/>
      <c r="K110" s="53"/>
      <c r="L110" s="53"/>
      <c r="M110" s="48"/>
      <c r="O110" s="51" t="s">
        <v>32</v>
      </c>
      <c r="P110" s="83">
        <f>P109-P108-P107-P106-P105</f>
        <v>20</v>
      </c>
      <c r="Q110" s="53"/>
      <c r="R110" s="53"/>
      <c r="S110" s="53"/>
      <c r="T110" s="100"/>
      <c r="V110" s="51" t="s">
        <v>32</v>
      </c>
      <c r="W110" s="88">
        <f>W109-W108-W107-W106-W105</f>
        <v>20</v>
      </c>
      <c r="X110" s="53"/>
      <c r="Y110" s="53"/>
      <c r="Z110" s="53"/>
      <c r="AA110" s="269"/>
    </row>
    <row r="111" spans="1:27" ht="15.75" customHeight="1">
      <c r="W111" s="89"/>
    </row>
    <row r="112" spans="1:27" ht="15.75" customHeight="1">
      <c r="W112" s="89"/>
    </row>
    <row r="113" spans="1:27" ht="15.75" customHeight="1">
      <c r="W113" s="89"/>
    </row>
    <row r="114" spans="1:27" s="65" customFormat="1" ht="15.75">
      <c r="A114" s="380" t="s">
        <v>39</v>
      </c>
      <c r="B114" s="374"/>
      <c r="C114" s="374"/>
      <c r="D114" s="374"/>
      <c r="E114" s="374"/>
      <c r="F114" s="375"/>
      <c r="H114" s="380" t="s">
        <v>39</v>
      </c>
      <c r="I114" s="374"/>
      <c r="J114" s="374"/>
      <c r="K114" s="374"/>
      <c r="L114" s="374"/>
      <c r="M114" s="375"/>
      <c r="O114" s="380" t="s">
        <v>39</v>
      </c>
      <c r="P114" s="374"/>
      <c r="Q114" s="374"/>
      <c r="R114" s="374"/>
      <c r="S114" s="374"/>
      <c r="T114" s="375"/>
      <c r="V114" s="380" t="s">
        <v>39</v>
      </c>
      <c r="W114" s="374"/>
      <c r="X114" s="374"/>
      <c r="Y114" s="374"/>
      <c r="Z114" s="374"/>
      <c r="AA114" s="375"/>
    </row>
    <row r="115" spans="1:27" ht="41.25" customHeight="1">
      <c r="A115" s="376" t="s">
        <v>24</v>
      </c>
      <c r="B115" s="376" t="s">
        <v>25</v>
      </c>
      <c r="C115" s="376" t="s">
        <v>19</v>
      </c>
      <c r="D115" s="376" t="s">
        <v>50</v>
      </c>
      <c r="E115" s="376" t="s">
        <v>30</v>
      </c>
      <c r="F115" s="377" t="s">
        <v>51</v>
      </c>
      <c r="H115" s="376" t="s">
        <v>24</v>
      </c>
      <c r="I115" s="376" t="s">
        <v>25</v>
      </c>
      <c r="J115" s="376" t="s">
        <v>19</v>
      </c>
      <c r="K115" s="376" t="s">
        <v>50</v>
      </c>
      <c r="L115" s="376" t="s">
        <v>30</v>
      </c>
      <c r="M115" s="377" t="s">
        <v>51</v>
      </c>
      <c r="O115" s="376" t="s">
        <v>24</v>
      </c>
      <c r="P115" s="376" t="s">
        <v>25</v>
      </c>
      <c r="Q115" s="376" t="s">
        <v>19</v>
      </c>
      <c r="R115" s="376" t="s">
        <v>50</v>
      </c>
      <c r="S115" s="376" t="s">
        <v>30</v>
      </c>
      <c r="T115" s="378" t="s">
        <v>51</v>
      </c>
      <c r="V115" s="376" t="s">
        <v>24</v>
      </c>
      <c r="W115" s="376" t="s">
        <v>25</v>
      </c>
      <c r="X115" s="376" t="s">
        <v>19</v>
      </c>
      <c r="Y115" s="376" t="s">
        <v>50</v>
      </c>
      <c r="Z115" s="376" t="s">
        <v>30</v>
      </c>
      <c r="AA115" s="379" t="s">
        <v>51</v>
      </c>
    </row>
    <row r="116" spans="1:27" ht="6.75" customHeight="1">
      <c r="A116" s="54"/>
      <c r="B116" s="54"/>
      <c r="C116" s="54"/>
      <c r="D116" s="54"/>
      <c r="E116" s="54"/>
      <c r="F116" s="57"/>
      <c r="H116" s="54"/>
      <c r="I116" s="54"/>
      <c r="J116" s="54"/>
      <c r="K116" s="54"/>
      <c r="L116" s="54"/>
      <c r="M116" s="57"/>
      <c r="O116" s="54"/>
      <c r="P116" s="54"/>
      <c r="Q116" s="54"/>
      <c r="R116" s="54"/>
      <c r="S116" s="54"/>
      <c r="T116" s="95"/>
      <c r="V116" s="54"/>
      <c r="W116" s="54"/>
      <c r="X116" s="54"/>
      <c r="Y116" s="54"/>
      <c r="Z116" s="54"/>
      <c r="AA116" s="271"/>
    </row>
    <row r="117" spans="1:27" ht="27.75" customHeight="1">
      <c r="A117" s="312" t="s">
        <v>47</v>
      </c>
      <c r="B117" s="73">
        <f>COUNTIFS('1. ALL DATA'!$AA$5:$AA$116,"REGULATORY SERVICES",'1. ALL DATA'!$I$5:$I$116,"Fully Achieved")</f>
        <v>2</v>
      </c>
      <c r="C117" s="127">
        <f>B117/B131</f>
        <v>0.25</v>
      </c>
      <c r="D117" s="535">
        <f>C117+C118</f>
        <v>1</v>
      </c>
      <c r="E117" s="127">
        <f>B117/B132</f>
        <v>0.25</v>
      </c>
      <c r="F117" s="517">
        <f>E117+E118</f>
        <v>1</v>
      </c>
      <c r="H117" s="312" t="s">
        <v>47</v>
      </c>
      <c r="I117" s="73">
        <f>COUNTIFS('1. ALL DATA'!$AA$5:$AA$116,"REGULATORY SERVICES",'1. ALL DATA'!$N$5:$N$116,"Fully Achieved")</f>
        <v>5</v>
      </c>
      <c r="J117" s="127">
        <f>I117/I131</f>
        <v>0.625</v>
      </c>
      <c r="K117" s="535">
        <f>J117+J118</f>
        <v>1</v>
      </c>
      <c r="L117" s="127">
        <f>I117/I132</f>
        <v>0.625</v>
      </c>
      <c r="M117" s="517">
        <f>L117+L118</f>
        <v>1</v>
      </c>
      <c r="O117" s="312" t="s">
        <v>47</v>
      </c>
      <c r="P117" s="73">
        <f>COUNTIFS('1. ALL DATA'!$AA$5:$AA$116,"REGULATORY SERVICES",'1. ALL DATA'!$S$5:$S$116,"Fully Achieved")</f>
        <v>7</v>
      </c>
      <c r="Q117" s="127">
        <f>P117/P131</f>
        <v>0.875</v>
      </c>
      <c r="R117" s="535">
        <f>Q117+Q118</f>
        <v>1</v>
      </c>
      <c r="S117" s="127">
        <f>P117/P132</f>
        <v>0.875</v>
      </c>
      <c r="T117" s="517">
        <f>S117+S118</f>
        <v>1</v>
      </c>
      <c r="V117" s="312" t="s">
        <v>42</v>
      </c>
      <c r="W117" s="155">
        <f>COUNTIFS('1. ALL DATA'!$AA$5:$AA$116,"REGULATORY SERVICES",'1. ALL DATA'!$W$5:$W$116,"Fully Achieved")</f>
        <v>8</v>
      </c>
      <c r="X117" s="127">
        <f>W117/$W$131</f>
        <v>1</v>
      </c>
      <c r="Y117" s="535">
        <f>X117+X118</f>
        <v>1</v>
      </c>
      <c r="Z117" s="127">
        <f>W117/$W$132</f>
        <v>1</v>
      </c>
      <c r="AA117" s="517">
        <f>Z117+Z118</f>
        <v>1</v>
      </c>
    </row>
    <row r="118" spans="1:27" ht="27.75" customHeight="1">
      <c r="A118" s="312" t="s">
        <v>43</v>
      </c>
      <c r="B118" s="73">
        <f>COUNTIFS('1. ALL DATA'!$AA$5:$AA$116,"REGULATORY SERVICES",'1. ALL DATA'!$I$5:$I$116,"On track to be achieved")</f>
        <v>6</v>
      </c>
      <c r="C118" s="127">
        <f>B118/B131</f>
        <v>0.75</v>
      </c>
      <c r="D118" s="535"/>
      <c r="E118" s="127">
        <f>B118/B132</f>
        <v>0.75</v>
      </c>
      <c r="F118" s="517"/>
      <c r="H118" s="312" t="s">
        <v>43</v>
      </c>
      <c r="I118" s="73">
        <f>COUNTIFS('1. ALL DATA'!$AA$5:$AA$116,"REGULATORY SERVICES",'1. ALL DATA'!$N$5:$N$116,"On track to be achieved")</f>
        <v>3</v>
      </c>
      <c r="J118" s="127">
        <f>I118/I131</f>
        <v>0.375</v>
      </c>
      <c r="K118" s="535"/>
      <c r="L118" s="127">
        <f>I118/I132</f>
        <v>0.375</v>
      </c>
      <c r="M118" s="517"/>
      <c r="O118" s="312" t="s">
        <v>43</v>
      </c>
      <c r="P118" s="73">
        <f>COUNTIFS('1. ALL DATA'!$AA$5:$AA$116,"REGULATORY SERVICES",'1. ALL DATA'!$S$5:$S$116,"On track to be achieved")</f>
        <v>1</v>
      </c>
      <c r="Q118" s="127">
        <f>P118/P131</f>
        <v>0.125</v>
      </c>
      <c r="R118" s="535"/>
      <c r="S118" s="127">
        <f>P118/P132</f>
        <v>0.125</v>
      </c>
      <c r="T118" s="517"/>
      <c r="V118" s="312" t="s">
        <v>84</v>
      </c>
      <c r="W118" s="155">
        <f>COUNTIFS('1. ALL DATA'!$AA$5:$AA$116,"REGULATORY SERVICES",'1. ALL DATA'!$W$5:$W$116,"Numerical Outturn Within 5% Tolerance")</f>
        <v>0</v>
      </c>
      <c r="X118" s="154">
        <f t="shared" ref="X118:X130" si="4">W118/$W$131</f>
        <v>0</v>
      </c>
      <c r="Y118" s="535"/>
      <c r="Z118" s="154">
        <f t="shared" ref="Z118:Z125" si="5">W118/$W$132</f>
        <v>0</v>
      </c>
      <c r="AA118" s="517"/>
    </row>
    <row r="119" spans="1:27" ht="7.5" customHeight="1">
      <c r="A119" s="190"/>
      <c r="B119" s="74"/>
      <c r="C119" s="75"/>
      <c r="D119" s="75"/>
      <c r="E119" s="75"/>
      <c r="F119" s="192"/>
      <c r="H119" s="190"/>
      <c r="I119" s="74"/>
      <c r="J119" s="75"/>
      <c r="K119" s="75"/>
      <c r="L119" s="75"/>
      <c r="M119" s="192"/>
      <c r="O119" s="190"/>
      <c r="P119" s="74"/>
      <c r="Q119" s="75"/>
      <c r="R119" s="75"/>
      <c r="S119" s="75"/>
      <c r="T119" s="192"/>
      <c r="V119" s="193"/>
      <c r="W119" s="54"/>
      <c r="X119" s="154"/>
      <c r="Y119" s="75"/>
      <c r="Z119" s="154"/>
      <c r="AA119" s="192"/>
    </row>
    <row r="120" spans="1:27" ht="21" customHeight="1">
      <c r="A120" s="518" t="s">
        <v>27</v>
      </c>
      <c r="B120" s="537">
        <f>COUNTIFS('1. ALL DATA'!$AA$5:$AA$116,"REGULATORY SERVICES",'1. ALL DATA'!$I$5:$I$116,"In danger of falling behind target")</f>
        <v>0</v>
      </c>
      <c r="C120" s="535">
        <f>B120/B131</f>
        <v>0</v>
      </c>
      <c r="D120" s="535">
        <f>C120</f>
        <v>0</v>
      </c>
      <c r="E120" s="535">
        <f>B120/B132</f>
        <v>0</v>
      </c>
      <c r="F120" s="522">
        <f>E120</f>
        <v>0</v>
      </c>
      <c r="H120" s="518" t="s">
        <v>27</v>
      </c>
      <c r="I120" s="537">
        <f>COUNTIFS('1. ALL DATA'!$AA$5:$AA$116,"REGULATORY SERVICES",'1. ALL DATA'!$N$5:$N$116,"In danger of falling behind target")</f>
        <v>0</v>
      </c>
      <c r="J120" s="535">
        <f>I120/I131</f>
        <v>0</v>
      </c>
      <c r="K120" s="535">
        <f>J120</f>
        <v>0</v>
      </c>
      <c r="L120" s="535">
        <f>I120/I132</f>
        <v>0</v>
      </c>
      <c r="M120" s="522">
        <f>L120</f>
        <v>0</v>
      </c>
      <c r="O120" s="518" t="s">
        <v>27</v>
      </c>
      <c r="P120" s="537">
        <f>COUNTIFS('1. ALL DATA'!$AA$5:$AA$116,"REGULATORY SERVICES",'1. ALL DATA'!$S$5:$S$116,"In danger of falling behind target")</f>
        <v>0</v>
      </c>
      <c r="Q120" s="535">
        <f>P120/P131</f>
        <v>0</v>
      </c>
      <c r="R120" s="535">
        <f>Q120</f>
        <v>0</v>
      </c>
      <c r="S120" s="535">
        <f>P120/P132</f>
        <v>0</v>
      </c>
      <c r="T120" s="522">
        <f>S120</f>
        <v>0</v>
      </c>
      <c r="V120" s="314" t="s">
        <v>85</v>
      </c>
      <c r="W120" s="291">
        <f>COUNTIFS('1. ALL DATA'!$AA$5:$AA$116,"REGULATORY SERVICES",'1. ALL DATA'!$W$5:$W$116,"Numerical Outturn Within 10% Tolerance")</f>
        <v>0</v>
      </c>
      <c r="X120" s="154">
        <f t="shared" si="4"/>
        <v>0</v>
      </c>
      <c r="Y120" s="538">
        <f>SUM(X120:X123)</f>
        <v>0</v>
      </c>
      <c r="Z120" s="154">
        <f t="shared" si="5"/>
        <v>0</v>
      </c>
      <c r="AA120" s="522">
        <f>SUM(Z120:Z123)</f>
        <v>0</v>
      </c>
    </row>
    <row r="121" spans="1:27" ht="18.75" customHeight="1">
      <c r="A121" s="518"/>
      <c r="B121" s="537"/>
      <c r="C121" s="535"/>
      <c r="D121" s="535"/>
      <c r="E121" s="535"/>
      <c r="F121" s="522"/>
      <c r="H121" s="518"/>
      <c r="I121" s="537"/>
      <c r="J121" s="535"/>
      <c r="K121" s="535"/>
      <c r="L121" s="535"/>
      <c r="M121" s="522"/>
      <c r="O121" s="518"/>
      <c r="P121" s="537"/>
      <c r="Q121" s="535"/>
      <c r="R121" s="535"/>
      <c r="S121" s="535"/>
      <c r="T121" s="522"/>
      <c r="V121" s="314" t="s">
        <v>86</v>
      </c>
      <c r="W121" s="291">
        <f>COUNTIFS('1. ALL DATA'!$AA$5:$AA$116,"REGULATORY SERVICES",'1. ALL DATA'!$W$5:$W$116,"Target Partially Met")</f>
        <v>0</v>
      </c>
      <c r="X121" s="154">
        <f t="shared" si="4"/>
        <v>0</v>
      </c>
      <c r="Y121" s="539"/>
      <c r="Z121" s="154">
        <f t="shared" si="5"/>
        <v>0</v>
      </c>
      <c r="AA121" s="522"/>
    </row>
    <row r="122" spans="1:27" ht="20.25" customHeight="1">
      <c r="A122" s="518"/>
      <c r="B122" s="537"/>
      <c r="C122" s="535"/>
      <c r="D122" s="535"/>
      <c r="E122" s="535"/>
      <c r="F122" s="522"/>
      <c r="H122" s="518"/>
      <c r="I122" s="537"/>
      <c r="J122" s="535"/>
      <c r="K122" s="535"/>
      <c r="L122" s="535"/>
      <c r="M122" s="522"/>
      <c r="O122" s="518"/>
      <c r="P122" s="537"/>
      <c r="Q122" s="535"/>
      <c r="R122" s="535"/>
      <c r="S122" s="535"/>
      <c r="T122" s="522"/>
      <c r="V122" s="314" t="s">
        <v>88</v>
      </c>
      <c r="W122" s="291">
        <f>COUNTIFS('1. ALL DATA'!$AA$5:$AA$116,"REGULATORY SERVICES",'1. ALL DATA'!$W$5:$W$116,"Completion Date Within Reasonable Tolerance")</f>
        <v>0</v>
      </c>
      <c r="X122" s="154">
        <f t="shared" si="4"/>
        <v>0</v>
      </c>
      <c r="Y122" s="540"/>
      <c r="Z122" s="154">
        <f t="shared" si="5"/>
        <v>0</v>
      </c>
      <c r="AA122" s="522"/>
    </row>
    <row r="123" spans="1:27" ht="6" customHeight="1">
      <c r="A123" s="190"/>
      <c r="B123" s="54"/>
      <c r="C123" s="75"/>
      <c r="D123" s="75"/>
      <c r="E123" s="75"/>
      <c r="F123" s="192"/>
      <c r="H123" s="190"/>
      <c r="I123" s="54"/>
      <c r="J123" s="75"/>
      <c r="K123" s="75"/>
      <c r="L123" s="75"/>
      <c r="M123" s="192"/>
      <c r="O123" s="190"/>
      <c r="P123" s="54"/>
      <c r="Q123" s="75"/>
      <c r="R123" s="75"/>
      <c r="S123" s="75"/>
      <c r="T123" s="192"/>
      <c r="V123" s="193"/>
      <c r="W123" s="54"/>
      <c r="X123" s="154"/>
      <c r="Y123" s="75"/>
      <c r="Z123" s="154"/>
      <c r="AA123" s="192"/>
    </row>
    <row r="124" spans="1:27" ht="30" customHeight="1">
      <c r="A124" s="313" t="s">
        <v>44</v>
      </c>
      <c r="B124" s="73">
        <f>COUNTIFS('1. ALL DATA'!$AA$5:$AA$116,"REGULATORY SERVICES",'1. ALL DATA'!$I$5:$I$116,"Completed behind schedule")</f>
        <v>0</v>
      </c>
      <c r="C124" s="127">
        <f>B124/B131</f>
        <v>0</v>
      </c>
      <c r="D124" s="535">
        <f>C124+C125</f>
        <v>0</v>
      </c>
      <c r="E124" s="127">
        <f>B124/B132</f>
        <v>0</v>
      </c>
      <c r="F124" s="536">
        <f>E124+E125</f>
        <v>0</v>
      </c>
      <c r="H124" s="313" t="s">
        <v>44</v>
      </c>
      <c r="I124" s="73">
        <f>COUNTIFS('1. ALL DATA'!$AA$5:$AA$116,"REGULATORY SERVICES",'1. ALL DATA'!$N$5:$N$116,"Completed behind schedule")</f>
        <v>0</v>
      </c>
      <c r="J124" s="127">
        <f>I124/I131</f>
        <v>0</v>
      </c>
      <c r="K124" s="535">
        <f>J124+J125</f>
        <v>0</v>
      </c>
      <c r="L124" s="127">
        <f>I124/I132</f>
        <v>0</v>
      </c>
      <c r="M124" s="536">
        <f>L124+L125</f>
        <v>0</v>
      </c>
      <c r="O124" s="313" t="s">
        <v>44</v>
      </c>
      <c r="P124" s="73">
        <f>COUNTIFS('1. ALL DATA'!$AA$5:$AA$116,"REGULATORY SERVICES",'1. ALL DATA'!$S$5:$S$116,"Completed behind schedule")</f>
        <v>0</v>
      </c>
      <c r="Q124" s="127">
        <f>P124/P131</f>
        <v>0</v>
      </c>
      <c r="R124" s="535">
        <f>Q124+Q125</f>
        <v>0</v>
      </c>
      <c r="S124" s="127">
        <f>P124/P132</f>
        <v>0</v>
      </c>
      <c r="T124" s="536">
        <f>S124+S125</f>
        <v>0</v>
      </c>
      <c r="V124" s="313" t="s">
        <v>87</v>
      </c>
      <c r="W124" s="291">
        <f>COUNTIFS('1. ALL DATA'!$AA$5:$AA$116,"REGULATORY SERVICES",'1. ALL DATA'!$W$5:$W$116,"Completed Significantly After Target Deadline")</f>
        <v>0</v>
      </c>
      <c r="X124" s="154">
        <f t="shared" si="4"/>
        <v>0</v>
      </c>
      <c r="Y124" s="535">
        <f>X124+X125</f>
        <v>0</v>
      </c>
      <c r="Z124" s="154">
        <f t="shared" si="5"/>
        <v>0</v>
      </c>
      <c r="AA124" s="536">
        <f>Z124+Z125</f>
        <v>0</v>
      </c>
    </row>
    <row r="125" spans="1:27" ht="30" customHeight="1">
      <c r="A125" s="313" t="s">
        <v>28</v>
      </c>
      <c r="B125" s="73">
        <f>COUNTIFS('1. ALL DATA'!$AA$5:$AA$116,"REGULATORY SERVICES",'1. ALL DATA'!$I$5:$I$116,"Off target")</f>
        <v>0</v>
      </c>
      <c r="C125" s="127">
        <f>B125/B131</f>
        <v>0</v>
      </c>
      <c r="D125" s="535"/>
      <c r="E125" s="127">
        <f>B125/B132</f>
        <v>0</v>
      </c>
      <c r="F125" s="536"/>
      <c r="H125" s="313" t="s">
        <v>28</v>
      </c>
      <c r="I125" s="73">
        <f>COUNTIFS('1. ALL DATA'!$AA$5:$AA$116,"REGULATORY SERVICES",'1. ALL DATA'!$N$5:$N$116,"Off target")</f>
        <v>0</v>
      </c>
      <c r="J125" s="127">
        <f>I125/I131</f>
        <v>0</v>
      </c>
      <c r="K125" s="535"/>
      <c r="L125" s="127">
        <f>I125/I132</f>
        <v>0</v>
      </c>
      <c r="M125" s="536"/>
      <c r="O125" s="313" t="s">
        <v>28</v>
      </c>
      <c r="P125" s="73">
        <f>COUNTIFS('1. ALL DATA'!$AA$5:$AA$116,"REGULATORY SERVICES",'1. ALL DATA'!$S$5:$S$116,"Off target")</f>
        <v>0</v>
      </c>
      <c r="Q125" s="127">
        <f>P125/P131</f>
        <v>0</v>
      </c>
      <c r="R125" s="535"/>
      <c r="S125" s="127">
        <f>P125/P132</f>
        <v>0</v>
      </c>
      <c r="T125" s="536"/>
      <c r="V125" s="313" t="s">
        <v>28</v>
      </c>
      <c r="W125" s="291">
        <f>COUNTIFS('1. ALL DATA'!$AA$5:$AA$116,"REGULATORY SERVICES",'1. ALL DATA'!$W$5:$W$116,"Off Target")</f>
        <v>0</v>
      </c>
      <c r="X125" s="154">
        <f t="shared" si="4"/>
        <v>0</v>
      </c>
      <c r="Y125" s="535"/>
      <c r="Z125" s="154">
        <f t="shared" si="5"/>
        <v>0</v>
      </c>
      <c r="AA125" s="536"/>
    </row>
    <row r="126" spans="1:27" ht="5.25" customHeight="1">
      <c r="A126" s="54"/>
      <c r="B126" s="74"/>
      <c r="C126" s="75"/>
      <c r="D126" s="75"/>
      <c r="E126" s="75"/>
      <c r="F126" s="99"/>
      <c r="H126" s="54"/>
      <c r="I126" s="74"/>
      <c r="J126" s="75"/>
      <c r="K126" s="75"/>
      <c r="L126" s="75"/>
      <c r="M126" s="99"/>
      <c r="O126" s="54"/>
      <c r="P126" s="74"/>
      <c r="Q126" s="75"/>
      <c r="R126" s="75"/>
      <c r="S126" s="75"/>
      <c r="T126" s="99"/>
      <c r="V126" s="315"/>
      <c r="W126" s="58"/>
      <c r="X126" s="154"/>
      <c r="Y126" s="77"/>
      <c r="Z126" s="78"/>
      <c r="AA126" s="272"/>
    </row>
    <row r="127" spans="1:27" ht="15.75" customHeight="1">
      <c r="A127" s="49" t="s">
        <v>2</v>
      </c>
      <c r="B127" s="64">
        <f>COUNTIFS('1. ALL DATA'!$AA$5:$AA$116,"REGULATORY SERVICES",'1. ALL DATA'!$I$5:$I$116,"Not yet due")</f>
        <v>0</v>
      </c>
      <c r="C127" s="79">
        <f>B127/B131</f>
        <v>0</v>
      </c>
      <c r="D127" s="79">
        <f>C127</f>
        <v>0</v>
      </c>
      <c r="E127" s="80"/>
      <c r="F127" s="48"/>
      <c r="H127" s="49" t="s">
        <v>2</v>
      </c>
      <c r="I127" s="64">
        <f>COUNTIFS('1. ALL DATA'!$AA$5:$AA$116,"REGULATORY SERVICES",'1. ALL DATA'!$N$5:$N$116,"Not yet due")</f>
        <v>0</v>
      </c>
      <c r="J127" s="79">
        <f>I127/I131</f>
        <v>0</v>
      </c>
      <c r="K127" s="79">
        <f>J127</f>
        <v>0</v>
      </c>
      <c r="L127" s="80"/>
      <c r="M127" s="48"/>
      <c r="O127" s="49" t="s">
        <v>2</v>
      </c>
      <c r="P127" s="64">
        <f>COUNTIFS('1. ALL DATA'!$AA$5:$AA$116,"REGULATORY SERVICES",'1. ALL DATA'!$S$5:$S$116,"Not yet due")</f>
        <v>0</v>
      </c>
      <c r="Q127" s="79">
        <f>P127/P131</f>
        <v>0</v>
      </c>
      <c r="R127" s="79">
        <f>Q127</f>
        <v>0</v>
      </c>
      <c r="S127" s="80"/>
      <c r="T127" s="100"/>
      <c r="V127" s="64" t="s">
        <v>2</v>
      </c>
      <c r="W127" s="49">
        <f>COUNTIFS('1. ALL DATA'!$AA$5:$AA$116,"REGULATORY SERVICES",'1. ALL DATA'!$W$5:$W$116,"not yet due")</f>
        <v>0</v>
      </c>
      <c r="X127" s="154">
        <f t="shared" si="4"/>
        <v>0</v>
      </c>
      <c r="Y127" s="79">
        <f>X127</f>
        <v>0</v>
      </c>
      <c r="Z127" s="80"/>
      <c r="AA127" s="269"/>
    </row>
    <row r="128" spans="1:27" ht="15.75" customHeight="1">
      <c r="A128" s="49" t="s">
        <v>48</v>
      </c>
      <c r="B128" s="64">
        <f>COUNTIFS('1. ALL DATA'!$AA$5:$AA$116,"REGULATORY SERVICES",'1. ALL DATA'!$I$5:$I$116,"Update not provided")</f>
        <v>0</v>
      </c>
      <c r="C128" s="79">
        <f>B128/B131</f>
        <v>0</v>
      </c>
      <c r="D128" s="79">
        <f>C128</f>
        <v>0</v>
      </c>
      <c r="E128" s="80"/>
      <c r="F128" s="105"/>
      <c r="H128" s="49" t="s">
        <v>48</v>
      </c>
      <c r="I128" s="64">
        <f>COUNTIFS('1. ALL DATA'!$AA$5:$AA$116,"REGULATORY SERVICES",'1. ALL DATA'!$N$5:$N$116,"Update not provided")</f>
        <v>0</v>
      </c>
      <c r="J128" s="79">
        <f>I128/I131</f>
        <v>0</v>
      </c>
      <c r="K128" s="79">
        <f>J128</f>
        <v>0</v>
      </c>
      <c r="L128" s="80"/>
      <c r="M128" s="105"/>
      <c r="O128" s="49" t="s">
        <v>48</v>
      </c>
      <c r="P128" s="64">
        <f>COUNTIFS('1. ALL DATA'!$AA$5:$AA$116,"REGULATORY SERVICES",'1. ALL DATA'!$S$5:$S$116,"Update not provided")</f>
        <v>0</v>
      </c>
      <c r="Q128" s="79">
        <f>P128/P131</f>
        <v>0</v>
      </c>
      <c r="R128" s="79">
        <f>Q128</f>
        <v>0</v>
      </c>
      <c r="S128" s="80"/>
      <c r="T128" s="101"/>
      <c r="V128" s="66" t="s">
        <v>48</v>
      </c>
      <c r="W128" s="49">
        <f>COUNTIFS('1. ALL DATA'!$AA$5:$AA$116,"REGULATORY SERVICES",'1. ALL DATA'!$W$5:$W$116,"Update not provided")</f>
        <v>0</v>
      </c>
      <c r="X128" s="154">
        <f t="shared" si="4"/>
        <v>0</v>
      </c>
      <c r="Y128" s="79">
        <f>X128</f>
        <v>0</v>
      </c>
      <c r="Z128" s="80"/>
    </row>
    <row r="129" spans="1:27" ht="15.75" customHeight="1">
      <c r="A129" s="50" t="s">
        <v>23</v>
      </c>
      <c r="B129" s="64">
        <f>COUNTIFS('1. ALL DATA'!$AA$5:$AA$116,"REGULATORY SERVICES",'1. ALL DATA'!$I$5:$I$116,"Deferred")</f>
        <v>0</v>
      </c>
      <c r="C129" s="82">
        <f>B129/B131</f>
        <v>0</v>
      </c>
      <c r="D129" s="82">
        <f>C129</f>
        <v>0</v>
      </c>
      <c r="E129" s="81"/>
      <c r="F129" s="48"/>
      <c r="H129" s="50" t="s">
        <v>23</v>
      </c>
      <c r="I129" s="64">
        <f>COUNTIFS('1. ALL DATA'!$AA$5:$AA$116,"REGULATORY SERVICES",'1. ALL DATA'!$N$5:$N$116,"Deferred")</f>
        <v>0</v>
      </c>
      <c r="J129" s="82">
        <f>I129/I131</f>
        <v>0</v>
      </c>
      <c r="K129" s="82">
        <f>J129</f>
        <v>0</v>
      </c>
      <c r="L129" s="81"/>
      <c r="M129" s="48"/>
      <c r="O129" s="50" t="s">
        <v>23</v>
      </c>
      <c r="P129" s="64">
        <f>COUNTIFS('1. ALL DATA'!$AA$5:$AA$116,"REGULATORY SERVICES",'1. ALL DATA'!$S$5:$S$116,"Deferred")</f>
        <v>0</v>
      </c>
      <c r="Q129" s="82">
        <f>P129/P131</f>
        <v>0</v>
      </c>
      <c r="R129" s="82">
        <f>Q129</f>
        <v>0</v>
      </c>
      <c r="S129" s="81"/>
      <c r="T129" s="100"/>
      <c r="V129" s="50" t="s">
        <v>23</v>
      </c>
      <c r="W129" s="49">
        <f>COUNTIFS('1. ALL DATA'!$AA$5:$AA$116,"REGULATORY SERVICES",'1. ALL DATA'!$W$5:$W$116,"Deferred")</f>
        <v>0</v>
      </c>
      <c r="X129" s="154">
        <f t="shared" si="4"/>
        <v>0</v>
      </c>
      <c r="Y129" s="82">
        <f>X129</f>
        <v>0</v>
      </c>
      <c r="Z129" s="81"/>
      <c r="AA129" s="269"/>
    </row>
    <row r="130" spans="1:27" ht="15.75" customHeight="1">
      <c r="A130" s="50" t="s">
        <v>29</v>
      </c>
      <c r="B130" s="64">
        <f>COUNTIFS('1. ALL DATA'!$AA$5:$AA$116,"REGULATORY SERVICES",'1. ALL DATA'!$I$5:$I$116,"Deleted")</f>
        <v>0</v>
      </c>
      <c r="C130" s="82">
        <f>B130/B131</f>
        <v>0</v>
      </c>
      <c r="D130" s="82">
        <f>C130</f>
        <v>0</v>
      </c>
      <c r="E130" s="81"/>
      <c r="F130" s="98" t="s">
        <v>64</v>
      </c>
      <c r="H130" s="50" t="s">
        <v>29</v>
      </c>
      <c r="I130" s="64">
        <f>COUNTIFS('1. ALL DATA'!$AA$5:$AA$116,"REGULATORY SERVICES",'1. ALL DATA'!$N$5:$N$116,"Deleted")</f>
        <v>0</v>
      </c>
      <c r="J130" s="82">
        <f>I130/I131</f>
        <v>0</v>
      </c>
      <c r="K130" s="82">
        <f>J130</f>
        <v>0</v>
      </c>
      <c r="L130" s="81"/>
      <c r="M130" s="98" t="s">
        <v>64</v>
      </c>
      <c r="O130" s="50" t="s">
        <v>29</v>
      </c>
      <c r="P130" s="64">
        <f>COUNTIFS('1. ALL DATA'!$AA$5:$AA$116,"REGULATORY SERVICES",'1. ALL DATA'!$S$5:$S$116,"Deleted")</f>
        <v>0</v>
      </c>
      <c r="Q130" s="82">
        <f>P130/P131</f>
        <v>0</v>
      </c>
      <c r="R130" s="82">
        <f>Q130</f>
        <v>0</v>
      </c>
      <c r="S130" s="81"/>
      <c r="T130" s="98" t="s">
        <v>64</v>
      </c>
      <c r="V130" s="50" t="s">
        <v>29</v>
      </c>
      <c r="W130" s="49">
        <f>COUNTIFS('1. ALL DATA'!$AA$5:$AA$116,"REGULATORY SERVICES",'1. ALL DATA'!$W$5:$W$116,"Deleted")</f>
        <v>0</v>
      </c>
      <c r="X130" s="154">
        <f t="shared" si="4"/>
        <v>0</v>
      </c>
      <c r="Y130" s="82">
        <f>X130</f>
        <v>0</v>
      </c>
      <c r="Z130" s="81"/>
      <c r="AA130" s="98" t="s">
        <v>64</v>
      </c>
    </row>
    <row r="131" spans="1:27" ht="15.75" customHeight="1">
      <c r="A131" s="51" t="s">
        <v>31</v>
      </c>
      <c r="B131" s="83">
        <f>SUM(B117:B130)</f>
        <v>8</v>
      </c>
      <c r="C131" s="81"/>
      <c r="D131" s="81"/>
      <c r="E131" s="53"/>
      <c r="F131" s="48"/>
      <c r="H131" s="51" t="s">
        <v>31</v>
      </c>
      <c r="I131" s="83">
        <f>SUM(I117:I130)</f>
        <v>8</v>
      </c>
      <c r="J131" s="81"/>
      <c r="K131" s="81"/>
      <c r="L131" s="53"/>
      <c r="M131" s="48"/>
      <c r="O131" s="51" t="s">
        <v>31</v>
      </c>
      <c r="P131" s="83">
        <f>SUM(P117:P130)</f>
        <v>8</v>
      </c>
      <c r="Q131" s="81"/>
      <c r="R131" s="81"/>
      <c r="S131" s="53"/>
      <c r="T131" s="100"/>
      <c r="V131" s="51" t="s">
        <v>31</v>
      </c>
      <c r="W131" s="88">
        <f>SUM(W117:W130)</f>
        <v>8</v>
      </c>
      <c r="X131" s="81"/>
      <c r="Y131" s="81"/>
      <c r="Z131" s="53"/>
      <c r="AA131" s="269"/>
    </row>
    <row r="132" spans="1:27" ht="15.75" customHeight="1">
      <c r="A132" s="51" t="s">
        <v>32</v>
      </c>
      <c r="B132" s="83">
        <f>B131-B130-B129-B128-B127</f>
        <v>8</v>
      </c>
      <c r="C132" s="53"/>
      <c r="D132" s="53"/>
      <c r="E132" s="53"/>
      <c r="F132" s="48"/>
      <c r="H132" s="51" t="s">
        <v>32</v>
      </c>
      <c r="I132" s="83">
        <f>I131-I130-I129-I128-I127</f>
        <v>8</v>
      </c>
      <c r="J132" s="53"/>
      <c r="K132" s="53"/>
      <c r="L132" s="53"/>
      <c r="M132" s="48"/>
      <c r="O132" s="51" t="s">
        <v>32</v>
      </c>
      <c r="P132" s="83">
        <f>P131-P130-P129-P128-P127</f>
        <v>8</v>
      </c>
      <c r="Q132" s="53"/>
      <c r="R132" s="53"/>
      <c r="S132" s="53"/>
      <c r="T132" s="100"/>
      <c r="V132" s="51" t="s">
        <v>32</v>
      </c>
      <c r="W132" s="88">
        <f>W131-W130-W129-W128-W127</f>
        <v>8</v>
      </c>
      <c r="X132" s="53"/>
      <c r="Y132" s="53"/>
      <c r="Z132" s="53"/>
      <c r="AA132" s="269"/>
    </row>
  </sheetData>
  <mergeCells count="216">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89"/>
  <sheetViews>
    <sheetView topLeftCell="A40" zoomScale="70" zoomScaleNormal="70" workbookViewId="0">
      <selection activeCell="AZ7" sqref="AZ7"/>
    </sheetView>
  </sheetViews>
  <sheetFormatPr defaultColWidth="9.140625" defaultRowHeight="15"/>
  <cols>
    <col min="1" max="1" width="3.42578125" style="240" customWidth="1"/>
    <col min="2" max="9" width="9.140625" style="240"/>
    <col min="10" max="10" width="3.42578125" style="240" customWidth="1"/>
    <col min="11" max="11" width="9.140625" style="241"/>
    <col min="12" max="18" width="9.140625" style="240"/>
    <col min="19" max="19" width="3.42578125" style="240" customWidth="1"/>
    <col min="20" max="27" width="9.140625" style="240" customWidth="1"/>
    <col min="28" max="28" width="3.42578125" style="240" customWidth="1"/>
    <col min="29" max="36" width="9.140625" style="240" customWidth="1"/>
    <col min="37" max="37" width="3.42578125" style="240" customWidth="1"/>
    <col min="38" max="47" width="9.140625" style="240" customWidth="1"/>
    <col min="48" max="51" width="9.140625" style="240"/>
    <col min="52" max="55" width="10" style="240" customWidth="1"/>
    <col min="56" max="16384" width="9.140625" style="240"/>
  </cols>
  <sheetData>
    <row r="1" spans="2:56" s="239" customFormat="1" ht="35.25" customHeight="1" thickTop="1">
      <c r="B1" s="239" t="s">
        <v>40</v>
      </c>
      <c r="K1" s="526" t="s">
        <v>264</v>
      </c>
      <c r="L1" s="527"/>
      <c r="M1" s="527"/>
      <c r="N1" s="527"/>
      <c r="O1" s="527"/>
      <c r="P1" s="527"/>
      <c r="Q1" s="527"/>
      <c r="R1" s="527"/>
      <c r="S1" s="527"/>
      <c r="T1" s="527"/>
      <c r="U1" s="527"/>
      <c r="V1" s="527"/>
      <c r="W1" s="527"/>
      <c r="X1" s="528"/>
    </row>
    <row r="2" spans="2:56" s="239" customFormat="1" ht="35.25">
      <c r="K2" s="529"/>
      <c r="L2" s="530"/>
      <c r="M2" s="530"/>
      <c r="N2" s="530"/>
      <c r="O2" s="530"/>
      <c r="P2" s="530"/>
      <c r="Q2" s="530"/>
      <c r="R2" s="530"/>
      <c r="S2" s="530"/>
      <c r="T2" s="530"/>
      <c r="U2" s="530"/>
      <c r="V2" s="530"/>
      <c r="W2" s="530"/>
      <c r="X2" s="531"/>
    </row>
    <row r="3" spans="2:56" s="239" customFormat="1" ht="36" thickBot="1">
      <c r="K3" s="532"/>
      <c r="L3" s="533"/>
      <c r="M3" s="533"/>
      <c r="N3" s="533"/>
      <c r="O3" s="533"/>
      <c r="P3" s="533"/>
      <c r="Q3" s="533"/>
      <c r="R3" s="533"/>
      <c r="S3" s="533"/>
      <c r="T3" s="533"/>
      <c r="U3" s="533"/>
      <c r="V3" s="533"/>
      <c r="W3" s="533"/>
      <c r="X3" s="534"/>
    </row>
    <row r="4" spans="2:56" ht="15.75" thickTop="1">
      <c r="N4" s="242" t="s">
        <v>64</v>
      </c>
      <c r="W4" s="242" t="s">
        <v>64</v>
      </c>
      <c r="AF4" s="242" t="s">
        <v>64</v>
      </c>
      <c r="AO4" s="242" t="s">
        <v>64</v>
      </c>
    </row>
    <row r="5" spans="2:56">
      <c r="AY5" s="243" t="s">
        <v>78</v>
      </c>
      <c r="AZ5" s="241"/>
      <c r="BA5" s="241"/>
      <c r="BB5" s="241"/>
      <c r="BC5" s="241"/>
      <c r="BD5" s="241"/>
    </row>
    <row r="6" spans="2:56">
      <c r="AY6" s="244"/>
      <c r="AZ6" s="245" t="s">
        <v>35</v>
      </c>
      <c r="BA6" s="245" t="s">
        <v>36</v>
      </c>
      <c r="BB6" s="245" t="s">
        <v>37</v>
      </c>
      <c r="BC6" s="245" t="s">
        <v>38</v>
      </c>
      <c r="BD6" s="241"/>
    </row>
    <row r="7" spans="2:56">
      <c r="AY7" s="246" t="s">
        <v>20</v>
      </c>
      <c r="AZ7" s="247">
        <f>'5. % BY PORTFOLIO'!F6</f>
        <v>1</v>
      </c>
      <c r="BA7" s="247">
        <f>'5. % BY PORTFOLIO'!M6</f>
        <v>1</v>
      </c>
      <c r="BB7" s="247">
        <f>'5. % BY PORTFOLIO'!T6</f>
        <v>0.92592592592592582</v>
      </c>
      <c r="BC7" s="247">
        <f>'5. % BY PORTFOLIO'!AA6</f>
        <v>0.92857142857142849</v>
      </c>
      <c r="BD7" s="241"/>
    </row>
    <row r="8" spans="2:56">
      <c r="L8" s="248"/>
      <c r="M8" s="248"/>
      <c r="AY8" s="246" t="s">
        <v>21</v>
      </c>
      <c r="AZ8" s="247">
        <f>'5. % BY PORTFOLIO'!F9</f>
        <v>0</v>
      </c>
      <c r="BA8" s="247">
        <f>'5. % BY PORTFOLIO'!M9</f>
        <v>0</v>
      </c>
      <c r="BB8" s="247">
        <f>'5. % BY PORTFOLIO'!T9</f>
        <v>7.407407407407407E-2</v>
      </c>
      <c r="BC8" s="247">
        <f>'5. % BY PORTFOLIO'!AA9</f>
        <v>3.5714285714285712E-2</v>
      </c>
      <c r="BD8" s="241"/>
    </row>
    <row r="9" spans="2:56">
      <c r="L9" s="248"/>
      <c r="M9" s="248"/>
      <c r="AY9" s="246" t="s">
        <v>22</v>
      </c>
      <c r="AZ9" s="247">
        <f>'5. % BY PORTFOLIO'!F13</f>
        <v>0</v>
      </c>
      <c r="BA9" s="247">
        <f>'5. % BY PORTFOLIO'!M13</f>
        <v>0</v>
      </c>
      <c r="BB9" s="247">
        <f>'5. % BY PORTFOLIO'!T13</f>
        <v>0</v>
      </c>
      <c r="BC9" s="247">
        <f>'5. % BY PORTFOLIO'!AA13</f>
        <v>3.5714285714285712E-2</v>
      </c>
      <c r="BD9" s="241"/>
    </row>
    <row r="10" spans="2:56">
      <c r="L10" s="248"/>
      <c r="M10" s="248"/>
      <c r="AY10" s="244"/>
      <c r="AZ10" s="249"/>
      <c r="BA10" s="249"/>
      <c r="BB10" s="249"/>
      <c r="BC10" s="249"/>
      <c r="BD10" s="241"/>
    </row>
    <row r="11" spans="2:56">
      <c r="AY11" s="250"/>
      <c r="AZ11" s="248"/>
      <c r="BA11" s="248"/>
      <c r="BB11" s="248"/>
      <c r="BC11" s="248"/>
      <c r="BD11" s="241"/>
    </row>
    <row r="12" spans="2:56">
      <c r="AY12" s="250"/>
      <c r="AZ12" s="248"/>
      <c r="BA12" s="248"/>
      <c r="BB12" s="248"/>
      <c r="BC12" s="248"/>
      <c r="BD12" s="241"/>
    </row>
    <row r="13" spans="2:56">
      <c r="AY13" s="250"/>
      <c r="AZ13" s="248"/>
      <c r="BA13" s="248"/>
      <c r="BB13" s="248"/>
      <c r="BC13" s="248"/>
      <c r="BD13" s="241"/>
    </row>
    <row r="14" spans="2:56">
      <c r="AY14" s="241"/>
      <c r="AZ14" s="241"/>
      <c r="BA14" s="241"/>
      <c r="BB14" s="241"/>
      <c r="BC14" s="241"/>
      <c r="BD14" s="241"/>
    </row>
    <row r="15" spans="2:56">
      <c r="AY15" s="241"/>
      <c r="AZ15" s="241"/>
      <c r="BA15" s="241"/>
      <c r="BB15" s="241"/>
      <c r="BC15" s="241"/>
      <c r="BD15" s="241"/>
    </row>
    <row r="16" spans="2:56">
      <c r="AY16" s="241"/>
      <c r="AZ16" s="241"/>
      <c r="BA16" s="241"/>
      <c r="BB16" s="241"/>
      <c r="BC16" s="241"/>
      <c r="BD16" s="241"/>
    </row>
    <row r="17" spans="12:56">
      <c r="AY17" s="241"/>
      <c r="AZ17" s="241"/>
      <c r="BA17" s="241"/>
      <c r="BB17" s="241"/>
      <c r="BC17" s="241"/>
      <c r="BD17" s="241"/>
    </row>
    <row r="18" spans="12:56">
      <c r="AY18" s="241"/>
      <c r="AZ18" s="241"/>
      <c r="BA18" s="241"/>
      <c r="BB18" s="241"/>
      <c r="BC18" s="241"/>
      <c r="BD18" s="241"/>
    </row>
    <row r="19" spans="12:56">
      <c r="AY19" s="241"/>
      <c r="AZ19" s="241"/>
      <c r="BA19" s="241"/>
      <c r="BB19" s="241"/>
      <c r="BC19" s="241"/>
      <c r="BD19" s="241"/>
    </row>
    <row r="20" spans="12:56">
      <c r="N20" s="242" t="s">
        <v>64</v>
      </c>
      <c r="W20" s="242" t="s">
        <v>64</v>
      </c>
      <c r="AF20" s="242" t="s">
        <v>64</v>
      </c>
      <c r="AO20" s="242" t="s">
        <v>64</v>
      </c>
      <c r="AY20" s="241"/>
      <c r="AZ20" s="241"/>
      <c r="BA20" s="241"/>
      <c r="BB20" s="241"/>
      <c r="BC20" s="241"/>
      <c r="BD20" s="241"/>
    </row>
    <row r="21" spans="12:56">
      <c r="AY21" s="243" t="s">
        <v>99</v>
      </c>
      <c r="AZ21" s="241"/>
      <c r="BA21" s="241"/>
      <c r="BB21" s="241"/>
      <c r="BC21" s="241"/>
      <c r="BD21" s="241"/>
    </row>
    <row r="22" spans="12:56">
      <c r="AY22" s="244"/>
      <c r="AZ22" s="245" t="s">
        <v>35</v>
      </c>
      <c r="BA22" s="245" t="s">
        <v>36</v>
      </c>
      <c r="BB22" s="245" t="s">
        <v>37</v>
      </c>
      <c r="BC22" s="245" t="s">
        <v>38</v>
      </c>
      <c r="BD22" s="241"/>
    </row>
    <row r="23" spans="12:56">
      <c r="AY23" s="246" t="s">
        <v>20</v>
      </c>
      <c r="AZ23" s="247">
        <f>'5. % BY PORTFOLIO'!F29</f>
        <v>1</v>
      </c>
      <c r="BA23" s="247">
        <f>'5. % BY PORTFOLIO'!M29</f>
        <v>1</v>
      </c>
      <c r="BB23" s="247">
        <f>'5. % BY PORTFOLIO'!T29</f>
        <v>0.95652173913043481</v>
      </c>
      <c r="BC23" s="247">
        <f>'5. % BY PORTFOLIO'!AA29</f>
        <v>0.95833333333333337</v>
      </c>
      <c r="BD23" s="241"/>
    </row>
    <row r="24" spans="12:56">
      <c r="L24" s="248"/>
      <c r="M24" s="248"/>
      <c r="AY24" s="246" t="s">
        <v>21</v>
      </c>
      <c r="AZ24" s="247">
        <f>'5. % BY PORTFOLIO'!F32</f>
        <v>0</v>
      </c>
      <c r="BA24" s="247">
        <f>'5. % BY PORTFOLIO'!M32</f>
        <v>0</v>
      </c>
      <c r="BB24" s="247">
        <f>'5. % BY PORTFOLIO'!T32</f>
        <v>4.3478260869565216E-2</v>
      </c>
      <c r="BC24" s="247">
        <f>'5. % BY PORTFOLIO'!AA32</f>
        <v>4.1666666666666664E-2</v>
      </c>
      <c r="BD24" s="241"/>
    </row>
    <row r="25" spans="12:56">
      <c r="L25" s="248"/>
      <c r="M25" s="248"/>
      <c r="AY25" s="246" t="s">
        <v>22</v>
      </c>
      <c r="AZ25" s="247">
        <f>'5. % BY PORTFOLIO'!F36</f>
        <v>0</v>
      </c>
      <c r="BA25" s="247">
        <f>'5. % BY PORTFOLIO'!M36</f>
        <v>0</v>
      </c>
      <c r="BB25" s="247">
        <f>'5. % BY PORTFOLIO'!T36</f>
        <v>0</v>
      </c>
      <c r="BC25" s="247">
        <f>'5. % BY PORTFOLIO'!AA36</f>
        <v>0</v>
      </c>
      <c r="BD25" s="241"/>
    </row>
    <row r="26" spans="12:56">
      <c r="L26" s="248"/>
      <c r="M26" s="248"/>
      <c r="AY26" s="241"/>
      <c r="AZ26" s="241"/>
      <c r="BA26" s="241"/>
      <c r="BB26" s="241"/>
      <c r="BC26" s="241"/>
      <c r="BD26" s="241"/>
    </row>
    <row r="27" spans="12:56">
      <c r="AY27" s="250"/>
      <c r="AZ27" s="241"/>
      <c r="BA27" s="241"/>
      <c r="BB27" s="241"/>
      <c r="BC27" s="241"/>
      <c r="BD27" s="241"/>
    </row>
    <row r="28" spans="12:56">
      <c r="AY28" s="250"/>
      <c r="AZ28" s="241"/>
      <c r="BA28" s="241"/>
      <c r="BB28" s="241"/>
      <c r="BC28" s="241"/>
      <c r="BD28" s="241"/>
    </row>
    <row r="29" spans="12:56">
      <c r="AY29" s="250"/>
      <c r="AZ29" s="241"/>
      <c r="BA29" s="241"/>
      <c r="BB29" s="241"/>
      <c r="BC29" s="241"/>
      <c r="BD29" s="241"/>
    </row>
    <row r="30" spans="12:56">
      <c r="AY30" s="241"/>
      <c r="AZ30" s="241"/>
      <c r="BA30" s="241"/>
      <c r="BB30" s="241"/>
      <c r="BC30" s="241"/>
      <c r="BD30" s="241"/>
    </row>
    <row r="31" spans="12:56">
      <c r="AY31" s="241"/>
      <c r="AZ31" s="241"/>
      <c r="BA31" s="241"/>
      <c r="BB31" s="241"/>
      <c r="BC31" s="241"/>
      <c r="BD31" s="241"/>
    </row>
    <row r="32" spans="12:56">
      <c r="AY32" s="241"/>
      <c r="AZ32" s="241"/>
      <c r="BA32" s="241"/>
      <c r="BB32" s="241"/>
      <c r="BC32" s="241"/>
      <c r="BD32" s="241"/>
    </row>
    <row r="33" spans="11:56">
      <c r="AY33" s="241"/>
      <c r="AZ33" s="241"/>
      <c r="BA33" s="241"/>
      <c r="BB33" s="241"/>
      <c r="BC33" s="241"/>
      <c r="BD33" s="241"/>
    </row>
    <row r="34" spans="11:56">
      <c r="AY34" s="241"/>
      <c r="AZ34" s="241"/>
      <c r="BA34" s="241"/>
      <c r="BB34" s="241"/>
      <c r="BC34" s="241"/>
      <c r="BD34" s="241"/>
    </row>
    <row r="35" spans="11:56">
      <c r="AY35" s="241"/>
      <c r="AZ35" s="241"/>
      <c r="BA35" s="241"/>
      <c r="BB35" s="241"/>
      <c r="BC35" s="241"/>
      <c r="BD35" s="241"/>
    </row>
    <row r="36" spans="11:56">
      <c r="N36" s="242" t="s">
        <v>64</v>
      </c>
      <c r="W36" s="242" t="s">
        <v>64</v>
      </c>
      <c r="AF36" s="242" t="s">
        <v>64</v>
      </c>
      <c r="AO36" s="242" t="s">
        <v>64</v>
      </c>
      <c r="AY36" s="241"/>
      <c r="AZ36" s="241"/>
      <c r="BA36" s="241"/>
      <c r="BB36" s="241"/>
      <c r="BC36" s="241"/>
      <c r="BD36" s="241"/>
    </row>
    <row r="37" spans="11:56">
      <c r="AY37" s="243" t="s">
        <v>253</v>
      </c>
      <c r="AZ37" s="251"/>
      <c r="BA37" s="251"/>
      <c r="BB37" s="251"/>
      <c r="BC37" s="251"/>
      <c r="BD37" s="251"/>
    </row>
    <row r="38" spans="11:56">
      <c r="AY38" s="252"/>
      <c r="AZ38" s="245" t="s">
        <v>35</v>
      </c>
      <c r="BA38" s="245" t="s">
        <v>36</v>
      </c>
      <c r="BB38" s="245" t="s">
        <v>37</v>
      </c>
      <c r="BC38" s="245" t="s">
        <v>38</v>
      </c>
      <c r="BD38" s="251"/>
    </row>
    <row r="39" spans="11:56">
      <c r="AY39" s="246" t="s">
        <v>20</v>
      </c>
      <c r="AZ39" s="247">
        <f>'5. % BY PORTFOLIO'!F51</f>
        <v>0.9375</v>
      </c>
      <c r="BA39" s="247">
        <f>'5. % BY PORTFOLIO'!M51</f>
        <v>0.95000000000000007</v>
      </c>
      <c r="BB39" s="247">
        <f>'5. % BY PORTFOLIO'!T51</f>
        <v>0.95238095238095233</v>
      </c>
      <c r="BC39" s="247">
        <f>'5. % BY PORTFOLIO'!AA51</f>
        <v>0.95238095238095233</v>
      </c>
      <c r="BD39" s="251"/>
    </row>
    <row r="40" spans="11:56">
      <c r="K40" s="248"/>
      <c r="L40" s="248"/>
      <c r="AY40" s="246" t="s">
        <v>21</v>
      </c>
      <c r="AZ40" s="247">
        <f>'5. % BY PORTFOLIO'!F54</f>
        <v>6.25E-2</v>
      </c>
      <c r="BA40" s="247">
        <f>'5. % BY PORTFOLIO'!M54</f>
        <v>0.05</v>
      </c>
      <c r="BB40" s="247">
        <f>'5. % BY PORTFOLIO'!T54</f>
        <v>4.7619047619047616E-2</v>
      </c>
      <c r="BC40" s="247">
        <f>'5. % BY PORTFOLIO'!AA54</f>
        <v>4.7619047619047616E-2</v>
      </c>
      <c r="BD40" s="251"/>
    </row>
    <row r="41" spans="11:56">
      <c r="K41" s="248"/>
      <c r="L41" s="248"/>
      <c r="AY41" s="246" t="s">
        <v>22</v>
      </c>
      <c r="AZ41" s="247">
        <f>'5. % BY PORTFOLIO'!F58</f>
        <v>0</v>
      </c>
      <c r="BA41" s="247">
        <f>'5. % BY PORTFOLIO'!M58</f>
        <v>0</v>
      </c>
      <c r="BB41" s="247">
        <f>'5. % BY PORTFOLIO'!T58</f>
        <v>0</v>
      </c>
      <c r="BC41" s="247">
        <f>'5. % BY PORTFOLIO'!AA58</f>
        <v>0</v>
      </c>
      <c r="BD41" s="251"/>
    </row>
    <row r="42" spans="11:56">
      <c r="K42" s="248"/>
      <c r="L42" s="248"/>
      <c r="AY42" s="241"/>
      <c r="AZ42" s="241"/>
      <c r="BA42" s="241"/>
      <c r="BB42" s="241"/>
      <c r="BC42" s="241"/>
      <c r="BD42" s="241"/>
    </row>
    <row r="43" spans="11:56">
      <c r="AY43" s="250"/>
      <c r="AZ43" s="241"/>
      <c r="BA43" s="241"/>
      <c r="BB43" s="241"/>
      <c r="BC43" s="241"/>
      <c r="BD43" s="241"/>
    </row>
    <row r="44" spans="11:56">
      <c r="AY44" s="250"/>
      <c r="AZ44" s="241"/>
      <c r="BA44" s="241"/>
      <c r="BB44" s="241"/>
      <c r="BC44" s="241"/>
      <c r="BD44" s="241"/>
    </row>
    <row r="45" spans="11:56">
      <c r="AY45" s="250"/>
      <c r="AZ45" s="241"/>
      <c r="BA45" s="241"/>
      <c r="BB45" s="241"/>
      <c r="BC45" s="241"/>
      <c r="BD45" s="241"/>
    </row>
    <row r="46" spans="11:56">
      <c r="AY46" s="241"/>
      <c r="AZ46" s="241"/>
      <c r="BA46" s="241"/>
      <c r="BB46" s="241"/>
      <c r="BC46" s="241"/>
      <c r="BD46" s="241"/>
    </row>
    <row r="47" spans="11:56">
      <c r="AY47" s="241"/>
      <c r="AZ47" s="241"/>
      <c r="BA47" s="241"/>
      <c r="BB47" s="241"/>
      <c r="BC47" s="241"/>
      <c r="BD47" s="241"/>
    </row>
    <row r="48" spans="11:56">
      <c r="AY48" s="241"/>
      <c r="AZ48" s="241"/>
      <c r="BA48" s="241"/>
      <c r="BB48" s="241"/>
      <c r="BC48" s="241"/>
      <c r="BD48" s="241"/>
    </row>
    <row r="49" spans="12:56">
      <c r="AY49" s="241"/>
      <c r="AZ49" s="241"/>
      <c r="BA49" s="241"/>
      <c r="BB49" s="241"/>
      <c r="BC49" s="241"/>
      <c r="BD49" s="241"/>
    </row>
    <row r="50" spans="12:56">
      <c r="AY50" s="241"/>
      <c r="AZ50" s="241"/>
      <c r="BA50" s="241"/>
      <c r="BB50" s="241"/>
      <c r="BC50" s="241"/>
      <c r="BD50" s="241"/>
    </row>
    <row r="51" spans="12:56">
      <c r="AY51" s="241"/>
      <c r="AZ51" s="241"/>
      <c r="BA51" s="241"/>
      <c r="BB51" s="241"/>
      <c r="BC51" s="241"/>
      <c r="BD51" s="241"/>
    </row>
    <row r="52" spans="12:56">
      <c r="N52" s="242" t="s">
        <v>64</v>
      </c>
      <c r="W52" s="242" t="s">
        <v>64</v>
      </c>
      <c r="AF52" s="242" t="s">
        <v>64</v>
      </c>
      <c r="AO52" s="242" t="s">
        <v>64</v>
      </c>
      <c r="AY52" s="241"/>
      <c r="AZ52" s="241"/>
      <c r="BA52" s="241"/>
      <c r="BB52" s="241"/>
      <c r="BC52" s="241"/>
      <c r="BD52" s="241"/>
    </row>
    <row r="53" spans="12:56">
      <c r="AY53" s="243" t="s">
        <v>464</v>
      </c>
      <c r="AZ53" s="251"/>
      <c r="BA53" s="251"/>
      <c r="BB53" s="251"/>
      <c r="BC53" s="251"/>
      <c r="BD53" s="241"/>
    </row>
    <row r="54" spans="12:56">
      <c r="AY54" s="252"/>
      <c r="AZ54" s="245" t="s">
        <v>35</v>
      </c>
      <c r="BA54" s="245" t="s">
        <v>36</v>
      </c>
      <c r="BB54" s="245" t="s">
        <v>37</v>
      </c>
      <c r="BC54" s="245" t="s">
        <v>38</v>
      </c>
      <c r="BD54" s="241"/>
    </row>
    <row r="55" spans="12:56">
      <c r="AY55" s="246" t="s">
        <v>20</v>
      </c>
      <c r="AZ55" s="247">
        <f>'5. % BY PORTFOLIO'!F73</f>
        <v>1</v>
      </c>
      <c r="BA55" s="247">
        <f>'5. % BY PORTFOLIO'!M73</f>
        <v>1</v>
      </c>
      <c r="BB55" s="247">
        <f>'5. % BY PORTFOLIO'!T73</f>
        <v>0.8571428571428571</v>
      </c>
      <c r="BC55" s="247">
        <f>'5. % BY PORTFOLIO'!AA73</f>
        <v>0.875</v>
      </c>
      <c r="BD55" s="241"/>
    </row>
    <row r="56" spans="12:56">
      <c r="L56" s="248"/>
      <c r="M56" s="248"/>
      <c r="AY56" s="246" t="s">
        <v>21</v>
      </c>
      <c r="AZ56" s="247">
        <f>'5. % BY PORTFOLIO'!F76</f>
        <v>0</v>
      </c>
      <c r="BA56" s="247">
        <f>'5. % BY PORTFOLIO'!M76</f>
        <v>0</v>
      </c>
      <c r="BB56" s="247">
        <f>'5. % BY PORTFOLIO'!T76</f>
        <v>0.14285714285714285</v>
      </c>
      <c r="BC56" s="247">
        <f>'5. % BY PORTFOLIO'!AA76</f>
        <v>0.125</v>
      </c>
      <c r="BD56" s="241"/>
    </row>
    <row r="57" spans="12:56">
      <c r="L57" s="248"/>
      <c r="M57" s="248"/>
      <c r="AY57" s="246" t="s">
        <v>22</v>
      </c>
      <c r="AZ57" s="247">
        <f>'5. % BY PORTFOLIO'!F80</f>
        <v>0</v>
      </c>
      <c r="BA57" s="247">
        <f>'5. % BY PORTFOLIO'!M80</f>
        <v>0</v>
      </c>
      <c r="BB57" s="247">
        <f>'5. % BY PORTFOLIO'!T80</f>
        <v>0</v>
      </c>
      <c r="BC57" s="247">
        <f>'5. % BY PORTFOLIO'!AA80</f>
        <v>0</v>
      </c>
      <c r="BD57" s="241"/>
    </row>
    <row r="58" spans="12:56">
      <c r="L58" s="248"/>
      <c r="M58" s="248"/>
      <c r="AY58" s="241"/>
      <c r="AZ58" s="241"/>
      <c r="BA58" s="241"/>
      <c r="BB58" s="241"/>
      <c r="BC58" s="241"/>
      <c r="BD58" s="241"/>
    </row>
    <row r="59" spans="12:56">
      <c r="AY59" s="250"/>
      <c r="AZ59" s="241"/>
      <c r="BA59" s="241"/>
      <c r="BB59" s="241"/>
      <c r="BC59" s="241"/>
      <c r="BD59" s="241"/>
    </row>
    <row r="60" spans="12:56">
      <c r="AY60" s="250"/>
      <c r="AZ60" s="241"/>
      <c r="BA60" s="241"/>
      <c r="BB60" s="241"/>
      <c r="BC60" s="241"/>
      <c r="BD60" s="241"/>
    </row>
    <row r="61" spans="12:56">
      <c r="AY61" s="250"/>
      <c r="AZ61" s="241"/>
      <c r="BA61" s="241"/>
      <c r="BB61" s="241"/>
      <c r="BC61" s="241"/>
      <c r="BD61" s="241"/>
    </row>
    <row r="62" spans="12:56">
      <c r="AY62" s="241"/>
      <c r="AZ62" s="241"/>
      <c r="BA62" s="241"/>
      <c r="BB62" s="241"/>
      <c r="BC62" s="241"/>
      <c r="BD62" s="241"/>
    </row>
    <row r="63" spans="12:56">
      <c r="AY63" s="241"/>
      <c r="AZ63" s="241"/>
      <c r="BA63" s="241"/>
      <c r="BB63" s="241"/>
      <c r="BC63" s="241"/>
      <c r="BD63" s="241"/>
    </row>
    <row r="64" spans="12:56">
      <c r="AY64" s="241"/>
      <c r="AZ64" s="241"/>
      <c r="BA64" s="241"/>
      <c r="BB64" s="241"/>
      <c r="BC64" s="241"/>
      <c r="BD64" s="241"/>
    </row>
    <row r="65" spans="14:56">
      <c r="AY65" s="241"/>
      <c r="AZ65" s="241"/>
      <c r="BA65" s="241"/>
      <c r="BB65" s="241"/>
      <c r="BC65" s="241"/>
      <c r="BD65" s="241"/>
    </row>
    <row r="66" spans="14:56">
      <c r="AY66" s="241"/>
      <c r="AZ66" s="241"/>
      <c r="BA66" s="241"/>
      <c r="BB66" s="241"/>
      <c r="BC66" s="241"/>
      <c r="BD66" s="241"/>
    </row>
    <row r="68" spans="14:56">
      <c r="N68" s="242" t="s">
        <v>64</v>
      </c>
      <c r="W68" s="242" t="s">
        <v>64</v>
      </c>
      <c r="AF68" s="242" t="s">
        <v>64</v>
      </c>
      <c r="AO68" s="242" t="s">
        <v>64</v>
      </c>
      <c r="AY68" s="241"/>
      <c r="AZ68" s="241"/>
      <c r="BA68" s="241"/>
      <c r="BB68" s="241"/>
      <c r="BC68" s="241"/>
      <c r="BD68" s="241"/>
    </row>
    <row r="69" spans="14:56">
      <c r="AY69" s="243" t="s">
        <v>254</v>
      </c>
      <c r="AZ69" s="251"/>
      <c r="BA69" s="251"/>
      <c r="BB69" s="251"/>
      <c r="BC69" s="251"/>
    </row>
    <row r="70" spans="14:56">
      <c r="AY70" s="252"/>
      <c r="AZ70" s="245" t="s">
        <v>35</v>
      </c>
      <c r="BA70" s="245" t="s">
        <v>36</v>
      </c>
      <c r="BB70" s="245" t="s">
        <v>37</v>
      </c>
      <c r="BC70" s="245" t="s">
        <v>38</v>
      </c>
    </row>
    <row r="71" spans="14:56">
      <c r="AY71" s="246" t="s">
        <v>20</v>
      </c>
      <c r="AZ71" s="247">
        <f>'5. % BY PORTFOLIO'!F95</f>
        <v>1</v>
      </c>
      <c r="BA71" s="247">
        <f>'5. % BY PORTFOLIO'!M95</f>
        <v>1</v>
      </c>
      <c r="BB71" s="247">
        <f>'5. % BY PORTFOLIO'!T95</f>
        <v>1</v>
      </c>
      <c r="BC71" s="247">
        <f>'5. % BY PORTFOLIO'!AA95</f>
        <v>1</v>
      </c>
    </row>
    <row r="72" spans="14:56">
      <c r="AY72" s="246" t="s">
        <v>21</v>
      </c>
      <c r="AZ72" s="247">
        <f>'5. % BY PORTFOLIO'!F98</f>
        <v>0</v>
      </c>
      <c r="BA72" s="247">
        <f>'5. % BY PORTFOLIO'!M98</f>
        <v>0</v>
      </c>
      <c r="BB72" s="247">
        <f>'5. % BY PORTFOLIO'!T98</f>
        <v>0</v>
      </c>
      <c r="BC72" s="247">
        <f>'5. % BY PORTFOLIO'!AA98</f>
        <v>0</v>
      </c>
    </row>
    <row r="73" spans="14:56">
      <c r="AY73" s="246" t="s">
        <v>22</v>
      </c>
      <c r="AZ73" s="247">
        <f>'5. % BY PORTFOLIO'!F102</f>
        <v>0</v>
      </c>
      <c r="BA73" s="247">
        <f>'5. % BY PORTFOLIO'!M102</f>
        <v>0</v>
      </c>
      <c r="BB73" s="247">
        <f>'5. % BY PORTFOLIO'!T102</f>
        <v>0</v>
      </c>
      <c r="BC73" s="247">
        <f>'5. % BY PORTFOLIO'!AA102</f>
        <v>0</v>
      </c>
    </row>
    <row r="84" spans="14:55">
      <c r="N84" s="242" t="s">
        <v>64</v>
      </c>
      <c r="W84" s="242" t="s">
        <v>64</v>
      </c>
      <c r="AF84" s="242" t="s">
        <v>64</v>
      </c>
      <c r="AO84" s="242" t="s">
        <v>64</v>
      </c>
    </row>
    <row r="85" spans="14:55">
      <c r="AY85" s="243" t="s">
        <v>39</v>
      </c>
      <c r="AZ85" s="251"/>
      <c r="BA85" s="251"/>
      <c r="BB85" s="251"/>
      <c r="BC85" s="251"/>
    </row>
    <row r="86" spans="14:55">
      <c r="AY86" s="252"/>
      <c r="AZ86" s="245" t="s">
        <v>35</v>
      </c>
      <c r="BA86" s="245" t="s">
        <v>36</v>
      </c>
      <c r="BB86" s="245" t="s">
        <v>37</v>
      </c>
      <c r="BC86" s="245" t="s">
        <v>38</v>
      </c>
    </row>
    <row r="87" spans="14:55">
      <c r="AY87" s="246" t="s">
        <v>20</v>
      </c>
      <c r="AZ87" s="247">
        <f>'5. % BY PORTFOLIO'!F117</f>
        <v>1</v>
      </c>
      <c r="BA87" s="247">
        <f>'5. % BY PORTFOLIO'!M117</f>
        <v>1</v>
      </c>
      <c r="BB87" s="247">
        <f>'5. % BY PORTFOLIO'!T117</f>
        <v>1</v>
      </c>
      <c r="BC87" s="247">
        <f>'5. % BY PORTFOLIO'!AA117</f>
        <v>1</v>
      </c>
    </row>
    <row r="88" spans="14:55">
      <c r="AY88" s="246" t="s">
        <v>21</v>
      </c>
      <c r="AZ88" s="247">
        <f>'5. % BY PORTFOLIO'!F120</f>
        <v>0</v>
      </c>
      <c r="BA88" s="247">
        <f>'5. % BY PORTFOLIO'!M120</f>
        <v>0</v>
      </c>
      <c r="BB88" s="247">
        <f>'5. % BY PORTFOLIO'!T120</f>
        <v>0</v>
      </c>
      <c r="BC88" s="247">
        <f>'5. % BY PORTFOLIO'!AA120</f>
        <v>0</v>
      </c>
    </row>
    <row r="89" spans="14:55">
      <c r="AY89" s="246" t="s">
        <v>22</v>
      </c>
      <c r="AZ89" s="247">
        <f>'5. % BY PORTFOLIO'!F124</f>
        <v>0</v>
      </c>
      <c r="BA89" s="247">
        <f>'5. % BY PORTFOLIO'!M124</f>
        <v>0</v>
      </c>
      <c r="BB89" s="247">
        <f>'5. % BY PORTFOLIO'!T124</f>
        <v>0</v>
      </c>
      <c r="BC89" s="247">
        <f>'5. % BY PORTFOLIO'!AA124</f>
        <v>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465</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PRIORITY'!C6+'3. % BY PRIORITY'!C7</f>
        <v>80</v>
      </c>
      <c r="D5" s="186">
        <f>'3. % BY PRIORITY'!G6</f>
        <v>0.98765432098765427</v>
      </c>
      <c r="E5" s="135">
        <f>'3. % BY PRIORITY'!C9</f>
        <v>1</v>
      </c>
      <c r="F5" s="131">
        <f>'3. % BY PRIORITY'!G9</f>
        <v>1.2345679012345678E-2</v>
      </c>
      <c r="G5" s="136">
        <f>'3. % BY PRIORITY'!C13+'3. % BY PRIORITY'!C14</f>
        <v>0</v>
      </c>
      <c r="H5" s="133">
        <f>'3. % BY PRIORITY'!G13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PRIORITY'!C28+'3. % BY PRIORITY'!C29</f>
        <v>37</v>
      </c>
      <c r="D7" s="186">
        <f>'3. % BY PRIORITY'!G28</f>
        <v>1</v>
      </c>
      <c r="E7" s="137">
        <f>'3. % BY PRIORITY'!C31</f>
        <v>0</v>
      </c>
      <c r="F7" s="131">
        <f>'3. % BY PRIORITY'!G31</f>
        <v>0</v>
      </c>
      <c r="G7" s="136">
        <f>'3. % BY PRIORITY'!C35+'3. % BY PRIORITY'!C36</f>
        <v>0</v>
      </c>
      <c r="H7" s="133">
        <f>'3. % BY PRIORITY'!G35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PRIORITY'!C50+'3. % BY PRIORITY'!C51</f>
        <v>21</v>
      </c>
      <c r="D8" s="186">
        <f>'3. % BY PRIORITY'!G50</f>
        <v>1</v>
      </c>
      <c r="E8" s="137">
        <f>'3. % BY PRIORITY'!C53</f>
        <v>0</v>
      </c>
      <c r="F8" s="131">
        <f>'3. % BY PRIORITY'!G53</f>
        <v>0</v>
      </c>
      <c r="G8" s="136">
        <f>'3. % BY PRIORITY'!C57+'3. % BY PRIORITY'!C58</f>
        <v>0</v>
      </c>
      <c r="H8" s="133">
        <f>'3. % BY PRIORITY'!G57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PRIORITY'!C72+'3. % BY PRIORITY'!C73</f>
        <v>22</v>
      </c>
      <c r="D9" s="186">
        <f>'3. % BY PRIORITY'!G72</f>
        <v>0.95652173913043481</v>
      </c>
      <c r="E9" s="137">
        <f>'3. % BY PRIORITY'!C75</f>
        <v>1</v>
      </c>
      <c r="F9" s="131">
        <f>'3. % BY PRIORITY'!G75</f>
        <v>4.3478260869565216E-2</v>
      </c>
      <c r="G9" s="136">
        <f>'3. % BY PRIORITY'!C79+'3. % BY PRIORITY'!C80</f>
        <v>0</v>
      </c>
      <c r="H9" s="133">
        <f>'3. % BY PRIORITY'!G79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PORTFOLIO'!B6+'5. % BY PORTFOLIO'!B7</f>
        <v>20</v>
      </c>
      <c r="D11" s="186">
        <f>'5. % BY PORTFOLIO'!F6</f>
        <v>1</v>
      </c>
      <c r="E11" s="137">
        <f>'5. % BY PORTFOLIO'!B9</f>
        <v>0</v>
      </c>
      <c r="F11" s="131">
        <f>'5. % BY PORTFOLIO'!F9:F11</f>
        <v>0</v>
      </c>
      <c r="G11" s="136">
        <f>'5. % BY PORTFOLIO'!B13+'5. % BY PORTFOLIO'!B14</f>
        <v>0</v>
      </c>
      <c r="H11" s="133">
        <f>'5. % BY PORTFOLIO'!F13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PORTFOLIO'!B29+'5. % BY PORTFOLIO'!B30</f>
        <v>17</v>
      </c>
      <c r="D12" s="186">
        <f>'5. % BY PORTFOLIO'!F29</f>
        <v>1</v>
      </c>
      <c r="E12" s="138">
        <f>'5. % BY PORTFOLIO'!B32</f>
        <v>0</v>
      </c>
      <c r="F12" s="131">
        <f>'5. % BY PORTFOLIO'!F32</f>
        <v>0</v>
      </c>
      <c r="G12" s="136">
        <f>'5. % BY PORTFOLIO'!B36+'5. % BY PORTFOLIO'!B37</f>
        <v>0</v>
      </c>
      <c r="H12" s="133">
        <f>'5. % BY PORTFOLIO'!F36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PORTFOLIO'!B51+'5. % BY PORTFOLIO'!B52</f>
        <v>15</v>
      </c>
      <c r="D13" s="186">
        <f>'5. % BY PORTFOLIO'!F51</f>
        <v>0.9375</v>
      </c>
      <c r="E13" s="138">
        <f>'5. % BY PORTFOLIO'!B54</f>
        <v>1</v>
      </c>
      <c r="F13" s="131">
        <f>'5. % BY PORTFOLIO'!F54</f>
        <v>6.25E-2</v>
      </c>
      <c r="G13" s="136">
        <f>'5. % BY PORTFOLIO'!B58+'5. % BY PORTFOLIO'!B59</f>
        <v>0</v>
      </c>
      <c r="H13" s="133">
        <f>'5. % BY PORTFOLIO'!F58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PORTFOLIO'!B73+'5. % BY PORTFOLIO'!B74</f>
        <v>3</v>
      </c>
      <c r="D14" s="186">
        <f>'5. % BY PORTFOLIO'!F73</f>
        <v>1</v>
      </c>
      <c r="E14" s="138">
        <f>'5. % BY PORTFOLIO'!B76</f>
        <v>0</v>
      </c>
      <c r="F14" s="131">
        <f>'5. % BY PORTFOLIO'!F76</f>
        <v>0</v>
      </c>
      <c r="G14" s="136">
        <f>'5. % BY PORTFOLIO'!B80+'5. % BY PORTFOLIO'!B81</f>
        <v>0</v>
      </c>
      <c r="H14" s="133">
        <f>'5. % BY PORTFOLIO'!F80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PORTFOLIO'!B95+'5. % BY PORTFOLIO'!B96</f>
        <v>17</v>
      </c>
      <c r="D15" s="186">
        <f>'5. % BY PORTFOLIO'!F95</f>
        <v>1</v>
      </c>
      <c r="E15" s="138">
        <f>'5. % BY PORTFOLIO'!B98</f>
        <v>0</v>
      </c>
      <c r="F15" s="131">
        <f>'5. % BY PORTFOLIO'!F98</f>
        <v>0</v>
      </c>
      <c r="G15" s="136">
        <f>'5. % BY PORTFOLIO'!B102+'5. % BY PORTFOLIO'!B103</f>
        <v>0</v>
      </c>
      <c r="H15" s="133">
        <f>'5. % BY PORTFOLIO'!F102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PORTFOLIO'!B117+'5. % BY PORTFOLIO'!B118</f>
        <v>8</v>
      </c>
      <c r="D16" s="186">
        <f>'5. % BY PORTFOLIO'!F117</f>
        <v>1</v>
      </c>
      <c r="E16" s="138">
        <f>'5. % BY PORTFOLIO'!B120</f>
        <v>0</v>
      </c>
      <c r="F16" s="131">
        <f>'5. % BY PORTFOLIO'!F120</f>
        <v>0</v>
      </c>
      <c r="G16" s="136">
        <f>'5. % BY PORTFOLIO'!B124+'5. % BY PORTFOLIO'!B125</f>
        <v>0</v>
      </c>
      <c r="H16" s="133">
        <f>'5. % BY PORTFOLIO'!F124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466</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PRIORITY'!J6+'3. % BY PRIORITY'!J7</f>
        <v>98</v>
      </c>
      <c r="D5" s="186">
        <f>'3. % BY PRIORITY'!N6</f>
        <v>0.98989898989898983</v>
      </c>
      <c r="E5" s="135">
        <f>'3. % BY PRIORITY'!J9</f>
        <v>1</v>
      </c>
      <c r="F5" s="131">
        <f>'3. % BY PRIORITY'!N9</f>
        <v>1.0101010101010102E-2</v>
      </c>
      <c r="G5" s="136">
        <f>'3. % BY PRIORITY'!J13+'3. % BY PRIORITY'!J14</f>
        <v>0</v>
      </c>
      <c r="H5" s="133">
        <f>'3. % BY PRIORITY'!N13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PRIORITY'!J28+'3. % BY PRIORITY'!J29</f>
        <v>44</v>
      </c>
      <c r="D7" s="186">
        <f>'3. % BY PRIORITY'!N28</f>
        <v>1</v>
      </c>
      <c r="E7" s="137">
        <f>'3. % BY PRIORITY'!J31</f>
        <v>0</v>
      </c>
      <c r="F7" s="131">
        <f>'3. % BY PRIORITY'!N31</f>
        <v>0</v>
      </c>
      <c r="G7" s="136">
        <f>'3. % BY PRIORITY'!J35+'3. % BY PRIORITY'!J36</f>
        <v>0</v>
      </c>
      <c r="H7" s="133">
        <f>'3. % BY PRIORITY'!N35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PRIORITY'!J50+'3. % BY PRIORITY'!J51</f>
        <v>23</v>
      </c>
      <c r="D8" s="186">
        <f>'3. % BY PRIORITY'!N50</f>
        <v>1</v>
      </c>
      <c r="E8" s="137">
        <f>'3. % BY PRIORITY'!J53</f>
        <v>0</v>
      </c>
      <c r="F8" s="131">
        <f>'3. % BY PRIORITY'!N53</f>
        <v>0</v>
      </c>
      <c r="G8" s="136">
        <f>'3. % BY PRIORITY'!J57+'3. % BY PRIORITY'!J58</f>
        <v>0</v>
      </c>
      <c r="H8" s="133">
        <f>'3. % BY PRIORITY'!N57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PRIORITY'!J72+'3. % BY PRIORITY'!J73</f>
        <v>31</v>
      </c>
      <c r="D9" s="186">
        <f>'3. % BY PRIORITY'!N72</f>
        <v>0.96875</v>
      </c>
      <c r="E9" s="137">
        <f>'3. % BY PRIORITY'!J75</f>
        <v>1</v>
      </c>
      <c r="F9" s="131">
        <f>'3. % BY PRIORITY'!N75</f>
        <v>3.125E-2</v>
      </c>
      <c r="G9" s="136">
        <f>'3. % BY PRIORITY'!J79+'3. % BY PRIORITY'!J80</f>
        <v>0</v>
      </c>
      <c r="H9" s="133">
        <f>'3. % BY PRIORITY'!N79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PORTFOLIO'!I6+'5. % BY PORTFOLIO'!I7</f>
        <v>25</v>
      </c>
      <c r="D11" s="186">
        <f>'5. % BY PORTFOLIO'!M6</f>
        <v>1</v>
      </c>
      <c r="E11" s="137">
        <f>'5. % BY PORTFOLIO'!I9</f>
        <v>0</v>
      </c>
      <c r="F11" s="131">
        <f>'5. % BY PORTFOLIO'!M9:M11</f>
        <v>0</v>
      </c>
      <c r="G11" s="136">
        <f>'5. % BY PORTFOLIO'!I13+'5. % BY PORTFOLIO'!I14</f>
        <v>0</v>
      </c>
      <c r="H11" s="133">
        <f>'5. % BY PORTFOLIO'!M13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PORTFOLIO'!I29+'5. % BY PORTFOLIO'!I30</f>
        <v>21</v>
      </c>
      <c r="D12" s="186">
        <f>'5. % BY PORTFOLIO'!M29</f>
        <v>1</v>
      </c>
      <c r="E12" s="138">
        <f>'5. % BY PORTFOLIO'!I32</f>
        <v>0</v>
      </c>
      <c r="F12" s="131">
        <f>'5. % BY PORTFOLIO'!M32</f>
        <v>0</v>
      </c>
      <c r="G12" s="136">
        <f>'5. % BY PORTFOLIO'!I36+'5. % BY PORTFOLIO'!I37</f>
        <v>0</v>
      </c>
      <c r="H12" s="133">
        <f>'5. % BY PORTFOLIO'!M36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PORTFOLIO'!I51+'5. % BY PORTFOLIO'!I52</f>
        <v>19</v>
      </c>
      <c r="D13" s="186">
        <f>'5. % BY PORTFOLIO'!M51</f>
        <v>0.95000000000000007</v>
      </c>
      <c r="E13" s="138">
        <f>'5. % BY PORTFOLIO'!I54</f>
        <v>1</v>
      </c>
      <c r="F13" s="131">
        <f>'5. % BY PORTFOLIO'!M54</f>
        <v>0.05</v>
      </c>
      <c r="G13" s="136">
        <f>'5. % BY PORTFOLIO'!I58+'5. % BY PORTFOLIO'!I59</f>
        <v>0</v>
      </c>
      <c r="H13" s="133">
        <f>'5. % BY PORTFOLIO'!M58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PORTFOLIO'!I73+'5. % BY PORTFOLIO'!I74</f>
        <v>5</v>
      </c>
      <c r="D14" s="186">
        <f>'5. % BY PORTFOLIO'!M73</f>
        <v>1</v>
      </c>
      <c r="E14" s="138">
        <f>'5. % BY PORTFOLIO'!I76</f>
        <v>0</v>
      </c>
      <c r="F14" s="131">
        <f>'5. % BY PORTFOLIO'!M76</f>
        <v>0</v>
      </c>
      <c r="G14" s="136">
        <f>'5. % BY PORTFOLIO'!I80+'5. % BY PORTFOLIO'!I81</f>
        <v>0</v>
      </c>
      <c r="H14" s="133">
        <f>'5. % BY PORTFOLIO'!M80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PORTFOLIO'!I95+'5. % BY PORTFOLIO'!I96</f>
        <v>20</v>
      </c>
      <c r="D15" s="186">
        <f>'5. % BY PORTFOLIO'!M95</f>
        <v>1</v>
      </c>
      <c r="E15" s="138">
        <f>'5. % BY PORTFOLIO'!I98</f>
        <v>0</v>
      </c>
      <c r="F15" s="131">
        <f>'5. % BY PORTFOLIO'!M98</f>
        <v>0</v>
      </c>
      <c r="G15" s="136">
        <f>'5. % BY PORTFOLIO'!I102+'5. % BY PORTFOLIO'!I103</f>
        <v>0</v>
      </c>
      <c r="H15" s="133">
        <f>'5. % BY PORTFOLIO'!M102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PORTFOLIO'!I117+'5. % BY PORTFOLIO'!I118</f>
        <v>8</v>
      </c>
      <c r="D16" s="186">
        <f>'5. % BY PORTFOLIO'!M117</f>
        <v>1</v>
      </c>
      <c r="E16" s="138">
        <f>'5. % BY PORTFOLIO'!I120</f>
        <v>0</v>
      </c>
      <c r="F16" s="131">
        <f>'5. % BY PORTFOLIO'!M120</f>
        <v>0</v>
      </c>
      <c r="G16" s="136">
        <f>'5. % BY PORTFOLIO'!I124+'5. % BY PORTFOLIO'!I125</f>
        <v>0</v>
      </c>
      <c r="H16" s="133">
        <f>'5. % BY PORTFOLIO'!M124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125</vt:i4>
      </vt:variant>
    </vt:vector>
  </HeadingPairs>
  <TitlesOfParts>
    <vt:vector size="13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2017-06-06T11:23:37Z</dcterms:modified>
</cp:coreProperties>
</file>