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omments3.xml" ContentType="application/vnd.openxmlformats-officedocument.spreadsheetml.comment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rformance (Working Folder)\Performance Monitoring\202324\Quarter 1\CMT\"/>
    </mc:Choice>
  </mc:AlternateContent>
  <bookViews>
    <workbookView xWindow="0" yWindow="0" windowWidth="23040" windowHeight="8616" tabRatio="759" activeTab="1"/>
  </bookViews>
  <sheets>
    <sheet name="1. All Data" sheetId="1" r:id="rId1"/>
    <sheet name="Q1 Summary" sheetId="9" r:id="rId2"/>
    <sheet name="Q2 Summary" sheetId="20" state="hidden" r:id="rId3"/>
    <sheet name="Q3 Summary" sheetId="21" state="hidden" r:id="rId4"/>
    <sheet name="Q4 Summary" sheetId="22" state="hidden" r:id="rId5"/>
    <sheet name="2a. % By Priority" sheetId="5" r:id="rId6"/>
    <sheet name="2b. Charts by Priority" sheetId="6" state="hidden" r:id="rId7"/>
    <sheet name="3a. % by Portfolio" sheetId="7" r:id="rId8"/>
    <sheet name="Sheet1" sheetId="23" r:id="rId9"/>
    <sheet name="3b. Charts by Portfolio" sheetId="8" state="hidden" r:id="rId10"/>
    <sheet name="4. Status Tracking" sheetId="10" state="hidden" r:id="rId11"/>
    <sheet name="Custom Pivot" sheetId="17" state="hidden" r:id="rId12"/>
  </sheets>
  <definedNames>
    <definedName name="_xlnm._FilterDatabase" localSheetId="0" hidden="1">'1. All Data'!$A$2:$AJ$136</definedName>
    <definedName name="_Toc382250483" localSheetId="0">'1. All Data'!$B$77</definedName>
    <definedName name="OLE_LINK3" localSheetId="0">'1. All Data'!$D$40</definedName>
    <definedName name="_xlnm.Print_Area" localSheetId="0">'1. All Data'!$A$1:$AB$134</definedName>
    <definedName name="_xlnm.Print_Area" localSheetId="5">'2a. % By Priority'!$A$1:$G$125</definedName>
    <definedName name="_xlnm.Print_Area" localSheetId="6">'2b. Charts by Priority'!$A$1:$AS$99</definedName>
    <definedName name="_xlnm.Print_Area" localSheetId="7">'3a. % by Portfolio'!$A$1:$G$108</definedName>
    <definedName name="_xlnm.Print_Area" localSheetId="9">'3b. Charts by Portfolio'!$A$1:$AT$99</definedName>
    <definedName name="_xlnm.Print_Area" localSheetId="1">'Q1 Summary'!$A$1:$H$17</definedName>
    <definedName name="_xlnm.Print_Area" localSheetId="2">'Q2 Summary'!$A$1:$H$17</definedName>
    <definedName name="_xlnm.Print_Area" localSheetId="3">'Q3 Summary'!$A$1:$H$17</definedName>
    <definedName name="_xlnm.Print_Area" localSheetId="4">'Q4 Summary'!$A$1:$H$17</definedName>
    <definedName name="_xlnm.Print_Titles" localSheetId="0">'1. All Data'!$2:$2</definedName>
  </definedNames>
  <calcPr calcId="162913"/>
  <pivotCaches>
    <pivotCache cacheId="0" r:id="rId13"/>
    <pivotCache cacheId="1" r:id="rId1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7" l="1"/>
  <c r="X106" i="7" l="1"/>
  <c r="X105" i="7"/>
  <c r="X104" i="7"/>
  <c r="X103" i="7"/>
  <c r="X102" i="7"/>
  <c r="X101" i="7"/>
  <c r="X100" i="7"/>
  <c r="X99" i="7"/>
  <c r="X98" i="7"/>
  <c r="X97" i="7"/>
  <c r="X96" i="7"/>
  <c r="Q106" i="7"/>
  <c r="Q105" i="7"/>
  <c r="Q104" i="7"/>
  <c r="Q103" i="7"/>
  <c r="Q102" i="7"/>
  <c r="Q101" i="7"/>
  <c r="Q98" i="7"/>
  <c r="E18" i="21" s="1"/>
  <c r="Q97" i="7"/>
  <c r="Q96" i="7"/>
  <c r="J106" i="7"/>
  <c r="J105" i="7"/>
  <c r="J104" i="7"/>
  <c r="J103" i="7"/>
  <c r="J102" i="7"/>
  <c r="J101" i="7"/>
  <c r="J98" i="7"/>
  <c r="E18" i="20" s="1"/>
  <c r="J97" i="7"/>
  <c r="J96" i="7"/>
  <c r="X88" i="7"/>
  <c r="X87" i="7"/>
  <c r="X86" i="7"/>
  <c r="X85" i="7"/>
  <c r="X84" i="7"/>
  <c r="X83" i="7"/>
  <c r="X82" i="7"/>
  <c r="X81" i="7"/>
  <c r="X80" i="7"/>
  <c r="X79" i="7"/>
  <c r="X78" i="7"/>
  <c r="Q88" i="7"/>
  <c r="Q87" i="7"/>
  <c r="Q86" i="7"/>
  <c r="Q85" i="7"/>
  <c r="Q84" i="7"/>
  <c r="Q83" i="7"/>
  <c r="Q80" i="7"/>
  <c r="E17" i="21" s="1"/>
  <c r="Q79" i="7"/>
  <c r="Q78" i="7"/>
  <c r="J88" i="7"/>
  <c r="J87" i="7"/>
  <c r="J86" i="7"/>
  <c r="J85" i="7"/>
  <c r="J84" i="7"/>
  <c r="J83" i="7"/>
  <c r="J80" i="7"/>
  <c r="E17" i="20" s="1"/>
  <c r="J79" i="7"/>
  <c r="J78" i="7"/>
  <c r="X70" i="7"/>
  <c r="X69" i="7"/>
  <c r="X68" i="7"/>
  <c r="X67" i="7"/>
  <c r="X66" i="7"/>
  <c r="X65" i="7"/>
  <c r="X64" i="7"/>
  <c r="X63" i="7"/>
  <c r="X62" i="7"/>
  <c r="X61" i="7"/>
  <c r="X60" i="7"/>
  <c r="Q70" i="7"/>
  <c r="Q69" i="7"/>
  <c r="Q68" i="7"/>
  <c r="Q67" i="7"/>
  <c r="Q66" i="7"/>
  <c r="Q65" i="7"/>
  <c r="Q62" i="7"/>
  <c r="E16" i="21" s="1"/>
  <c r="Q61" i="7"/>
  <c r="Q60" i="7"/>
  <c r="J70" i="7"/>
  <c r="J69" i="7"/>
  <c r="J68" i="7"/>
  <c r="J67" i="7"/>
  <c r="J66" i="7"/>
  <c r="J65" i="7"/>
  <c r="J62" i="7"/>
  <c r="E16" i="20" s="1"/>
  <c r="J61" i="7"/>
  <c r="J60" i="7"/>
  <c r="X52" i="7"/>
  <c r="X51" i="7"/>
  <c r="X50" i="7"/>
  <c r="X49" i="7"/>
  <c r="X48" i="7"/>
  <c r="X47" i="7"/>
  <c r="X46" i="7"/>
  <c r="X45" i="7"/>
  <c r="X44" i="7"/>
  <c r="X43" i="7"/>
  <c r="X42" i="7"/>
  <c r="Q52" i="7"/>
  <c r="Q51" i="7"/>
  <c r="Q50" i="7"/>
  <c r="Q49" i="7"/>
  <c r="Q48" i="7"/>
  <c r="Q47" i="7"/>
  <c r="Q44" i="7"/>
  <c r="E15" i="21" s="1"/>
  <c r="Q43" i="7"/>
  <c r="Q42" i="7"/>
  <c r="J52" i="7"/>
  <c r="J51" i="7"/>
  <c r="J50" i="7"/>
  <c r="J49" i="7"/>
  <c r="J48" i="7"/>
  <c r="J47" i="7"/>
  <c r="J44" i="7"/>
  <c r="E15" i="20" s="1"/>
  <c r="J43" i="7"/>
  <c r="J42" i="7"/>
  <c r="X34" i="7"/>
  <c r="X33" i="7"/>
  <c r="X32" i="7"/>
  <c r="X31" i="7"/>
  <c r="X30" i="7"/>
  <c r="X29" i="7"/>
  <c r="X28" i="7"/>
  <c r="X27" i="7"/>
  <c r="X26" i="7"/>
  <c r="X25" i="7"/>
  <c r="X24" i="7"/>
  <c r="Q34" i="7"/>
  <c r="Q33" i="7"/>
  <c r="Q32" i="7"/>
  <c r="Q31" i="7"/>
  <c r="Q30" i="7"/>
  <c r="Q29" i="7"/>
  <c r="Q26" i="7"/>
  <c r="E14" i="21" s="1"/>
  <c r="Q25" i="7"/>
  <c r="Q24" i="7"/>
  <c r="J34" i="7"/>
  <c r="J33" i="7"/>
  <c r="J32" i="7"/>
  <c r="J31" i="7"/>
  <c r="J30" i="7"/>
  <c r="J29" i="7"/>
  <c r="J26" i="7"/>
  <c r="E14" i="20" s="1"/>
  <c r="J25" i="7"/>
  <c r="J24" i="7"/>
  <c r="X15" i="7"/>
  <c r="X14" i="7"/>
  <c r="X13" i="7"/>
  <c r="X12" i="7"/>
  <c r="X11" i="7"/>
  <c r="X10" i="7"/>
  <c r="X9" i="7"/>
  <c r="X8" i="7"/>
  <c r="X7" i="7"/>
  <c r="X6" i="7"/>
  <c r="X5" i="7"/>
  <c r="Q15" i="7"/>
  <c r="Q14" i="7"/>
  <c r="Q13" i="7"/>
  <c r="Q12" i="7"/>
  <c r="Q11" i="7"/>
  <c r="Q10" i="7"/>
  <c r="Q7" i="7"/>
  <c r="E13" i="21" s="1"/>
  <c r="Q6" i="7"/>
  <c r="Q5" i="7"/>
  <c r="J15" i="7"/>
  <c r="J14" i="7"/>
  <c r="J13" i="7"/>
  <c r="J12" i="7"/>
  <c r="J11" i="7"/>
  <c r="J10" i="7"/>
  <c r="J7" i="7"/>
  <c r="E13" i="20" s="1"/>
  <c r="J6" i="7"/>
  <c r="J5" i="7"/>
  <c r="X123" i="5"/>
  <c r="X122" i="5"/>
  <c r="X121" i="5"/>
  <c r="X120" i="5"/>
  <c r="X119" i="5"/>
  <c r="X118" i="5"/>
  <c r="X117" i="5"/>
  <c r="X116" i="5"/>
  <c r="X115" i="5"/>
  <c r="X114" i="5"/>
  <c r="X113" i="5"/>
  <c r="Q123" i="5"/>
  <c r="Q122" i="5"/>
  <c r="Q121" i="5"/>
  <c r="Q120" i="5"/>
  <c r="Q119" i="5"/>
  <c r="Q118" i="5"/>
  <c r="Q115" i="5"/>
  <c r="Q114" i="5"/>
  <c r="Q113" i="5"/>
  <c r="J123" i="5"/>
  <c r="J122" i="5"/>
  <c r="J121" i="5"/>
  <c r="J120" i="5"/>
  <c r="J119" i="5"/>
  <c r="J118" i="5"/>
  <c r="J115" i="5"/>
  <c r="J114" i="5"/>
  <c r="J113" i="5"/>
  <c r="X105" i="5"/>
  <c r="X104" i="5"/>
  <c r="X103" i="5"/>
  <c r="X102" i="5"/>
  <c r="X101" i="5"/>
  <c r="X100" i="5"/>
  <c r="X99" i="5"/>
  <c r="X98" i="5"/>
  <c r="X97" i="5"/>
  <c r="X96" i="5"/>
  <c r="X95" i="5"/>
  <c r="Q105" i="5"/>
  <c r="Q104" i="5"/>
  <c r="Q103" i="5"/>
  <c r="Q102" i="5"/>
  <c r="Q101" i="5"/>
  <c r="Q100" i="5"/>
  <c r="Q97" i="5"/>
  <c r="E11" i="21" s="1"/>
  <c r="Q96" i="5"/>
  <c r="Q95" i="5"/>
  <c r="J105" i="5"/>
  <c r="J104" i="5"/>
  <c r="J103" i="5"/>
  <c r="J102" i="5"/>
  <c r="J101" i="5"/>
  <c r="J100" i="5"/>
  <c r="J97" i="5"/>
  <c r="E11" i="20" s="1"/>
  <c r="J96" i="5"/>
  <c r="J95" i="5"/>
  <c r="X87" i="5"/>
  <c r="X86" i="5"/>
  <c r="X85" i="5"/>
  <c r="X84" i="5"/>
  <c r="X83" i="5"/>
  <c r="X82" i="5"/>
  <c r="X81" i="5"/>
  <c r="X80" i="5"/>
  <c r="X79" i="5"/>
  <c r="X78" i="5"/>
  <c r="X77" i="5"/>
  <c r="Q87" i="5"/>
  <c r="Q86" i="5"/>
  <c r="Q85" i="5"/>
  <c r="Q84" i="5"/>
  <c r="Q83" i="5"/>
  <c r="Q82" i="5"/>
  <c r="Q79" i="5"/>
  <c r="E10" i="21" s="1"/>
  <c r="Q78" i="5"/>
  <c r="Q77" i="5"/>
  <c r="J87" i="5"/>
  <c r="J86" i="5"/>
  <c r="J85" i="5"/>
  <c r="J84" i="5"/>
  <c r="J83" i="5"/>
  <c r="J82" i="5"/>
  <c r="J79" i="5"/>
  <c r="E10" i="20" s="1"/>
  <c r="J78" i="5"/>
  <c r="J77" i="5"/>
  <c r="G13" i="22" l="1"/>
  <c r="C14" i="22"/>
  <c r="C16" i="20"/>
  <c r="G17" i="20"/>
  <c r="C13" i="20"/>
  <c r="G13" i="20"/>
  <c r="C15" i="21"/>
  <c r="G16" i="21"/>
  <c r="C18" i="21"/>
  <c r="C11" i="21"/>
  <c r="G10" i="20"/>
  <c r="G18" i="21"/>
  <c r="C11" i="22"/>
  <c r="C10" i="21"/>
  <c r="G11" i="21"/>
  <c r="E16" i="22"/>
  <c r="G13" i="21"/>
  <c r="E13" i="22"/>
  <c r="G17" i="21"/>
  <c r="E17" i="22"/>
  <c r="G18" i="22"/>
  <c r="C13" i="21"/>
  <c r="E11" i="22"/>
  <c r="C15" i="20"/>
  <c r="G17" i="22"/>
  <c r="G10" i="21"/>
  <c r="E10" i="22"/>
  <c r="G11" i="22"/>
  <c r="C14" i="20"/>
  <c r="G15" i="20"/>
  <c r="C17" i="21"/>
  <c r="E18" i="22"/>
  <c r="C11" i="20"/>
  <c r="C14" i="21"/>
  <c r="G15" i="21"/>
  <c r="E15" i="22"/>
  <c r="G16" i="22"/>
  <c r="C17" i="22"/>
  <c r="C10" i="20"/>
  <c r="G11" i="20"/>
  <c r="G14" i="21"/>
  <c r="E14" i="22"/>
  <c r="G15" i="22"/>
  <c r="C16" i="22"/>
  <c r="C18" i="20"/>
  <c r="C10" i="22"/>
  <c r="C13" i="22"/>
  <c r="G16" i="20"/>
  <c r="X107" i="7"/>
  <c r="Y105" i="7" s="1"/>
  <c r="Z105" i="7" s="1"/>
  <c r="G14" i="22"/>
  <c r="C15" i="22"/>
  <c r="C17" i="20"/>
  <c r="G18" i="20"/>
  <c r="G10" i="22"/>
  <c r="G14" i="20"/>
  <c r="C16" i="21"/>
  <c r="C18" i="22"/>
  <c r="J107" i="7"/>
  <c r="K101" i="7" s="1"/>
  <c r="Q107" i="7"/>
  <c r="R98" i="7" s="1"/>
  <c r="S98" i="7" s="1"/>
  <c r="X124" i="5"/>
  <c r="X125" i="5" s="1"/>
  <c r="AA113" i="5" s="1"/>
  <c r="J124" i="5"/>
  <c r="K115" i="5" s="1"/>
  <c r="L115" i="5" s="1"/>
  <c r="Q124" i="5"/>
  <c r="J106" i="5"/>
  <c r="K102" i="5" s="1"/>
  <c r="L102" i="5" s="1"/>
  <c r="Q106" i="5"/>
  <c r="R102" i="5" s="1"/>
  <c r="S102" i="5" s="1"/>
  <c r="X106" i="5"/>
  <c r="X107" i="5" s="1"/>
  <c r="AA100" i="5" s="1"/>
  <c r="J88" i="5"/>
  <c r="K85" i="5" s="1"/>
  <c r="L85" i="5" s="1"/>
  <c r="Q88" i="5"/>
  <c r="R84" i="5" s="1"/>
  <c r="S84" i="5" s="1"/>
  <c r="X88" i="5"/>
  <c r="X89" i="5" s="1"/>
  <c r="AA79" i="5" s="1"/>
  <c r="AB79" i="5" s="1"/>
  <c r="X69" i="5"/>
  <c r="X68" i="5"/>
  <c r="X67" i="5"/>
  <c r="X66" i="5"/>
  <c r="X65" i="5"/>
  <c r="X64" i="5"/>
  <c r="X63" i="5"/>
  <c r="X62" i="5"/>
  <c r="X61" i="5"/>
  <c r="X60" i="5"/>
  <c r="X59" i="5"/>
  <c r="Q69" i="5"/>
  <c r="Q68" i="5"/>
  <c r="Q67" i="5"/>
  <c r="Q66" i="5"/>
  <c r="Q65" i="5"/>
  <c r="Q64" i="5"/>
  <c r="Q61" i="5"/>
  <c r="E9" i="21" s="1"/>
  <c r="Q60" i="5"/>
  <c r="Q59" i="5"/>
  <c r="J69" i="5"/>
  <c r="J68" i="5"/>
  <c r="J67" i="5"/>
  <c r="J66" i="5"/>
  <c r="J65" i="5"/>
  <c r="J64" i="5"/>
  <c r="J61" i="5"/>
  <c r="E9" i="20" s="1"/>
  <c r="J60" i="5"/>
  <c r="J59" i="5"/>
  <c r="X51" i="5"/>
  <c r="X50" i="5"/>
  <c r="X49" i="5"/>
  <c r="X48" i="5"/>
  <c r="X47" i="5"/>
  <c r="X46" i="5"/>
  <c r="X45" i="5"/>
  <c r="X44" i="5"/>
  <c r="X43" i="5"/>
  <c r="X42" i="5"/>
  <c r="X41" i="5"/>
  <c r="Q51" i="5"/>
  <c r="Q50" i="5"/>
  <c r="Q49" i="5"/>
  <c r="Q48" i="5"/>
  <c r="Q47" i="5"/>
  <c r="Q46" i="5"/>
  <c r="Q43" i="5"/>
  <c r="E8" i="21" s="1"/>
  <c r="Q42" i="5"/>
  <c r="Q41" i="5"/>
  <c r="J51" i="5"/>
  <c r="J50" i="5"/>
  <c r="J49" i="5"/>
  <c r="J48" i="5"/>
  <c r="J47" i="5"/>
  <c r="J46" i="5"/>
  <c r="J43" i="5"/>
  <c r="E8" i="20" s="1"/>
  <c r="J42" i="5"/>
  <c r="J41" i="5"/>
  <c r="X33" i="5"/>
  <c r="X32" i="5"/>
  <c r="X31" i="5"/>
  <c r="X30" i="5"/>
  <c r="X29" i="5"/>
  <c r="X28" i="5"/>
  <c r="X27" i="5"/>
  <c r="X26" i="5"/>
  <c r="X25" i="5"/>
  <c r="X24" i="5"/>
  <c r="X23" i="5"/>
  <c r="Q33" i="5"/>
  <c r="Q32" i="5"/>
  <c r="Q31" i="5"/>
  <c r="Q30" i="5"/>
  <c r="Q29" i="5"/>
  <c r="Q28" i="5"/>
  <c r="Q25" i="5"/>
  <c r="E7" i="21" s="1"/>
  <c r="Q24" i="5"/>
  <c r="Q23" i="5"/>
  <c r="J33" i="5"/>
  <c r="J32" i="5"/>
  <c r="J31" i="5"/>
  <c r="J30" i="5"/>
  <c r="J29" i="5"/>
  <c r="J28" i="5"/>
  <c r="J25" i="5"/>
  <c r="E7" i="20" s="1"/>
  <c r="J24" i="5"/>
  <c r="J23" i="5"/>
  <c r="C106" i="7"/>
  <c r="C105" i="7"/>
  <c r="C104" i="7"/>
  <c r="C103" i="7"/>
  <c r="C102" i="7"/>
  <c r="C101" i="7"/>
  <c r="C98" i="7"/>
  <c r="E18" i="9" s="1"/>
  <c r="C97" i="7"/>
  <c r="C96" i="7"/>
  <c r="C88" i="7"/>
  <c r="C87" i="7"/>
  <c r="C86" i="7"/>
  <c r="C85" i="7"/>
  <c r="C84" i="7"/>
  <c r="C83" i="7"/>
  <c r="C80" i="7"/>
  <c r="C79" i="7"/>
  <c r="C78" i="7"/>
  <c r="C70" i="7"/>
  <c r="C69" i="7"/>
  <c r="C68" i="7"/>
  <c r="C67" i="7"/>
  <c r="C66" i="7"/>
  <c r="C65" i="7"/>
  <c r="C62" i="7"/>
  <c r="C61" i="7"/>
  <c r="C52" i="7"/>
  <c r="C51" i="7"/>
  <c r="C50" i="7"/>
  <c r="C49" i="7"/>
  <c r="C48" i="7"/>
  <c r="C47" i="7"/>
  <c r="C44" i="7"/>
  <c r="C43" i="7"/>
  <c r="C42" i="7"/>
  <c r="C34" i="7"/>
  <c r="C33" i="7"/>
  <c r="C32" i="7"/>
  <c r="C31" i="7"/>
  <c r="C30" i="7"/>
  <c r="C29" i="7"/>
  <c r="C26" i="7"/>
  <c r="C25" i="7"/>
  <c r="C24" i="7"/>
  <c r="C15" i="7"/>
  <c r="C14" i="7"/>
  <c r="C13" i="7"/>
  <c r="C12" i="7"/>
  <c r="C11" i="7"/>
  <c r="C10" i="7"/>
  <c r="C7" i="7"/>
  <c r="C6" i="7"/>
  <c r="C5" i="7"/>
  <c r="C123" i="5"/>
  <c r="C122" i="5"/>
  <c r="C121" i="5"/>
  <c r="C120" i="5"/>
  <c r="C119" i="5"/>
  <c r="C118" i="5"/>
  <c r="C115" i="5"/>
  <c r="C114" i="5"/>
  <c r="C113" i="5"/>
  <c r="C105" i="5"/>
  <c r="C104" i="5"/>
  <c r="C103" i="5"/>
  <c r="C102" i="5"/>
  <c r="C101" i="5"/>
  <c r="C100" i="5"/>
  <c r="C97" i="5"/>
  <c r="E11" i="9" s="1"/>
  <c r="C96" i="5"/>
  <c r="C95" i="5"/>
  <c r="C69" i="5"/>
  <c r="C68" i="5"/>
  <c r="C67" i="5"/>
  <c r="C66" i="5"/>
  <c r="C65" i="5"/>
  <c r="C64" i="5"/>
  <c r="C61" i="5"/>
  <c r="E9" i="9" s="1"/>
  <c r="C60" i="5"/>
  <c r="C59" i="5"/>
  <c r="C87" i="5"/>
  <c r="C86" i="5"/>
  <c r="C85" i="5"/>
  <c r="C84" i="5"/>
  <c r="C83" i="5"/>
  <c r="C82" i="5"/>
  <c r="C79" i="5"/>
  <c r="E10" i="9" s="1"/>
  <c r="C78" i="5"/>
  <c r="C77" i="5"/>
  <c r="C51" i="5"/>
  <c r="C50" i="5"/>
  <c r="C49" i="5"/>
  <c r="C48" i="5"/>
  <c r="C47" i="5"/>
  <c r="C46" i="5"/>
  <c r="C43" i="5"/>
  <c r="C42" i="5"/>
  <c r="C41" i="5"/>
  <c r="C33" i="5"/>
  <c r="C32" i="5"/>
  <c r="C31" i="5"/>
  <c r="C30" i="5"/>
  <c r="C29" i="5"/>
  <c r="C28" i="5"/>
  <c r="C25" i="5"/>
  <c r="E7" i="9" s="1"/>
  <c r="C24" i="5"/>
  <c r="C23" i="5"/>
  <c r="Y113" i="5" l="1"/>
  <c r="G9" i="9"/>
  <c r="G18" i="9"/>
  <c r="C7" i="9"/>
  <c r="G8" i="21"/>
  <c r="E8" i="22"/>
  <c r="G9" i="21"/>
  <c r="G9" i="22"/>
  <c r="AA77" i="5"/>
  <c r="AA114" i="5"/>
  <c r="AB113" i="5" s="1"/>
  <c r="AA80" i="5"/>
  <c r="K120" i="5"/>
  <c r="L120" i="5" s="1"/>
  <c r="AA117" i="5"/>
  <c r="C8" i="20"/>
  <c r="G9" i="20"/>
  <c r="K114" i="5"/>
  <c r="G7" i="20"/>
  <c r="C9" i="21"/>
  <c r="Y97" i="7"/>
  <c r="Y98" i="7"/>
  <c r="Z98" i="7" s="1"/>
  <c r="Y99" i="7"/>
  <c r="AA116" i="5"/>
  <c r="Y104" i="7"/>
  <c r="Z104" i="7" s="1"/>
  <c r="C11" i="9"/>
  <c r="Y77" i="5"/>
  <c r="X108" i="7"/>
  <c r="AA102" i="7" s="1"/>
  <c r="Y100" i="7"/>
  <c r="Y106" i="7"/>
  <c r="Z106" i="7" s="1"/>
  <c r="C9" i="20"/>
  <c r="Y96" i="7"/>
  <c r="Y103" i="7"/>
  <c r="Z103" i="7" s="1"/>
  <c r="G10" i="9"/>
  <c r="C7" i="21"/>
  <c r="C7" i="22"/>
  <c r="AA97" i="5"/>
  <c r="AB97" i="5" s="1"/>
  <c r="BC87" i="6" s="1"/>
  <c r="Y96" i="5"/>
  <c r="AA82" i="5"/>
  <c r="C8" i="21"/>
  <c r="E9" i="22"/>
  <c r="K87" i="5"/>
  <c r="L87" i="5" s="1"/>
  <c r="AA115" i="5"/>
  <c r="AB115" i="5" s="1"/>
  <c r="Y101" i="7"/>
  <c r="G7" i="9"/>
  <c r="C9" i="9"/>
  <c r="Y78" i="5"/>
  <c r="Y102" i="7"/>
  <c r="K97" i="5"/>
  <c r="L97" i="5" s="1"/>
  <c r="K95" i="5"/>
  <c r="C10" i="9"/>
  <c r="G7" i="21"/>
  <c r="E7" i="22"/>
  <c r="G8" i="22"/>
  <c r="C9" i="22"/>
  <c r="R86" i="5"/>
  <c r="S86" i="5" s="1"/>
  <c r="K101" i="5"/>
  <c r="K84" i="5"/>
  <c r="L84" i="5" s="1"/>
  <c r="AA96" i="5"/>
  <c r="C107" i="7"/>
  <c r="D106" i="7" s="1"/>
  <c r="E106" i="7" s="1"/>
  <c r="K105" i="5"/>
  <c r="L105" i="5" s="1"/>
  <c r="G7" i="22"/>
  <c r="C8" i="22"/>
  <c r="BC72" i="6"/>
  <c r="F10" i="22"/>
  <c r="R96" i="5"/>
  <c r="K100" i="5"/>
  <c r="AA118" i="5"/>
  <c r="G11" i="9"/>
  <c r="C7" i="20"/>
  <c r="G8" i="20"/>
  <c r="AA98" i="5"/>
  <c r="R104" i="7"/>
  <c r="S104" i="7" s="1"/>
  <c r="R101" i="7"/>
  <c r="K96" i="7"/>
  <c r="R97" i="7"/>
  <c r="K97" i="7"/>
  <c r="R96" i="7"/>
  <c r="R103" i="7"/>
  <c r="S103" i="7" s="1"/>
  <c r="K102" i="7"/>
  <c r="L101" i="7" s="1"/>
  <c r="J108" i="7"/>
  <c r="K105" i="7"/>
  <c r="L105" i="7" s="1"/>
  <c r="Q108" i="7"/>
  <c r="R105" i="7"/>
  <c r="S105" i="7" s="1"/>
  <c r="R102" i="7"/>
  <c r="R106" i="7"/>
  <c r="S106" i="7" s="1"/>
  <c r="K98" i="7"/>
  <c r="L98" i="7" s="1"/>
  <c r="K106" i="7"/>
  <c r="L106" i="7" s="1"/>
  <c r="K104" i="7"/>
  <c r="L104" i="7" s="1"/>
  <c r="K103" i="7"/>
  <c r="L103" i="7" s="1"/>
  <c r="AA119" i="5"/>
  <c r="Y114" i="5"/>
  <c r="Q125" i="5"/>
  <c r="R122" i="5"/>
  <c r="S122" i="5" s="1"/>
  <c r="R119" i="5"/>
  <c r="R123" i="5"/>
  <c r="S123" i="5" s="1"/>
  <c r="K118" i="5"/>
  <c r="K123" i="5"/>
  <c r="L123" i="5" s="1"/>
  <c r="K113" i="5"/>
  <c r="R113" i="5"/>
  <c r="K121" i="5"/>
  <c r="L121" i="5" s="1"/>
  <c r="R121" i="5"/>
  <c r="S121" i="5" s="1"/>
  <c r="R114" i="5"/>
  <c r="R120" i="5"/>
  <c r="S120" i="5" s="1"/>
  <c r="K119" i="5"/>
  <c r="J125" i="5"/>
  <c r="K122" i="5"/>
  <c r="L122" i="5" s="1"/>
  <c r="R115" i="5"/>
  <c r="S115" i="5" s="1"/>
  <c r="R118" i="5"/>
  <c r="Y95" i="5"/>
  <c r="Z95" i="5" s="1"/>
  <c r="R95" i="5"/>
  <c r="K78" i="5"/>
  <c r="R100" i="5"/>
  <c r="Q107" i="5"/>
  <c r="R105" i="5"/>
  <c r="S105" i="5" s="1"/>
  <c r="R104" i="5"/>
  <c r="S104" i="5" s="1"/>
  <c r="R103" i="5"/>
  <c r="S103" i="5" s="1"/>
  <c r="R101" i="5"/>
  <c r="J107" i="5"/>
  <c r="K104" i="5"/>
  <c r="L104" i="5" s="1"/>
  <c r="K103" i="5"/>
  <c r="L103" i="5" s="1"/>
  <c r="AA101" i="5"/>
  <c r="AB100" i="5" s="1"/>
  <c r="AA99" i="5"/>
  <c r="R97" i="5"/>
  <c r="S97" i="5" s="1"/>
  <c r="K96" i="5"/>
  <c r="AA95" i="5"/>
  <c r="Q89" i="5"/>
  <c r="R87" i="5"/>
  <c r="S87" i="5" s="1"/>
  <c r="R83" i="5"/>
  <c r="K82" i="5"/>
  <c r="R77" i="5"/>
  <c r="K83" i="5"/>
  <c r="R85" i="5"/>
  <c r="S85" i="5" s="1"/>
  <c r="R78" i="5"/>
  <c r="AA81" i="5"/>
  <c r="AA83" i="5"/>
  <c r="K77" i="5"/>
  <c r="J89" i="5"/>
  <c r="K86" i="5"/>
  <c r="L86" i="5" s="1"/>
  <c r="K79" i="5"/>
  <c r="L79" i="5" s="1"/>
  <c r="R82" i="5"/>
  <c r="AA78" i="5"/>
  <c r="R79" i="5"/>
  <c r="S79" i="5" s="1"/>
  <c r="C18" i="9"/>
  <c r="C88" i="5"/>
  <c r="D78" i="5" s="1"/>
  <c r="C106" i="5"/>
  <c r="D105" i="5" s="1"/>
  <c r="E105" i="5" s="1"/>
  <c r="C124" i="5"/>
  <c r="D121" i="5" s="1"/>
  <c r="E121" i="5" s="1"/>
  <c r="Z113" i="5" l="1"/>
  <c r="AB77" i="5"/>
  <c r="D10" i="22" s="1"/>
  <c r="AB95" i="5"/>
  <c r="BC86" i="6" s="1"/>
  <c r="AA101" i="7"/>
  <c r="AB101" i="7" s="1"/>
  <c r="BC89" i="8" s="1"/>
  <c r="AA99" i="7"/>
  <c r="L113" i="5"/>
  <c r="Z101" i="7"/>
  <c r="Z96" i="7"/>
  <c r="D101" i="7"/>
  <c r="AA97" i="7"/>
  <c r="C108" i="7"/>
  <c r="F102" i="7" s="1"/>
  <c r="AA98" i="7"/>
  <c r="AB98" i="7" s="1"/>
  <c r="BC88" i="8" s="1"/>
  <c r="Z77" i="5"/>
  <c r="D97" i="7"/>
  <c r="D98" i="7"/>
  <c r="E98" i="7" s="1"/>
  <c r="D104" i="7"/>
  <c r="E104" i="7" s="1"/>
  <c r="F11" i="22"/>
  <c r="S101" i="7"/>
  <c r="AA100" i="7"/>
  <c r="D105" i="7"/>
  <c r="E105" i="7" s="1"/>
  <c r="D103" i="7"/>
  <c r="E103" i="7" s="1"/>
  <c r="L77" i="5"/>
  <c r="AA96" i="7"/>
  <c r="L95" i="5"/>
  <c r="L100" i="5"/>
  <c r="AB118" i="5"/>
  <c r="D96" i="7"/>
  <c r="D102" i="7"/>
  <c r="AB82" i="5"/>
  <c r="BC73" i="6" s="1"/>
  <c r="BC88" i="6"/>
  <c r="H11" i="22"/>
  <c r="S82" i="5"/>
  <c r="S95" i="5"/>
  <c r="S96" i="7"/>
  <c r="T101" i="7"/>
  <c r="T102" i="7"/>
  <c r="T96" i="7"/>
  <c r="T98" i="7"/>
  <c r="U98" i="7" s="1"/>
  <c r="T97" i="7"/>
  <c r="M101" i="7"/>
  <c r="M97" i="7"/>
  <c r="M96" i="7"/>
  <c r="M98" i="7"/>
  <c r="N98" i="7" s="1"/>
  <c r="M102" i="7"/>
  <c r="L96" i="7"/>
  <c r="S118" i="5"/>
  <c r="T118" i="5"/>
  <c r="T119" i="5"/>
  <c r="T114" i="5"/>
  <c r="T113" i="5"/>
  <c r="T115" i="5"/>
  <c r="U115" i="5" s="1"/>
  <c r="S113" i="5"/>
  <c r="M119" i="5"/>
  <c r="M118" i="5"/>
  <c r="M113" i="5"/>
  <c r="M115" i="5"/>
  <c r="N115" i="5" s="1"/>
  <c r="M114" i="5"/>
  <c r="L118" i="5"/>
  <c r="T95" i="5"/>
  <c r="T96" i="5"/>
  <c r="T100" i="5"/>
  <c r="T97" i="5"/>
  <c r="U97" i="5" s="1"/>
  <c r="T101" i="5"/>
  <c r="M96" i="5"/>
  <c r="M101" i="5"/>
  <c r="M95" i="5"/>
  <c r="M100" i="5"/>
  <c r="M97" i="5"/>
  <c r="N97" i="5" s="1"/>
  <c r="S100" i="5"/>
  <c r="S77" i="5"/>
  <c r="M82" i="5"/>
  <c r="M77" i="5"/>
  <c r="M83" i="5"/>
  <c r="M79" i="5"/>
  <c r="N79" i="5" s="1"/>
  <c r="M78" i="5"/>
  <c r="L82" i="5"/>
  <c r="T77" i="5"/>
  <c r="T78" i="5"/>
  <c r="T83" i="5"/>
  <c r="T79" i="5"/>
  <c r="U79" i="5" s="1"/>
  <c r="T82" i="5"/>
  <c r="D77" i="5"/>
  <c r="E77" i="5" s="1"/>
  <c r="D84" i="5"/>
  <c r="E84" i="5" s="1"/>
  <c r="C89" i="5"/>
  <c r="F82" i="5" s="1"/>
  <c r="D123" i="5"/>
  <c r="E123" i="5" s="1"/>
  <c r="D79" i="5"/>
  <c r="E79" i="5" s="1"/>
  <c r="D100" i="5"/>
  <c r="D96" i="5"/>
  <c r="D86" i="5"/>
  <c r="E86" i="5" s="1"/>
  <c r="C125" i="5"/>
  <c r="F113" i="5" s="1"/>
  <c r="D83" i="5"/>
  <c r="D85" i="5"/>
  <c r="E85" i="5" s="1"/>
  <c r="C107" i="5"/>
  <c r="F97" i="5" s="1"/>
  <c r="G97" i="5" s="1"/>
  <c r="D82" i="5"/>
  <c r="D87" i="5"/>
  <c r="E87" i="5" s="1"/>
  <c r="D119" i="5"/>
  <c r="D95" i="5"/>
  <c r="D122" i="5"/>
  <c r="E122" i="5" s="1"/>
  <c r="D97" i="5"/>
  <c r="E97" i="5" s="1"/>
  <c r="D101" i="5"/>
  <c r="D102" i="5"/>
  <c r="E102" i="5" s="1"/>
  <c r="D120" i="5"/>
  <c r="E120" i="5" s="1"/>
  <c r="D104" i="5"/>
  <c r="E104" i="5" s="1"/>
  <c r="D114" i="5"/>
  <c r="D103" i="5"/>
  <c r="E103" i="5" s="1"/>
  <c r="D115" i="5"/>
  <c r="E115" i="5" s="1"/>
  <c r="D113" i="5"/>
  <c r="D118" i="5"/>
  <c r="X15" i="5"/>
  <c r="X14" i="5"/>
  <c r="X13" i="5"/>
  <c r="X12" i="5"/>
  <c r="X11" i="5"/>
  <c r="X10" i="5"/>
  <c r="BC71" i="6" l="1"/>
  <c r="F101" i="7"/>
  <c r="G101" i="7" s="1"/>
  <c r="H18" i="9" s="1"/>
  <c r="F96" i="7"/>
  <c r="F97" i="7"/>
  <c r="D11" i="22"/>
  <c r="F98" i="7"/>
  <c r="G98" i="7" s="1"/>
  <c r="F18" i="9" s="1"/>
  <c r="F18" i="22"/>
  <c r="H10" i="22"/>
  <c r="H18" i="22"/>
  <c r="E96" i="7"/>
  <c r="AB96" i="7"/>
  <c r="D18" i="22" s="1"/>
  <c r="E101" i="7"/>
  <c r="G5" i="22"/>
  <c r="U82" i="5"/>
  <c r="BB73" i="6" s="1"/>
  <c r="N101" i="7"/>
  <c r="BA89" i="8" s="1"/>
  <c r="N118" i="5"/>
  <c r="F11" i="9"/>
  <c r="AZ87" i="6"/>
  <c r="BA72" i="6"/>
  <c r="F10" i="20"/>
  <c r="BB72" i="6"/>
  <c r="F10" i="21"/>
  <c r="BB87" i="6"/>
  <c r="F11" i="21"/>
  <c r="F18" i="21"/>
  <c r="BB88" i="8"/>
  <c r="BA87" i="6"/>
  <c r="F11" i="20"/>
  <c r="F18" i="20"/>
  <c r="BA88" i="8"/>
  <c r="N96" i="7"/>
  <c r="U96" i="7"/>
  <c r="U101" i="7"/>
  <c r="U118" i="5"/>
  <c r="N113" i="5"/>
  <c r="U113" i="5"/>
  <c r="N95" i="5"/>
  <c r="U100" i="5"/>
  <c r="N100" i="5"/>
  <c r="U95" i="5"/>
  <c r="N77" i="5"/>
  <c r="U77" i="5"/>
  <c r="N82" i="5"/>
  <c r="E95" i="5"/>
  <c r="F78" i="5"/>
  <c r="F77" i="5"/>
  <c r="F83" i="5"/>
  <c r="G82" i="5" s="1"/>
  <c r="F114" i="5"/>
  <c r="G113" i="5" s="1"/>
  <c r="F115" i="5"/>
  <c r="G115" i="5" s="1"/>
  <c r="F118" i="5"/>
  <c r="F119" i="5"/>
  <c r="F79" i="5"/>
  <c r="G79" i="5" s="1"/>
  <c r="E82" i="5"/>
  <c r="F101" i="5"/>
  <c r="E100" i="5"/>
  <c r="F100" i="5"/>
  <c r="E118" i="5"/>
  <c r="F95" i="5"/>
  <c r="F96" i="5"/>
  <c r="E113" i="5"/>
  <c r="Q11" i="5"/>
  <c r="Q10" i="5"/>
  <c r="G77" i="5" l="1"/>
  <c r="D10" i="9" s="1"/>
  <c r="AZ89" i="8"/>
  <c r="G96" i="7"/>
  <c r="D18" i="9" s="1"/>
  <c r="H10" i="21"/>
  <c r="AZ88" i="8"/>
  <c r="BC87" i="8"/>
  <c r="H18" i="20"/>
  <c r="G5" i="21"/>
  <c r="G95" i="5"/>
  <c r="D11" i="9" s="1"/>
  <c r="BA87" i="8"/>
  <c r="D18" i="20"/>
  <c r="BB88" i="6"/>
  <c r="H11" i="21"/>
  <c r="F10" i="9"/>
  <c r="AZ72" i="6"/>
  <c r="BA86" i="6"/>
  <c r="D11" i="20"/>
  <c r="BA73" i="6"/>
  <c r="H10" i="20"/>
  <c r="BA88" i="6"/>
  <c r="H11" i="20"/>
  <c r="BB71" i="6"/>
  <c r="D10" i="21"/>
  <c r="BA71" i="6"/>
  <c r="D10" i="20"/>
  <c r="BB89" i="8"/>
  <c r="H18" i="21"/>
  <c r="H10" i="9"/>
  <c r="AZ73" i="6"/>
  <c r="BB86" i="6"/>
  <c r="D11" i="21"/>
  <c r="D18" i="21"/>
  <c r="BB87" i="8"/>
  <c r="G118" i="5"/>
  <c r="G100" i="5"/>
  <c r="J15" i="5"/>
  <c r="J14" i="5"/>
  <c r="J13" i="5"/>
  <c r="J12" i="5"/>
  <c r="J11" i="5"/>
  <c r="J10" i="5"/>
  <c r="J6" i="5"/>
  <c r="J5" i="5"/>
  <c r="AZ71" i="6" l="1"/>
  <c r="AZ87" i="8"/>
  <c r="AZ86" i="6"/>
  <c r="G5" i="20"/>
  <c r="C5" i="20"/>
  <c r="H11" i="9"/>
  <c r="AZ88" i="6"/>
  <c r="X9" i="5"/>
  <c r="X8" i="5"/>
  <c r="X7" i="5"/>
  <c r="X6" i="5"/>
  <c r="X5" i="5"/>
  <c r="Q7" i="5"/>
  <c r="E5" i="21" s="1"/>
  <c r="Q6" i="5"/>
  <c r="Q5" i="5"/>
  <c r="C7" i="5"/>
  <c r="C6" i="5"/>
  <c r="C5" i="5"/>
  <c r="C15" i="5"/>
  <c r="C14" i="5"/>
  <c r="C13" i="5"/>
  <c r="C12" i="5"/>
  <c r="C11" i="5"/>
  <c r="C10" i="5"/>
  <c r="E5" i="22" l="1"/>
  <c r="C5" i="22"/>
  <c r="C5" i="21"/>
  <c r="J7" i="5"/>
  <c r="E5" i="20" s="1"/>
  <c r="X89" i="7" l="1"/>
  <c r="Y86" i="7" s="1"/>
  <c r="Z86" i="7" s="1"/>
  <c r="X71" i="7"/>
  <c r="Y68" i="7" s="1"/>
  <c r="Z68" i="7" s="1"/>
  <c r="X53" i="7"/>
  <c r="Y49" i="7" s="1"/>
  <c r="Z49" i="7" s="1"/>
  <c r="X35" i="7"/>
  <c r="Y33" i="7" s="1"/>
  <c r="Z33" i="7" s="1"/>
  <c r="X16" i="7"/>
  <c r="Y14" i="7" s="1"/>
  <c r="Z14" i="7" s="1"/>
  <c r="Y28" i="7" l="1"/>
  <c r="Y45" i="7"/>
  <c r="Y63" i="7"/>
  <c r="Y27" i="7"/>
  <c r="Y62" i="7"/>
  <c r="Y80" i="7"/>
  <c r="Y44" i="7"/>
  <c r="Y81" i="7"/>
  <c r="Y26" i="7"/>
  <c r="Y46" i="7"/>
  <c r="Y64" i="7"/>
  <c r="Y82" i="7"/>
  <c r="X16" i="5"/>
  <c r="Y12" i="5" s="1"/>
  <c r="Z12" i="5" s="1"/>
  <c r="Y5" i="7"/>
  <c r="Y43" i="7"/>
  <c r="Y67" i="7"/>
  <c r="Z67" i="7" s="1"/>
  <c r="Y48" i="7"/>
  <c r="Y51" i="7"/>
  <c r="Z51" i="7" s="1"/>
  <c r="X54" i="7"/>
  <c r="Y11" i="7"/>
  <c r="Y84" i="7"/>
  <c r="Y8" i="7"/>
  <c r="Y85" i="7"/>
  <c r="Z85" i="7" s="1"/>
  <c r="Y13" i="7"/>
  <c r="Z13" i="7" s="1"/>
  <c r="X17" i="7"/>
  <c r="AA6" i="7" s="1"/>
  <c r="Y12" i="7"/>
  <c r="Z12" i="7" s="1"/>
  <c r="Y66" i="7"/>
  <c r="Y69" i="7"/>
  <c r="Z69" i="7" s="1"/>
  <c r="Y88" i="7"/>
  <c r="Z88" i="7" s="1"/>
  <c r="X90" i="7"/>
  <c r="Y10" i="7"/>
  <c r="Y15" i="7"/>
  <c r="Z15" i="7" s="1"/>
  <c r="Y7" i="7"/>
  <c r="Y70" i="7"/>
  <c r="Z70" i="7" s="1"/>
  <c r="Y78" i="7"/>
  <c r="Y87" i="7"/>
  <c r="Z87" i="7" s="1"/>
  <c r="Y9" i="7"/>
  <c r="Y60" i="7"/>
  <c r="Y83" i="7"/>
  <c r="Y79" i="7"/>
  <c r="X72" i="7"/>
  <c r="Y65" i="7"/>
  <c r="Y61" i="7"/>
  <c r="Y52" i="7"/>
  <c r="Z52" i="7" s="1"/>
  <c r="Y50" i="7"/>
  <c r="Z50" i="7" s="1"/>
  <c r="Y47" i="7"/>
  <c r="Y42" i="7"/>
  <c r="Y34" i="7"/>
  <c r="Z34" i="7" s="1"/>
  <c r="Y24" i="7"/>
  <c r="Y25" i="7"/>
  <c r="Y31" i="7"/>
  <c r="Z31" i="7" s="1"/>
  <c r="Y30" i="7"/>
  <c r="Y29" i="7"/>
  <c r="X36" i="7"/>
  <c r="Y32" i="7"/>
  <c r="Z32" i="7" s="1"/>
  <c r="Y6" i="7"/>
  <c r="X34" i="5"/>
  <c r="X70" i="5"/>
  <c r="Y60" i="5" s="1"/>
  <c r="X52" i="5"/>
  <c r="Y43" i="5" s="1"/>
  <c r="Y30" i="5" l="1"/>
  <c r="Z30" i="5" s="1"/>
  <c r="Y122" i="5"/>
  <c r="Z122" i="5" s="1"/>
  <c r="Y121" i="5"/>
  <c r="Z121" i="5" s="1"/>
  <c r="Y101" i="5"/>
  <c r="Y87" i="5"/>
  <c r="Z87" i="5" s="1"/>
  <c r="Y100" i="5"/>
  <c r="Z100" i="5" s="1"/>
  <c r="Y99" i="5"/>
  <c r="Y83" i="5"/>
  <c r="Y116" i="5"/>
  <c r="Y123" i="5"/>
  <c r="Z123" i="5" s="1"/>
  <c r="Y82" i="5"/>
  <c r="Z82" i="5" s="1"/>
  <c r="Y80" i="5"/>
  <c r="Y85" i="5"/>
  <c r="Z85" i="5" s="1"/>
  <c r="Y105" i="5"/>
  <c r="Z105" i="5" s="1"/>
  <c r="Y81" i="5"/>
  <c r="Y79" i="5"/>
  <c r="Z79" i="5" s="1"/>
  <c r="Y119" i="5"/>
  <c r="Y102" i="5"/>
  <c r="Z102" i="5" s="1"/>
  <c r="Y84" i="5"/>
  <c r="Z84" i="5" s="1"/>
  <c r="Y120" i="5"/>
  <c r="Z120" i="5" s="1"/>
  <c r="Y97" i="5"/>
  <c r="Z97" i="5" s="1"/>
  <c r="Y104" i="5"/>
  <c r="Z104" i="5" s="1"/>
  <c r="Y103" i="5"/>
  <c r="Z103" i="5" s="1"/>
  <c r="Y115" i="5"/>
  <c r="Z115" i="5" s="1"/>
  <c r="Y98" i="5"/>
  <c r="Y118" i="5"/>
  <c r="Z118" i="5" s="1"/>
  <c r="Y117" i="5"/>
  <c r="Y86" i="5"/>
  <c r="Z86" i="5" s="1"/>
  <c r="Z5" i="7"/>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D13" i="22"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Z43" i="5" l="1"/>
  <c r="AB42" i="7"/>
  <c r="D15" i="22" s="1"/>
  <c r="AB62" i="7"/>
  <c r="F16" i="22" s="1"/>
  <c r="AB80" i="7"/>
  <c r="F17" i="22" s="1"/>
  <c r="AB44" i="7"/>
  <c r="F15" i="22" s="1"/>
  <c r="AB26" i="7"/>
  <c r="F14" i="22" s="1"/>
  <c r="AB7" i="7"/>
  <c r="F13" i="22" s="1"/>
  <c r="Z10" i="5"/>
  <c r="AB10" i="7"/>
  <c r="H13" i="22" s="1"/>
  <c r="AA41" i="5"/>
  <c r="AA42" i="5"/>
  <c r="AA46" i="5"/>
  <c r="AA47" i="5"/>
  <c r="AA45" i="5"/>
  <c r="AA43" i="5"/>
  <c r="AA44" i="5"/>
  <c r="AA59" i="5"/>
  <c r="AA60" i="5"/>
  <c r="AA61" i="5"/>
  <c r="AA62" i="5"/>
  <c r="AA63" i="5"/>
  <c r="AA65" i="5"/>
  <c r="AA64" i="5"/>
  <c r="Z41" i="5"/>
  <c r="AB47" i="7"/>
  <c r="H15" i="22" s="1"/>
  <c r="Z28" i="5"/>
  <c r="Z7" i="5"/>
  <c r="Z23" i="5"/>
  <c r="Z46" i="5"/>
  <c r="Z5" i="5"/>
  <c r="Z64" i="5"/>
  <c r="Z25" i="5"/>
  <c r="AA24" i="5"/>
  <c r="AA29" i="5"/>
  <c r="AA27" i="5"/>
  <c r="AA25" i="5"/>
  <c r="AA26" i="5"/>
  <c r="AA28" i="5"/>
  <c r="AA11" i="5"/>
  <c r="AA8" i="5"/>
  <c r="AA7" i="5"/>
  <c r="AA10" i="5"/>
  <c r="AA6" i="5"/>
  <c r="AA9" i="5"/>
  <c r="Z61" i="5"/>
  <c r="AB25" i="5" l="1"/>
  <c r="F7" i="22" s="1"/>
  <c r="AB61" i="5"/>
  <c r="F9" i="22" s="1"/>
  <c r="AB10" i="5"/>
  <c r="H5" i="22" s="1"/>
  <c r="AB7" i="5"/>
  <c r="F5" i="22" s="1"/>
  <c r="AB59" i="5"/>
  <c r="D9" i="22" s="1"/>
  <c r="AB41" i="5"/>
  <c r="D8" i="22" s="1"/>
  <c r="AB43" i="5"/>
  <c r="F8" i="22" s="1"/>
  <c r="AB64" i="5"/>
  <c r="H9" i="22" s="1"/>
  <c r="AB23" i="5"/>
  <c r="D7" i="22" s="1"/>
  <c r="AB46" i="5"/>
  <c r="H8" i="22" s="1"/>
  <c r="AB5" i="5"/>
  <c r="AD5" i="5" l="1"/>
  <c r="D5" i="22"/>
  <c r="AD7" i="5"/>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AB83" i="7" l="1"/>
  <c r="H17" i="22" s="1"/>
  <c r="AB78" i="7"/>
  <c r="D17" i="22" s="1"/>
  <c r="AB65" i="7"/>
  <c r="H16" i="22" s="1"/>
  <c r="AB60" i="7"/>
  <c r="D16" i="22" s="1"/>
  <c r="BC41" i="8"/>
  <c r="BC40" i="8"/>
  <c r="BC39" i="8"/>
  <c r="AB29" i="7"/>
  <c r="H14" i="22" s="1"/>
  <c r="AB24" i="7"/>
  <c r="D14" i="22" s="1"/>
  <c r="BC7" i="8"/>
  <c r="G14" i="9" l="1"/>
  <c r="BC71" i="8"/>
  <c r="BC72" i="8"/>
  <c r="BC73" i="8"/>
  <c r="BC57" i="8"/>
  <c r="BC55" i="8"/>
  <c r="BC56" i="8"/>
  <c r="BC24" i="8"/>
  <c r="BC25" i="8"/>
  <c r="BC23" i="8"/>
  <c r="BC9" i="8"/>
  <c r="BC8" i="8"/>
  <c r="G16"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7" i="9"/>
  <c r="G15" i="9"/>
  <c r="G13" i="9"/>
  <c r="E17" i="9"/>
  <c r="E16" i="9"/>
  <c r="E15" i="9"/>
  <c r="E14" i="9"/>
  <c r="E13" i="9"/>
  <c r="C17" i="9"/>
  <c r="C16" i="9"/>
  <c r="C15" i="9"/>
  <c r="C14" i="9"/>
  <c r="C13" i="9"/>
  <c r="Q17" i="7" l="1"/>
  <c r="T7" i="7" s="1"/>
  <c r="U7" i="7" s="1"/>
  <c r="F13" i="21" s="1"/>
  <c r="R7" i="7"/>
  <c r="S7" i="7" s="1"/>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H7" i="22" s="1"/>
  <c r="BC23" i="6"/>
  <c r="Q15" i="5"/>
  <c r="Q14" i="5"/>
  <c r="Q13" i="5"/>
  <c r="E5" i="9"/>
  <c r="Q16" i="5" l="1"/>
  <c r="T6" i="7"/>
  <c r="T11" i="7"/>
  <c r="T5" i="7"/>
  <c r="T10" i="7"/>
  <c r="L5" i="7"/>
  <c r="S60" i="7"/>
  <c r="BC24" i="6"/>
  <c r="BC25" i="6"/>
  <c r="BB8" i="8"/>
  <c r="AZ9" i="8"/>
  <c r="E8" i="9"/>
  <c r="AZ8" i="8"/>
  <c r="C5" i="9"/>
  <c r="J16" i="5"/>
  <c r="K7" i="5" s="1"/>
  <c r="C16" i="5"/>
  <c r="D5" i="5" s="1"/>
  <c r="T84" i="7"/>
  <c r="M79" i="7"/>
  <c r="E78" i="7"/>
  <c r="L78" i="7"/>
  <c r="E83" i="7"/>
  <c r="T29" i="7"/>
  <c r="H17" i="9"/>
  <c r="AZ73" i="8"/>
  <c r="F17" i="9"/>
  <c r="AZ72" i="8"/>
  <c r="S29" i="7"/>
  <c r="T30" i="7"/>
  <c r="T24" i="7"/>
  <c r="U24" i="7" s="1"/>
  <c r="D14" i="21" s="1"/>
  <c r="T26" i="7"/>
  <c r="U26" i="7" s="1"/>
  <c r="F14" i="21" s="1"/>
  <c r="S24" i="7"/>
  <c r="S42" i="7"/>
  <c r="G78" i="7"/>
  <c r="G42" i="7"/>
  <c r="M62" i="7"/>
  <c r="N62" i="7" s="1"/>
  <c r="F16" i="20" s="1"/>
  <c r="G47" i="7"/>
  <c r="M65" i="7"/>
  <c r="E29" i="7"/>
  <c r="M80" i="7"/>
  <c r="N80" i="7" s="1"/>
  <c r="F17" i="20" s="1"/>
  <c r="M83" i="7"/>
  <c r="N83" i="7" s="1"/>
  <c r="H17" i="20" s="1"/>
  <c r="E65" i="7"/>
  <c r="E42" i="7"/>
  <c r="E47" i="7"/>
  <c r="L24" i="7"/>
  <c r="S5" i="7"/>
  <c r="M78" i="7"/>
  <c r="T78" i="7"/>
  <c r="U78" i="7" s="1"/>
  <c r="D17" i="21" s="1"/>
  <c r="S78" i="7"/>
  <c r="L83" i="7"/>
  <c r="S10" i="7"/>
  <c r="G5" i="7"/>
  <c r="F26" i="7"/>
  <c r="G26" i="7" s="1"/>
  <c r="F25" i="7"/>
  <c r="F24" i="7"/>
  <c r="M11" i="7"/>
  <c r="T83" i="7"/>
  <c r="M29" i="7"/>
  <c r="M66" i="7"/>
  <c r="F29" i="7"/>
  <c r="G29" i="7" s="1"/>
  <c r="E60" i="7"/>
  <c r="M26" i="7"/>
  <c r="N26" i="7" s="1"/>
  <c r="F14" i="20" s="1"/>
  <c r="M24" i="7"/>
  <c r="N24" i="7" s="1"/>
  <c r="D14" i="20" s="1"/>
  <c r="M30" i="7"/>
  <c r="T80" i="7"/>
  <c r="U80" i="7" s="1"/>
  <c r="F17" i="21" s="1"/>
  <c r="F15" i="9"/>
  <c r="AZ40" i="8"/>
  <c r="L60" i="7"/>
  <c r="M61" i="7"/>
  <c r="N60" i="7" s="1"/>
  <c r="D16" i="20" s="1"/>
  <c r="M7" i="7"/>
  <c r="N7" i="7" s="1"/>
  <c r="F13" i="20" s="1"/>
  <c r="M5" i="7"/>
  <c r="N5" i="7" s="1"/>
  <c r="D13" i="20" s="1"/>
  <c r="L10" i="7"/>
  <c r="L47" i="7"/>
  <c r="M10" i="7"/>
  <c r="T62" i="7"/>
  <c r="U62" i="7" s="1"/>
  <c r="F16" i="21" s="1"/>
  <c r="S65" i="7"/>
  <c r="T66" i="7"/>
  <c r="U65" i="7" s="1"/>
  <c r="H16" i="21" s="1"/>
  <c r="T61" i="7"/>
  <c r="T60" i="7"/>
  <c r="L65" i="7"/>
  <c r="T48" i="7"/>
  <c r="T44" i="7"/>
  <c r="U44" i="7" s="1"/>
  <c r="F15" i="21" s="1"/>
  <c r="T43" i="7"/>
  <c r="T42" i="7"/>
  <c r="T47" i="7"/>
  <c r="M48" i="7"/>
  <c r="M44" i="7"/>
  <c r="N44" i="7" s="1"/>
  <c r="F15" i="20" s="1"/>
  <c r="M43" i="7"/>
  <c r="M42" i="7"/>
  <c r="M47" i="7"/>
  <c r="L42" i="7"/>
  <c r="F62" i="7"/>
  <c r="G62" i="7" s="1"/>
  <c r="F65" i="7"/>
  <c r="F66" i="7"/>
  <c r="F61" i="7"/>
  <c r="G60" i="7" s="1"/>
  <c r="G5" i="9"/>
  <c r="G8"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3" i="21" s="1"/>
  <c r="U10" i="7"/>
  <c r="R32" i="5"/>
  <c r="S32" i="5" s="1"/>
  <c r="R25" i="5"/>
  <c r="S25" i="5" s="1"/>
  <c r="R15" i="5"/>
  <c r="S15" i="5" s="1"/>
  <c r="Q17" i="5"/>
  <c r="T5" i="5" s="1"/>
  <c r="R12" i="5"/>
  <c r="S12" i="5" s="1"/>
  <c r="R11" i="5"/>
  <c r="BB24" i="8"/>
  <c r="BB57" i="8"/>
  <c r="BB23" i="8"/>
  <c r="BB72" i="8"/>
  <c r="BB40" i="8"/>
  <c r="BB56" i="8"/>
  <c r="BB71" i="8"/>
  <c r="H15" i="9"/>
  <c r="AZ7" i="8"/>
  <c r="AZ39" i="8"/>
  <c r="K12" i="5"/>
  <c r="L12" i="5" s="1"/>
  <c r="BA72" i="8"/>
  <c r="BA56" i="8"/>
  <c r="BA8" i="8"/>
  <c r="BA23" i="8"/>
  <c r="BA7" i="8"/>
  <c r="BA55" i="8"/>
  <c r="BA24" i="8"/>
  <c r="BA40" i="8"/>
  <c r="BA73" i="8"/>
  <c r="K33" i="5"/>
  <c r="L33" i="5" s="1"/>
  <c r="K25" i="5"/>
  <c r="L25" i="5" s="1"/>
  <c r="K48" i="5"/>
  <c r="L48" i="5" s="1"/>
  <c r="K43" i="5"/>
  <c r="L43" i="5" s="1"/>
  <c r="N78" i="7"/>
  <c r="D17" i="20" s="1"/>
  <c r="U83" i="7"/>
  <c r="H17" i="21" s="1"/>
  <c r="U47" i="7"/>
  <c r="H15" i="21" s="1"/>
  <c r="U29" i="7"/>
  <c r="H14" i="21" s="1"/>
  <c r="N65" i="7"/>
  <c r="H16" i="20" s="1"/>
  <c r="F16" i="9"/>
  <c r="AZ56" i="8"/>
  <c r="D17" i="9"/>
  <c r="AZ71" i="8"/>
  <c r="D16" i="9"/>
  <c r="AZ55" i="8"/>
  <c r="D15" i="9"/>
  <c r="D49" i="5"/>
  <c r="E49" i="5" s="1"/>
  <c r="AZ41" i="8"/>
  <c r="N29" i="7"/>
  <c r="H14" i="20" s="1"/>
  <c r="G24" i="7"/>
  <c r="N10" i="7"/>
  <c r="H13" i="20" s="1"/>
  <c r="F14" i="9"/>
  <c r="AZ24" i="8"/>
  <c r="D59" i="5"/>
  <c r="H14" i="9"/>
  <c r="AZ25" i="8"/>
  <c r="N42" i="7"/>
  <c r="D15" i="20" s="1"/>
  <c r="U60" i="7"/>
  <c r="D16" i="21" s="1"/>
  <c r="U42" i="7"/>
  <c r="D15" i="21" s="1"/>
  <c r="N47" i="7"/>
  <c r="H15" i="20" s="1"/>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3" i="9"/>
  <c r="R5" i="5"/>
  <c r="R6" i="5"/>
  <c r="R7" i="5"/>
  <c r="S7" i="5" s="1"/>
  <c r="R10" i="5"/>
  <c r="R14" i="5"/>
  <c r="S14" i="5" s="1"/>
  <c r="R13" i="5"/>
  <c r="S13" i="5" s="1"/>
  <c r="J17" i="5"/>
  <c r="L7" i="5"/>
  <c r="K5" i="5"/>
  <c r="K15" i="5"/>
  <c r="L15" i="5" s="1"/>
  <c r="BC7" i="6"/>
  <c r="BC9" i="6"/>
  <c r="J71" i="5"/>
  <c r="M61" i="5" s="1"/>
  <c r="N61" i="5" s="1"/>
  <c r="F9" i="20"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7" i="9"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9" i="8" l="1"/>
  <c r="H13" i="21"/>
  <c r="BB7" i="8"/>
  <c r="S5" i="5"/>
  <c r="BB41" i="8"/>
  <c r="BB73" i="8"/>
  <c r="BB55" i="8"/>
  <c r="BB25" i="8"/>
  <c r="BB39" i="8"/>
  <c r="T6" i="5"/>
  <c r="T7" i="5"/>
  <c r="U7" i="5" s="1"/>
  <c r="F5" i="21" s="1"/>
  <c r="D14" i="9"/>
  <c r="F59" i="5"/>
  <c r="BA9" i="8"/>
  <c r="BA57" i="8"/>
  <c r="BA71" i="8"/>
  <c r="BA56" i="6"/>
  <c r="BA41" i="8"/>
  <c r="BA39" i="8"/>
  <c r="BA25" i="8"/>
  <c r="M42" i="5"/>
  <c r="M43" i="5"/>
  <c r="N43" i="5" s="1"/>
  <c r="F8" i="20" s="1"/>
  <c r="M10" i="5"/>
  <c r="M7" i="5"/>
  <c r="N7" i="5" s="1"/>
  <c r="F5" i="20" s="1"/>
  <c r="E46" i="5"/>
  <c r="F65" i="5"/>
  <c r="G64" i="5" s="1"/>
  <c r="H9" i="9" s="1"/>
  <c r="E41" i="5"/>
  <c r="H16" i="9"/>
  <c r="AZ57" i="8"/>
  <c r="S64" i="5"/>
  <c r="F42" i="5"/>
  <c r="E59" i="5"/>
  <c r="F41" i="5"/>
  <c r="AZ23" i="8"/>
  <c r="G23" i="5"/>
  <c r="D7" i="9" s="1"/>
  <c r="E23" i="5"/>
  <c r="T11" i="5"/>
  <c r="F43" i="5"/>
  <c r="G43" i="5" s="1"/>
  <c r="T10" i="5"/>
  <c r="F47" i="5"/>
  <c r="G46" i="5" s="1"/>
  <c r="F61" i="5"/>
  <c r="G61" i="5" s="1"/>
  <c r="F9" i="9" s="1"/>
  <c r="F60" i="5"/>
  <c r="F5" i="5"/>
  <c r="F6" i="5"/>
  <c r="AZ24" i="6"/>
  <c r="H13" i="9"/>
  <c r="D13" i="9"/>
  <c r="M11" i="5"/>
  <c r="M65" i="5"/>
  <c r="M5" i="5"/>
  <c r="M6" i="5"/>
  <c r="L5" i="5"/>
  <c r="S46" i="5"/>
  <c r="S10" i="5"/>
  <c r="G28" i="5"/>
  <c r="H7" i="9" s="1"/>
  <c r="L10" i="5"/>
  <c r="M60" i="5"/>
  <c r="L41" i="5"/>
  <c r="M46" i="5"/>
  <c r="M59" i="5"/>
  <c r="M64" i="5"/>
  <c r="L59" i="5"/>
  <c r="L64" i="5"/>
  <c r="L46" i="5"/>
  <c r="M41" i="5"/>
  <c r="M47" i="5"/>
  <c r="S59" i="5"/>
  <c r="S41" i="5"/>
  <c r="T47" i="5"/>
  <c r="T42" i="5"/>
  <c r="T46" i="5"/>
  <c r="T41" i="5"/>
  <c r="T43" i="5"/>
  <c r="U43" i="5" s="1"/>
  <c r="F8" i="21" s="1"/>
  <c r="L23" i="5"/>
  <c r="L28" i="5"/>
  <c r="E28" i="5"/>
  <c r="T60" i="5"/>
  <c r="T61" i="5"/>
  <c r="U61" i="5" s="1"/>
  <c r="F9" i="21" s="1"/>
  <c r="T64" i="5"/>
  <c r="T59" i="5"/>
  <c r="T65" i="5"/>
  <c r="S28" i="5"/>
  <c r="T29" i="5"/>
  <c r="T28" i="5"/>
  <c r="T23" i="5"/>
  <c r="T24" i="5"/>
  <c r="T25" i="5"/>
  <c r="U25" i="5" s="1"/>
  <c r="F7" i="21" s="1"/>
  <c r="S23" i="5"/>
  <c r="N25" i="5"/>
  <c r="F7" i="20" s="1"/>
  <c r="M24" i="5"/>
  <c r="M23" i="5"/>
  <c r="M28" i="5"/>
  <c r="M29" i="5"/>
  <c r="E10" i="5"/>
  <c r="F10" i="5"/>
  <c r="F11" i="5"/>
  <c r="F7" i="5"/>
  <c r="G7" i="5" s="1"/>
  <c r="N41" i="5" l="1"/>
  <c r="D8" i="20" s="1"/>
  <c r="G5" i="5"/>
  <c r="G59" i="5"/>
  <c r="D9" i="9" s="1"/>
  <c r="BB24" i="6"/>
  <c r="BB56" i="6"/>
  <c r="BB40" i="6"/>
  <c r="BB8" i="6"/>
  <c r="U5" i="5"/>
  <c r="D5" i="21" s="1"/>
  <c r="U10" i="5"/>
  <c r="H5" i="21" s="1"/>
  <c r="H8" i="9"/>
  <c r="AZ40" i="6"/>
  <c r="BA24" i="6"/>
  <c r="BA8" i="6"/>
  <c r="BA40" i="6"/>
  <c r="N10" i="5"/>
  <c r="H5" i="20" s="1"/>
  <c r="AZ23" i="6"/>
  <c r="F8" i="9"/>
  <c r="AZ41" i="6"/>
  <c r="G41" i="5"/>
  <c r="AZ57" i="6"/>
  <c r="AZ8" i="6"/>
  <c r="F5" i="9"/>
  <c r="AZ25" i="6"/>
  <c r="AZ56" i="6"/>
  <c r="N5" i="5"/>
  <c r="D5" i="20" s="1"/>
  <c r="N64" i="5"/>
  <c r="H9" i="20" s="1"/>
  <c r="N59" i="5"/>
  <c r="D9" i="20" s="1"/>
  <c r="N46" i="5"/>
  <c r="H8" i="20" s="1"/>
  <c r="U41" i="5"/>
  <c r="D8" i="21" s="1"/>
  <c r="U46" i="5"/>
  <c r="H8" i="21" s="1"/>
  <c r="U28" i="5"/>
  <c r="H7" i="21" s="1"/>
  <c r="U64" i="5"/>
  <c r="H9" i="21" s="1"/>
  <c r="N23" i="5"/>
  <c r="D7" i="20" s="1"/>
  <c r="U59" i="5"/>
  <c r="D9" i="21" s="1"/>
  <c r="N28" i="5"/>
  <c r="H7" i="20" s="1"/>
  <c r="U23" i="5"/>
  <c r="D7" i="21" s="1"/>
  <c r="G10" i="5"/>
  <c r="BB39" i="6" l="1"/>
  <c r="AZ55" i="6"/>
  <c r="BB23" i="6"/>
  <c r="BB57" i="6"/>
  <c r="BB25" i="6"/>
  <c r="BB9" i="6"/>
  <c r="BB55" i="6"/>
  <c r="BB41" i="6"/>
  <c r="BB7" i="6"/>
  <c r="D5" i="9"/>
  <c r="D8" i="9"/>
  <c r="BA23" i="6"/>
  <c r="BA55" i="6"/>
  <c r="BA9" i="6"/>
  <c r="BA41" i="6"/>
  <c r="BA39" i="6"/>
  <c r="BA25" i="6"/>
  <c r="BA57" i="6"/>
  <c r="BA7" i="6"/>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charset val="1"/>
          </rPr>
          <t>(NUMERICAL INDICATORS ONLY)</t>
        </r>
      </text>
    </comment>
    <comment ref="K2" authorId="0" shapeId="0">
      <text>
        <r>
          <rPr>
            <b/>
            <sz val="9"/>
            <color indexed="81"/>
            <rFont val="Tahoma"/>
            <charset val="1"/>
          </rPr>
          <t>(NUMERICAL INDICATORS ONLY)</t>
        </r>
      </text>
    </comment>
    <comment ref="L2" authorId="0" shapeId="0">
      <text>
        <r>
          <rPr>
            <b/>
            <sz val="9"/>
            <color indexed="81"/>
            <rFont val="Tahoma"/>
            <charset val="1"/>
          </rPr>
          <t>(NUMERICAL INDICATORS ONLY)</t>
        </r>
      </text>
    </comment>
    <comment ref="P2" authorId="0" shapeId="0">
      <text>
        <r>
          <rPr>
            <b/>
            <sz val="9"/>
            <color indexed="81"/>
            <rFont val="Tahoma"/>
            <charset val="1"/>
          </rPr>
          <t>(NUMERICAL INDICATORS ONLY)</t>
        </r>
      </text>
    </comment>
    <comment ref="Q2" authorId="0" shapeId="0">
      <text>
        <r>
          <rPr>
            <b/>
            <sz val="9"/>
            <color indexed="81"/>
            <rFont val="Tahoma"/>
            <charset val="1"/>
          </rPr>
          <t>(NUMERICAL INDICATORS ONLY)</t>
        </r>
      </text>
    </comment>
    <comment ref="U2" authorId="0" shapeId="0">
      <text>
        <r>
          <rPr>
            <b/>
            <sz val="9"/>
            <color indexed="81"/>
            <rFont val="Tahoma"/>
            <charset val="1"/>
          </rPr>
          <t>(NUMERICAL INDICATORS ONLY)</t>
        </r>
      </text>
    </comment>
  </commentList>
</comments>
</file>

<file path=xl/comments2.xml><?xml version="1.0" encoding="utf-8"?>
<comments xmlns="http://schemas.openxmlformats.org/spreadsheetml/2006/main">
  <authors>
    <author>Jennifer Norman</author>
  </authors>
  <commentList>
    <comment ref="G1" authorId="0" shapeId="0">
      <text>
        <r>
          <rPr>
            <b/>
            <sz val="9"/>
            <color indexed="81"/>
            <rFont val="Tahoma"/>
            <charset val="1"/>
          </rPr>
          <t>Please note that all charts shown below can be amended to be displayed in alternative styles. Please right click on the relevant chart, select "change chart type" and choose your preferred chart option.</t>
        </r>
      </text>
    </comment>
  </commentList>
</comments>
</file>

<file path=xl/comments3.xml><?xml version="1.0" encoding="utf-8"?>
<comments xmlns="http://schemas.openxmlformats.org/spreadsheetml/2006/main">
  <authors>
    <author>Jennifer Norman</author>
  </authors>
  <commentList>
    <comment ref="F1" authorId="0" shapeId="0">
      <text>
        <r>
          <rPr>
            <b/>
            <sz val="9"/>
            <color indexed="81"/>
            <rFont val="Tahoma"/>
            <charset val="1"/>
          </rPr>
          <t>Please note that all charts shown below can be amended to be displayed in alternative styles. Please right click on the relevant chart, select "change chart type" and choose your preferred chart option.</t>
        </r>
        <r>
          <rPr>
            <sz val="9"/>
            <color indexed="81"/>
            <rFont val="Tahoma"/>
            <charset val="1"/>
          </rPr>
          <t xml:space="preserve">
</t>
        </r>
      </text>
    </comment>
  </commentList>
</comments>
</file>

<file path=xl/sharedStrings.xml><?xml version="1.0" encoding="utf-8"?>
<sst xmlns="http://schemas.openxmlformats.org/spreadsheetml/2006/main" count="2831" uniqueCount="621">
  <si>
    <t>Measures</t>
  </si>
  <si>
    <t>Target 2019/20</t>
  </si>
  <si>
    <t>Increasing Staffing Availability Through Reduced Sickness</t>
  </si>
  <si>
    <t>Minimise The Number Of Missed Bin Collections</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</si>
  <si>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</si>
  <si>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</si>
  <si>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</si>
  <si>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</si>
  <si>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</si>
  <si>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Portfolio</t>
  </si>
  <si>
    <t>Service</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</si>
  <si>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</si>
  <si>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</si>
  <si>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</si>
  <si>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</si>
  <si>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</si>
  <si>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</si>
  <si>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</si>
  <si>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</si>
  <si>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</si>
  <si>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</si>
  <si>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</si>
  <si>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</si>
  <si>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</si>
  <si>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</si>
  <si>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</si>
  <si>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</si>
  <si>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</si>
  <si>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</si>
  <si>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</si>
  <si>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</si>
  <si>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</si>
  <si>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</si>
  <si>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</si>
  <si>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</si>
  <si>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</si>
  <si>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</si>
  <si>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</si>
  <si>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</si>
  <si>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</si>
  <si>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</si>
  <si>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</si>
  <si>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</si>
  <si>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</si>
  <si>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</si>
  <si>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</si>
  <si>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</si>
  <si>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</si>
  <si>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</si>
  <si>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</si>
  <si>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</si>
  <si>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</si>
  <si>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</si>
  <si>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Charts by Corporate Priority</t>
  </si>
  <si>
    <t>OVERALL PERFORMANCE</t>
  </si>
  <si>
    <t>Green</t>
  </si>
  <si>
    <t>Amber</t>
  </si>
  <si>
    <t>Red</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</si>
  <si>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</si>
  <si>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</si>
  <si>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</si>
  <si>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</si>
  <si>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</si>
  <si>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</si>
  <si>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</si>
  <si>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</si>
  <si>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</si>
  <si>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</si>
  <si>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</si>
  <si>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</si>
  <si>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</si>
  <si>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</si>
  <si>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</si>
  <si>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</si>
  <si>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</si>
  <si>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</si>
  <si>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</si>
  <si>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</si>
  <si>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</si>
  <si>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</si>
  <si>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Average time from appointment to initial decision for homeless applicants of 3 days</t>
  </si>
  <si>
    <t>Report on the performance of the Leisure Operator on a quarterly basis</t>
  </si>
  <si>
    <t>Quarter 2 
(July - September 2021)</t>
  </si>
  <si>
    <t>QUARTER 2: July - September 2021</t>
  </si>
  <si>
    <t>Quarter 3
(October - December 2021)</t>
  </si>
  <si>
    <t>QUARTER 3: October - December 2021</t>
  </si>
  <si>
    <t>Quarter 4
(January - March 2022)</t>
  </si>
  <si>
    <t>QUARTER 4: January - March 2022</t>
  </si>
  <si>
    <t>Developing Tourism within the Borough</t>
  </si>
  <si>
    <t>Improve the Washlands as a regional attraction</t>
  </si>
  <si>
    <t>Support economic growth in East Staffordshire</t>
  </si>
  <si>
    <t xml:space="preserve">Maintain Performance On Recycling </t>
  </si>
  <si>
    <t>Maintain ‘Key to Key’ Void Turnaround to an average of 6 working days</t>
  </si>
  <si>
    <t>Developing Healthy Lifestyles</t>
  </si>
  <si>
    <t>Top Quartile as measured against relevant DLUHC figures</t>
  </si>
  <si>
    <t>Keeping Members informed on Planning Matters</t>
  </si>
  <si>
    <t>SMARTER Planning Services</t>
  </si>
  <si>
    <t>Climate Change Initiatives</t>
  </si>
  <si>
    <t>Brewhouse and Town Hall Service</t>
  </si>
  <si>
    <t>Maintain Performance For Street Cleansing</t>
  </si>
  <si>
    <t>Produce an update report and next steps for revised Housing Register and Allocations Service Contract</t>
  </si>
  <si>
    <t>Performance report identifying the reduction in empty homes</t>
  </si>
  <si>
    <t>Monitor Performance of the Local Plan</t>
  </si>
  <si>
    <t>Improve On The Average Time To Pay Creditors</t>
  </si>
  <si>
    <t>Refresh Member Training</t>
  </si>
  <si>
    <t xml:space="preserve">Time Taken to Process Benefit New Claims and Change Events (Previously NI 181)
Average time: 4.5 days  </t>
  </si>
  <si>
    <t>Quarterly</t>
  </si>
  <si>
    <t>Michael Hovers</t>
  </si>
  <si>
    <t>James Abbott</t>
  </si>
  <si>
    <t>Naomi Perry</t>
  </si>
  <si>
    <t>Margaret Woolley</t>
  </si>
  <si>
    <t>Rachel Liddle</t>
  </si>
  <si>
    <t>Paul Farrer</t>
  </si>
  <si>
    <t>Brett Atkinson</t>
  </si>
  <si>
    <t>Linda McDonald</t>
  </si>
  <si>
    <t>Lisa Turner</t>
  </si>
  <si>
    <t>Reference Number</t>
  </si>
  <si>
    <t>Tourism and Cultural Development</t>
  </si>
  <si>
    <t>Environment and Climate Change</t>
  </si>
  <si>
    <t>End of year forecast as at end of Q1</t>
  </si>
  <si>
    <t>Year to date
(April - Sept 2021)</t>
  </si>
  <si>
    <t>End of year forecast as at end of Q2</t>
  </si>
  <si>
    <t>Year to date
(April - Dec 2021)</t>
  </si>
  <si>
    <t>End of year forecast as at end of Q3</t>
  </si>
  <si>
    <t xml:space="preserve">Cumulative Annual Outturn </t>
  </si>
  <si>
    <t>CP Order</t>
  </si>
  <si>
    <t>2023-24 Corporate Plan Reporting Spreadsheet</t>
  </si>
  <si>
    <t>QUARTER 1: April - June 2023</t>
  </si>
  <si>
    <t>Target 2023-24</t>
  </si>
  <si>
    <t xml:space="preserve">Submit planning application for a Washlands Visitor Centre </t>
  </si>
  <si>
    <t xml:space="preserve">Finalise designs for the Garden of Remembrance enhancements </t>
  </si>
  <si>
    <t xml:space="preserve">Commence the construction of the Washlands Visitor Centre (subject to planning) </t>
  </si>
  <si>
    <t>Deliver the Burton upon Trent High Street Regeneration Project</t>
  </si>
  <si>
    <t xml:space="preserve">Continue to work in partnership with the Heritage Working Group and other stakeholders to develop the museum and heritage centre proposals for the High Street </t>
  </si>
  <si>
    <t xml:space="preserve">Work with partners to support the delivery of the three partner Towns Fund projects </t>
  </si>
  <si>
    <t>Take forward regeneration in Uttoxeter</t>
  </si>
  <si>
    <t>Continue to work in preparation of accessing external funding opportunities, when available, including the third round of the Levelling Up Fund</t>
  </si>
  <si>
    <t>Open Spaces initiatives</t>
  </si>
  <si>
    <t>Provide a third year update on the Parks Development Plan, with a view to reviewing wildflower planting</t>
  </si>
  <si>
    <t>Increase the number of volunteering opportunities from 3 to 6 per week at both the Horticulture Centre and/or Go Garden</t>
  </si>
  <si>
    <t>Work in partnership with external organisations to develop 4 Carbon Capture and Biodiversity areas across the Borough</t>
  </si>
  <si>
    <t>Relaunch the Councillors Community Fund</t>
  </si>
  <si>
    <t>Commence a Community Lottery providing funding opportunities for the local community and voluntary sector</t>
  </si>
  <si>
    <t>Housing Strategy Initiatives: 
Update on Improvements to the Housing Register</t>
  </si>
  <si>
    <t>Annual</t>
  </si>
  <si>
    <t xml:space="preserve">Supporting Sport and Leisure Delivery </t>
  </si>
  <si>
    <t>Supporting Sport and Leisure Delivery</t>
  </si>
  <si>
    <t>Updated Playing Pitch Strategy and review of indoor facilities completed</t>
  </si>
  <si>
    <t>Support the Better Health programme into the delivery phase and represent East Staffordshire through quarterly meetings</t>
  </si>
  <si>
    <t>Launch a grant scheme to support local Tourism businesses to develop projects and activity</t>
  </si>
  <si>
    <t xml:space="preserve">Develop a Tourism framework and Strategic Plan </t>
  </si>
  <si>
    <t>Deliver and baseline footfall for a range of tourism events throughout the year</t>
  </si>
  <si>
    <t>Complete review of way marking around Burton town centre</t>
  </si>
  <si>
    <t>Market Hall Development</t>
  </si>
  <si>
    <t>Consider the outcome of an independent HM Treasury Green Book compliant business case assessment on future  options for the Market Hall</t>
  </si>
  <si>
    <t>Number Of Missed Bin Collections: Achieve 99.97% successful bin collections across the Borough</t>
  </si>
  <si>
    <t>Improve Performance On Waste Reduction</t>
  </si>
  <si>
    <t>Residual Household Waste Per Household: Upper Quartile</t>
  </si>
  <si>
    <t>Household Waste Recycled and Composted: Upper Quartile</t>
  </si>
  <si>
    <t xml:space="preserve">Consider implementation of Food Waste strategy </t>
  </si>
  <si>
    <t>Deliver Borough wide entries for the ‘It’s Your Neighbourhood Park’ awards and maintain the results at 12 Gold Awards and 10 Silver Gilts</t>
  </si>
  <si>
    <t>Support an additional entry to the ‘It’s Your Neighbourhood Park awards scheme during 2023/24</t>
  </si>
  <si>
    <t>Deliver the In Bloom awards and sustain the number of Gold awards at a minimum of 3, across all categories</t>
  </si>
  <si>
    <t>Deliver a third year review of the Council’s Climate Change and Biodiversity Action Plan including delivery against the plan</t>
  </si>
  <si>
    <t>Investigate and identify the best locations for delivering EV off street charging points. Minimum of 4 to be identified</t>
  </si>
  <si>
    <t>Procure energy audits on key council buildings to maximise performance and identify energy efficiency and generation option to form a heat decarbonisation plan</t>
  </si>
  <si>
    <t>Ongoing by March 2024</t>
  </si>
  <si>
    <t>Improving Air Quality</t>
  </si>
  <si>
    <t>Review and update the air quality strategy and action plan</t>
  </si>
  <si>
    <t>Undertake a review of the Public Events Safety Advisory Group procedures and update as required</t>
  </si>
  <si>
    <t>Approve Refreshed Homelessness Strategy</t>
  </si>
  <si>
    <t>Licensing and Enforcement Activities-CCTV</t>
  </si>
  <si>
    <t>Complete roll out/ installation of fixed CCTV cameras</t>
  </si>
  <si>
    <t>Disabled Facilities Grants</t>
  </si>
  <si>
    <t>Work with our Leisure Operator to deliver an enhanced play day experience during summer 2023, providing free access for our local communities.</t>
  </si>
  <si>
    <t>Deliver 6 outdoor events, including activity such as street theatre and performances in our parks</t>
  </si>
  <si>
    <t>Further Enhancing Corporate Communications</t>
  </si>
  <si>
    <t>Introduce a regular Business online newsletter, delivering a minimum of 6 newsletters</t>
  </si>
  <si>
    <t>Improve awareness of Council Services, venues and initiatives</t>
  </si>
  <si>
    <t>Getting ready for the future</t>
  </si>
  <si>
    <t>Go live with the data-modelling of the waste management round configuration</t>
  </si>
  <si>
    <t xml:space="preserve">Report to Cabinet on the new round configuration and procurement requirements of the new waste management vehicles </t>
  </si>
  <si>
    <t>Prepare a Depot Strategy to identify options to future proof the service</t>
  </si>
  <si>
    <t>Carry out Green Vehicle Trial on collection rounds</t>
  </si>
  <si>
    <t>Options review on the approach for the Council’s fleet of small mechanical street cleaning vehicles</t>
  </si>
  <si>
    <t>Provide a 6 monthly update report on the performance of the grounds maintenance contractor</t>
  </si>
  <si>
    <t>Undertake an assessment of the Borough’s tree stock to determine the future impact of environmental factors such as Climate Change and ‘Ash die’ back</t>
  </si>
  <si>
    <t>Delivering Better Services to Support the Cost of Living Crisis</t>
  </si>
  <si>
    <t>Conduct a review of Local Council Tax Reduction Scheme</t>
  </si>
  <si>
    <t xml:space="preserve">Continue to Maximise Income Through Effective Collection Processes </t>
  </si>
  <si>
    <t>Working Towards the Reduction of Claimant Error Housing Benefit Overpayments (HBOPs)</t>
  </si>
  <si>
    <t xml:space="preserve">Maintain Robust Mechanisms for Contract Managing the Leisure Service Arrangements </t>
  </si>
  <si>
    <t>Undertake a review of the grant funding process that currently takes place through the East Staffordshire Sports Council</t>
  </si>
  <si>
    <t>Review of Car Parking Services</t>
  </si>
  <si>
    <t>Undertake a wide ranging review of the current car parking arrangements, including but not limited to; the Parking App, the charging regime and enforcement</t>
  </si>
  <si>
    <t>Complete the refurbishment of the Brewhouse roof</t>
  </si>
  <si>
    <t>Improve purchase order transactions so that the next time Internal Audit review practice in Q4 2023/24, 80% of POs are in place from the Internal Audit sample</t>
  </si>
  <si>
    <t>Review Planning feedback survey data</t>
  </si>
  <si>
    <t>Consider reintroduction of planning pre application advice</t>
  </si>
  <si>
    <t>Enhancing Procurement and Contract Management Processes</t>
  </si>
  <si>
    <t>Further Digital Enhancements</t>
  </si>
  <si>
    <t>Elected Member Intranet Implemented</t>
  </si>
  <si>
    <t xml:space="preserve">Successfully deliver local elections  </t>
  </si>
  <si>
    <t>Borough and Parish Council elections successfully delivered</t>
  </si>
  <si>
    <t xml:space="preserve">Review Member Induction Programme </t>
  </si>
  <si>
    <t xml:space="preserve"> October 2023</t>
  </si>
  <si>
    <t>Improving Financial Stewardship</t>
  </si>
  <si>
    <t>Approve the revised Treasury Management Strategy</t>
  </si>
  <si>
    <t>Approve the revised Medium Term Financial Strategy</t>
  </si>
  <si>
    <t xml:space="preserve">Deliver 4 Elected Member Finance briefings </t>
  </si>
  <si>
    <t>Improve service delivery timescales from ‘enquiry to completion’ by 10% on 22/23 performance</t>
  </si>
  <si>
    <t>Kelly Kerr-Delworth</t>
  </si>
  <si>
    <t>Regeneration and Development</t>
  </si>
  <si>
    <t>Communities and Regulatory Services</t>
  </si>
  <si>
    <t>Encourage businesses to adopt a low waste approach for food and packaging through the delivery of an education programme</t>
  </si>
  <si>
    <t>Finance and Treasury Management</t>
  </si>
  <si>
    <t>Objective</t>
  </si>
  <si>
    <t>ID01</t>
  </si>
  <si>
    <t>Improve local democracy and consultation</t>
  </si>
  <si>
    <t>Hold regular engagement events with businesses throughout the year</t>
  </si>
  <si>
    <t>ID02</t>
  </si>
  <si>
    <t>Hold Question &amp; Answer sessions with Cabinet Members using online and in-person community forums on ad hoc basis</t>
  </si>
  <si>
    <t>ID03</t>
  </si>
  <si>
    <t>Livestream Council meetings</t>
  </si>
  <si>
    <t>ID04</t>
  </si>
  <si>
    <t>Revoke Council Constitution changes from December 2022 and introduce public participation at scrutiny committees</t>
  </si>
  <si>
    <t>ID05</t>
  </si>
  <si>
    <r>
      <rPr>
        <b/>
        <sz val="11"/>
        <rFont val="Arial"/>
        <family val="2"/>
      </rPr>
      <t>Carry out a review of the Communications, Engagement and Consultation Strategy to improve e</t>
    </r>
    <r>
      <rPr>
        <b/>
        <sz val="11"/>
        <color rgb="FF000000"/>
        <rFont val="Arial"/>
        <family val="2"/>
      </rPr>
      <t>xisting council communications work</t>
    </r>
  </si>
  <si>
    <t>ID06</t>
  </si>
  <si>
    <t>PB01</t>
  </si>
  <si>
    <t>Tackling the cost of living crisis</t>
  </si>
  <si>
    <t>With partners, support and advise local residents by commissioning a new local debt advice service</t>
  </si>
  <si>
    <t>From October</t>
  </si>
  <si>
    <t>PB02</t>
  </si>
  <si>
    <t>Retain and enhance warm spaces and warm banks to provide continued support for residents who need help with energy bills</t>
  </si>
  <si>
    <t>PB03</t>
  </si>
  <si>
    <t>Support the work of local groups around the borough by supplying relevant supplies to food banks when stock runs low</t>
  </si>
  <si>
    <t>All year to March 2024</t>
  </si>
  <si>
    <t>PB04</t>
  </si>
  <si>
    <t>Housing and Planning – improve homelessness prevention</t>
  </si>
  <si>
    <t>Review and consider improvements for night shelter facilities</t>
  </si>
  <si>
    <t>PB05</t>
  </si>
  <si>
    <t>Building a Fairer and Greener Local Economy by creating municipal enterprise</t>
  </si>
  <si>
    <t>Produce options for a community wealth-building model to create a municipally (council and public) owned energy firm, suitable for a district authority</t>
  </si>
  <si>
    <r>
      <t xml:space="preserve">Building a Fairer </t>
    </r>
    <r>
      <rPr>
        <b/>
        <sz val="11"/>
        <color rgb="FF000000"/>
        <rFont val="Arial"/>
        <family val="2"/>
      </rPr>
      <t>Local Economy</t>
    </r>
  </si>
  <si>
    <t>PB07</t>
  </si>
  <si>
    <t>Housing and Planning</t>
  </si>
  <si>
    <t>Review and consider improvements for making Section 106 funding process more open and transparent, via the ESBC website and Member Intranet; and consider policy changes to ESBC's s106 approach</t>
  </si>
  <si>
    <t>PB08</t>
  </si>
  <si>
    <t>Standing up for communities</t>
  </si>
  <si>
    <t>Reshape the UK shared prosperity funding to focus more strongly on community needs</t>
  </si>
  <si>
    <t>PB09</t>
  </si>
  <si>
    <t>Approve the detail of UKSPF funding programmes</t>
  </si>
  <si>
    <t>PB10</t>
  </si>
  <si>
    <r>
      <t>Building a Fairer</t>
    </r>
    <r>
      <rPr>
        <b/>
        <sz val="11"/>
        <color rgb="FF000000"/>
        <rFont val="Arial"/>
        <family val="2"/>
      </rPr>
      <t xml:space="preserve"> Local Economy</t>
    </r>
  </si>
  <si>
    <t>Work with partners to create a fair employment charter</t>
  </si>
  <si>
    <t>GD01</t>
  </si>
  <si>
    <t>Identify 150 properties with an EPC of D or below where the occupant is on Council tax reduction to offer a range of energy efficiency measures, including insulation, to reduce fuel poverty</t>
  </si>
  <si>
    <t>GD02</t>
  </si>
  <si>
    <t>Tackling Envirocrime</t>
  </si>
  <si>
    <t>Increase levels of action taken against anti-social behaviour by reviewing the performance of mobile CCTV provision and seeking to achieve a 20% increase in the number of deployments (from 22)</t>
  </si>
  <si>
    <t>Review of progress  December 2023</t>
  </si>
  <si>
    <t>GD03</t>
  </si>
  <si>
    <t>Increase levels of action taken against anti-social behaviour through undertaking 4 initiatives to address fly tipping under the 'Tackle the Tippers' campaign</t>
  </si>
  <si>
    <t>GD04</t>
  </si>
  <si>
    <t>A Green New Deal for East Staffordshire</t>
  </si>
  <si>
    <t>Promote new green technologies in the borough</t>
  </si>
  <si>
    <t>GD05</t>
  </si>
  <si>
    <t xml:space="preserve">Promote increased use of public transport  </t>
  </si>
  <si>
    <t>GD06</t>
  </si>
  <si>
    <t>Work with local cycle firms to provide affordable bike rental for visitors and residents</t>
  </si>
  <si>
    <t>GD07</t>
  </si>
  <si>
    <t>Work with partners to introduce the Passivhaus housing development standard (which will keep heat loss in new homes to a minimum)</t>
  </si>
  <si>
    <t>GD08</t>
  </si>
  <si>
    <t>GD09</t>
  </si>
  <si>
    <t>Find opportunities and create a network of community orchards and wildlife corridors</t>
  </si>
  <si>
    <t>GD10</t>
  </si>
  <si>
    <t>Introduce mobile fly-tipping removal vehicle</t>
  </si>
  <si>
    <t>GD11</t>
  </si>
  <si>
    <t>Ensure fly-tipping is removed as quickly as possible (within 5 days of receipt of notice from CCE team) and disposed of in an environmentally friendly way</t>
  </si>
  <si>
    <t>PH01</t>
  </si>
  <si>
    <t>Protecting our Heritage</t>
  </si>
  <si>
    <t>Consider creating a model of co-operative ownership of Burton Market Hall, with six monthly reporting</t>
  </si>
  <si>
    <t>PH02</t>
  </si>
  <si>
    <t>With the National Brewery Trust, create a timeline and plan to ensure historical archives from the closed NBC are re-housed in the future development</t>
  </si>
  <si>
    <t>PH03</t>
  </si>
  <si>
    <t>With the National Brewery Trust, contact owners of all former NBC artefacts to discuss their return to the future development</t>
  </si>
  <si>
    <t>PH04</t>
  </si>
  <si>
    <t>With the Towns Fund Board, review and adapt High Street linkages project as appropriate</t>
  </si>
  <si>
    <t>PH05</t>
  </si>
  <si>
    <t>Upgrade the Market Hall working group to a scrutiny committee</t>
  </si>
  <si>
    <t>May Full Council meeting 2023</t>
  </si>
  <si>
    <t>SC01</t>
  </si>
  <si>
    <t>Ensuring the right to food</t>
  </si>
  <si>
    <t>September Council meeting</t>
  </si>
  <si>
    <t>SC02</t>
  </si>
  <si>
    <t>Introduce community kitchens in existing council facilities</t>
  </si>
  <si>
    <t>SC03</t>
  </si>
  <si>
    <t>Adopt and publicise the Right to Food motion at Full Council meeting</t>
  </si>
  <si>
    <t>SC04</t>
  </si>
  <si>
    <t>Backing our Taxi Drivers</t>
  </si>
  <si>
    <t>Review Licensing policy with the trade and ensure drivers are supported in the transition to Euro 6 emission standards</t>
  </si>
  <si>
    <t>SC05</t>
  </si>
  <si>
    <t>Standing up for our NHS</t>
  </si>
  <si>
    <t>Create a sole focus for health scrutiny in a single scrutiny committee</t>
  </si>
  <si>
    <t>CRS01</t>
  </si>
  <si>
    <t>CRS02</t>
  </si>
  <si>
    <t>CRS03</t>
  </si>
  <si>
    <t>Supporting local communities</t>
  </si>
  <si>
    <t>CRS04</t>
  </si>
  <si>
    <t>Deliver a community grant scheme to help enhance local areas</t>
  </si>
  <si>
    <t>CRS05</t>
  </si>
  <si>
    <t>CRS06</t>
  </si>
  <si>
    <t>CRS07</t>
  </si>
  <si>
    <t>CRS08</t>
  </si>
  <si>
    <t>CRS09</t>
  </si>
  <si>
    <t>CRS10</t>
  </si>
  <si>
    <t>CRS11</t>
  </si>
  <si>
    <t>CRS12</t>
  </si>
  <si>
    <t>ECC01</t>
  </si>
  <si>
    <t>ECC02</t>
  </si>
  <si>
    <t>ECC03</t>
  </si>
  <si>
    <t>ECC04</t>
  </si>
  <si>
    <t>ECC05</t>
  </si>
  <si>
    <t>ECC06</t>
  </si>
  <si>
    <t>ECC07</t>
  </si>
  <si>
    <t>ECC08</t>
  </si>
  <si>
    <t>ECC09</t>
  </si>
  <si>
    <t>ECC10</t>
  </si>
  <si>
    <t>ECC11</t>
  </si>
  <si>
    <t>ECC12</t>
  </si>
  <si>
    <t>July 2023 / March 2024</t>
  </si>
  <si>
    <t>ECC14</t>
  </si>
  <si>
    <t>ECC15</t>
  </si>
  <si>
    <t>ECC16</t>
  </si>
  <si>
    <t>ECC17</t>
  </si>
  <si>
    <t>ECC18</t>
  </si>
  <si>
    <t>ECC19</t>
  </si>
  <si>
    <t>ECC20</t>
  </si>
  <si>
    <t>ECC21</t>
  </si>
  <si>
    <t>ECC22</t>
  </si>
  <si>
    <t>ECC23</t>
  </si>
  <si>
    <t>TCD01</t>
  </si>
  <si>
    <t>TCD02</t>
  </si>
  <si>
    <t>TCD03</t>
  </si>
  <si>
    <t>TCD04</t>
  </si>
  <si>
    <t>TCD05</t>
  </si>
  <si>
    <t>TCD06</t>
  </si>
  <si>
    <t>TCD07</t>
  </si>
  <si>
    <t>TCD08</t>
  </si>
  <si>
    <t>TCD10</t>
  </si>
  <si>
    <t>Review outdoor sports provision in Uttoxeter, including the proposed Sports Hub and other potential outdoor sports sites</t>
  </si>
  <si>
    <t>TCD11</t>
  </si>
  <si>
    <t>TCD12</t>
  </si>
  <si>
    <t>TCD13</t>
  </si>
  <si>
    <t>TCD14</t>
  </si>
  <si>
    <t>TCD15</t>
  </si>
  <si>
    <t>RAD01</t>
  </si>
  <si>
    <t>RAD02</t>
  </si>
  <si>
    <t>RAD03</t>
  </si>
  <si>
    <t>RAD04</t>
  </si>
  <si>
    <t>Appoint contractors to deliver Washlands Enhancement Project</t>
  </si>
  <si>
    <t>RAD05</t>
  </si>
  <si>
    <t>RAD06</t>
  </si>
  <si>
    <t>RAD07</t>
  </si>
  <si>
    <t>RAD08</t>
  </si>
  <si>
    <t>Consider findings of Maltings regeneration project consultation</t>
  </si>
  <si>
    <t>RAD09</t>
  </si>
  <si>
    <t>Agree purchase of Uttoxeter former Co-op building</t>
  </si>
  <si>
    <t>RAD10</t>
  </si>
  <si>
    <t>Consider the best approach to acquiring the remainder of the Maltings precinct and review proposals to regenerate the Maltings area</t>
  </si>
  <si>
    <t>RAD11</t>
  </si>
  <si>
    <t>Launch and administer a business grant programme</t>
  </si>
  <si>
    <t>RAD12</t>
  </si>
  <si>
    <t>RAD13</t>
  </si>
  <si>
    <t>RAD14</t>
  </si>
  <si>
    <t>RAD15</t>
  </si>
  <si>
    <t>RAD16</t>
  </si>
  <si>
    <t>RAD17</t>
  </si>
  <si>
    <t>RAD19</t>
  </si>
  <si>
    <t>Complete the annual review of the Local Plan</t>
  </si>
  <si>
    <t>FTM01</t>
  </si>
  <si>
    <t>FTM02</t>
  </si>
  <si>
    <t>FTM06</t>
  </si>
  <si>
    <t>FTM07</t>
  </si>
  <si>
    <t>FTM08</t>
  </si>
  <si>
    <t>LDR01</t>
  </si>
  <si>
    <t>LDR02</t>
  </si>
  <si>
    <t>Create a Procurement Improvement Action Plan, based on Whole Council Spend Analysis</t>
  </si>
  <si>
    <t>LDR03</t>
  </si>
  <si>
    <t>LDR04</t>
  </si>
  <si>
    <t>LDR05</t>
  </si>
  <si>
    <t>LDR06</t>
  </si>
  <si>
    <t>LDR07</t>
  </si>
  <si>
    <t>Regeneration and Development (Tom)</t>
  </si>
  <si>
    <t>Enterprise</t>
  </si>
  <si>
    <t>Legal &amp; Regulatory Services (John)
&amp; Corporate &amp; Environment Services (Mark)</t>
  </si>
  <si>
    <t>Corporate &amp; Commercial</t>
  </si>
  <si>
    <t>Legal &amp; Regulatory Services (John)</t>
  </si>
  <si>
    <t>Corporate &amp; Environment Services (Mark)</t>
  </si>
  <si>
    <t>Housing Options</t>
  </si>
  <si>
    <t>Housing</t>
  </si>
  <si>
    <t>Chief Financial S151 Officer (Lisa)
&amp; Legal and Regulatory Services (John)</t>
  </si>
  <si>
    <t>Environmental Health</t>
  </si>
  <si>
    <t>Chief Financial S151 Officer (Lisa)</t>
  </si>
  <si>
    <t>Finance,
Corporate &amp; Commercial, 
&amp; HR</t>
  </si>
  <si>
    <t>Planning</t>
  </si>
  <si>
    <t>CEO Andy O'Brien</t>
  </si>
  <si>
    <t>HR</t>
  </si>
  <si>
    <t>Enforcement</t>
  </si>
  <si>
    <t>Planning Policy</t>
  </si>
  <si>
    <t>Environment</t>
  </si>
  <si>
    <t>All</t>
  </si>
  <si>
    <t>Enterprise, Assets, Finance &amp; Communities &amp; Open Spaces</t>
  </si>
  <si>
    <t>Licensing</t>
  </si>
  <si>
    <t>Licensing &amp; Enforcement</t>
  </si>
  <si>
    <t>Communities &amp; Open Spaces</t>
  </si>
  <si>
    <t>Brewhouse, Arts &amp; Town Hall</t>
  </si>
  <si>
    <t>Corporate &amp; Commercial &amp; Marketing</t>
  </si>
  <si>
    <t>Revenues &amp; Benefits</t>
  </si>
  <si>
    <t>Finance</t>
  </si>
  <si>
    <t>Improving local democracy</t>
  </si>
  <si>
    <t>Creating a prosperous East Staffordshire</t>
  </si>
  <si>
    <t>Developing a Green New Deal for East Staffordshire</t>
  </si>
  <si>
    <t>Protecting our heritage</t>
  </si>
  <si>
    <t>Standing up for our communities</t>
  </si>
  <si>
    <t>Find opportunities to use vertical and rooftop spaces to plant new gardens</t>
  </si>
  <si>
    <t>Daniel Arnold</t>
  </si>
  <si>
    <t>Anya Murray</t>
  </si>
  <si>
    <t>Sara Gummerson</t>
  </si>
  <si>
    <t>Quarter One (2023/24)</t>
  </si>
  <si>
    <t>Improving Local Democracy</t>
  </si>
  <si>
    <t>Other</t>
  </si>
  <si>
    <t xml:space="preserve">Communities and Regulatory Services </t>
  </si>
  <si>
    <t>Leader</t>
  </si>
  <si>
    <t>Cabinet Member Portfolio</t>
  </si>
  <si>
    <t>Scrutiny Committee</t>
  </si>
  <si>
    <t>QUARTER TWO (July - Sept 2023)</t>
  </si>
  <si>
    <t>QUARTER THREE (Oct - Dec 2023)</t>
  </si>
  <si>
    <t>QUARTER FOUR (Jan - Mar 2024)</t>
  </si>
  <si>
    <t>Quarter Two (2023/24)</t>
  </si>
  <si>
    <t>Quarter Three (2023/24)</t>
  </si>
  <si>
    <t>Quarter Four (2023/24)</t>
  </si>
  <si>
    <t xml:space="preserve">Developing a Green New Deal </t>
  </si>
  <si>
    <t>QUARTER ONE (April - June 2023) - performance by priority</t>
  </si>
  <si>
    <t>QUARTER ONE (April - June 2023) - performance by Cabinet Member portfolio</t>
  </si>
  <si>
    <t>FTM05a</t>
  </si>
  <si>
    <t>FTM05b</t>
  </si>
  <si>
    <t xml:space="preserve">Collection Rates of - 
    Council Tax : 98% </t>
  </si>
  <si>
    <t xml:space="preserve">Continue to Maximise Income Through Effective Collection Processes 
(Previously BV 9) </t>
  </si>
  <si>
    <t xml:space="preserve">Continue to Maximise Income Through Effective Collection Processes 
(Previously BV 10) </t>
  </si>
  <si>
    <t>Collection Rates of - 
    NNDR : 99%</t>
  </si>
  <si>
    <t>FTM04a</t>
  </si>
  <si>
    <t>FTM04b</t>
  </si>
  <si>
    <t>FTM04c</t>
  </si>
  <si>
    <t xml:space="preserve">% HBOPs recovered During the Year: 90% </t>
  </si>
  <si>
    <t xml:space="preserve"> 
% of HBOPS Processed and on Payment Arrangement: 90% </t>
  </si>
  <si>
    <t xml:space="preserve">
In Year HBOPs Recovered During the Year: 50%</t>
  </si>
  <si>
    <t>FTM03a</t>
  </si>
  <si>
    <t>FTM03b</t>
  </si>
  <si>
    <t>FTM03c</t>
  </si>
  <si>
    <t>Former Years Arrears for: 
Council Tax: 2,500,000</t>
  </si>
  <si>
    <t>Former Years Arrears for: 
NNDR: 1,500,000</t>
  </si>
  <si>
    <t>Former Years Arrears for: 
Sundry Debts: £80,000</t>
  </si>
  <si>
    <t>RAD18a</t>
  </si>
  <si>
    <t>9 x Planning Committee Member training sessions</t>
  </si>
  <si>
    <t>2 x All Member briefing sessions</t>
  </si>
  <si>
    <t>RAD18b</t>
  </si>
  <si>
    <t>ECC13a</t>
  </si>
  <si>
    <t>ECC13b</t>
  </si>
  <si>
    <t>ECC13c</t>
  </si>
  <si>
    <t>ECC13d</t>
  </si>
  <si>
    <t>Litter, 0% (using NI195 survey methodology)</t>
  </si>
  <si>
    <t>Detritus, 0% (using NI195 survey 
methodology)</t>
  </si>
  <si>
    <t>Graffiti, 0% (using NI195 survey 
methodology)</t>
  </si>
  <si>
    <t>Fly-posting, 0% (using NI195 survey 
methodology)</t>
  </si>
  <si>
    <t>PB06a</t>
  </si>
  <si>
    <t>PB06b</t>
  </si>
  <si>
    <t>Incentivise existing providers to recruit new staff/apprentices</t>
  </si>
  <si>
    <t>Produce a route map to insourcing council services that are currently outsourced</t>
  </si>
  <si>
    <t>Introduce a Citizens Assembly</t>
  </si>
  <si>
    <t>TCD09a</t>
  </si>
  <si>
    <t>TCD09b</t>
  </si>
  <si>
    <t>Continue to redevelop Council’s corporate website</t>
  </si>
  <si>
    <t>Develop a new, revised website for the Brewhouse, Arts and Civic Function Suite</t>
  </si>
  <si>
    <t>Launch the temporary National Archive 
Centre and Regeneration Update Hub 
following completion of works and relocation of the collection</t>
  </si>
  <si>
    <t>Short Term Sickness Days Average 3.5 days per FTE</t>
  </si>
  <si>
    <t>Value for Money</t>
  </si>
  <si>
    <t>Climate change and environment</t>
  </si>
  <si>
    <t>or health and wellbeing?</t>
  </si>
  <si>
    <t>?</t>
  </si>
  <si>
    <t>Initial discussions with Cabinet Member in relation to timescales</t>
  </si>
  <si>
    <t>Steve Woods</t>
  </si>
  <si>
    <t>Corporate &amp; Commercial, 
&amp; HR</t>
  </si>
  <si>
    <t>Work has been undertaken with the Staffordshire DMP as well as engaging local tourism attractions as part of the consultation process to develop the strategic plan</t>
  </si>
  <si>
    <t>Not due until Q2 as surveys run April - July</t>
  </si>
  <si>
    <t>To be reviewed in December.  No target to measure against.</t>
  </si>
  <si>
    <t>Work expected to be commenced July 2023</t>
  </si>
  <si>
    <t xml:space="preserve">To be considered as part of the Communication Strategy work. </t>
  </si>
  <si>
    <t>Constitution updated at the full Council meeting in May 2023 for the new Scrutiny (Regeneration, Development and Market Hall) Committee</t>
  </si>
  <si>
    <t>Constitution updated at the full Council meeting in May 2023 for the new Scrutiny (Health and Wellbeing) Committee.</t>
  </si>
  <si>
    <t xml:space="preserve">Initial work on preparing a brief commenced in June 2023. </t>
  </si>
  <si>
    <t xml:space="preserve">Consultants have been engaged and work underway on indoor and outdoor sports facility provision. </t>
  </si>
  <si>
    <t>Quarterly Performance Report presented to Corporate Management Team, Leader and Deputy Leaders, LAG / LOAG, Cabinet during May / June 2023 and scheduled for discussion at the July VFM Scrutiny Committee</t>
  </si>
  <si>
    <t xml:space="preserve">The Better Health Staffordshire East Staffordshire group continue to met on a quarterly basis. The priority theme of Food is being worked on by a specific task and finish group in order to hold a themed event relating to Food. </t>
  </si>
  <si>
    <t xml:space="preserve">Review commenced in quarter one, with a report and recommendations expected to come forward in August / September 2023. </t>
  </si>
  <si>
    <t>Intranet was implemented in April 2023 in line with the target, with the new cohort of Members utilising this following the 2023 Borough elections.</t>
  </si>
  <si>
    <t>Initial analysis underway</t>
  </si>
  <si>
    <t>Quarter 1 
(April - June 2023)</t>
  </si>
  <si>
    <t>Nathan Gallagher</t>
  </si>
  <si>
    <t>Subscriptions are open for the newsletter with 1300 already subscribed. First newsletter is intended to be issued in August 2023</t>
  </si>
  <si>
    <t>The new website is currently in development and on schedule for an Autumn implementation.</t>
  </si>
  <si>
    <t>Modelling of collection rounds underway with a view to presenting a report at September Cabinet</t>
  </si>
  <si>
    <t>Considering vehicle options. Continuing to monitor performance with current level of resource.</t>
  </si>
  <si>
    <t>100%
12 Major apps received all within time</t>
  </si>
  <si>
    <t>94%
136 Other apps received 128 within time</t>
  </si>
  <si>
    <t>94%
54 Minor apps received 51 within time</t>
  </si>
  <si>
    <t>No responses received for Quarter 1</t>
  </si>
  <si>
    <t>Officers hold a review meeting once a fortnight. The MEO prepares a weekly report of deployments and reports on footage captured. Since the 1st April 2023 we have had 9 deployments.</t>
  </si>
  <si>
    <t>First initiative is on 19th July 2023 in Anglesey. Multi Agency approach including duty of care visits to businesses, inspections for flytipping, free bulky waste collections, skips funded by the parish and ASB Harmony  Domestic Violence information</t>
  </si>
  <si>
    <t xml:space="preserve">Currently being finished with a view to seeking independent review prior to submitting to CMT in September. </t>
  </si>
  <si>
    <t>Not achieved still awaiting date from BT for installation of connections by Open Reach.</t>
  </si>
  <si>
    <t>126kg - estimated as not all data received</t>
  </si>
  <si>
    <t>48.76% - estimated as not all data received</t>
  </si>
  <si>
    <t xml:space="preserve">Review underway </t>
  </si>
  <si>
    <t xml:space="preserve">Review of pre-application service underway </t>
  </si>
  <si>
    <t>High volume of new claims received, but remain on track.</t>
  </si>
  <si>
    <t>Meetings scheduled to take place in quarter 2 with CMT, Pre-cabinet and Cabinet</t>
  </si>
  <si>
    <t>Discussions have been held internally to talk about taking these forward.  Events will be planned in the Autumn and the New Year,</t>
  </si>
  <si>
    <t>This has been drafted and is currently with central Government for approval.</t>
  </si>
  <si>
    <t>Talks are ongoing with the NBCT to discuss housing the archives. The Trust have been sorting through the archives to re-house in Station Street and they are on target to complete by the end of July 2023.</t>
  </si>
  <si>
    <t>Talks are ongoing with the NBCT to discuss contacting former NBC artefact owners and establish how ESBC can help.</t>
  </si>
  <si>
    <t xml:space="preserve">The work is almost complete on the refurbishing the regen hub. The NBCT are planning to open the archives in September and this is on track as planned.  </t>
  </si>
  <si>
    <t>The tender process is still ongoing as formalities are signed off in relation to appointing the successful contractor.  This is on track.</t>
  </si>
  <si>
    <t>Ongoing discussions about how to take this work forward. We are meeting with an expert from the High Street Task Force so he can share his thoughts on how the work could be taken forward to help regenerate Uttoxeter.</t>
  </si>
  <si>
    <t>This has been in process.  The guidance has been updated and agreements reached about who should be on the panel. This is due to be launched in August 2023.</t>
  </si>
  <si>
    <t>Ongoing; talks planned with Perfect Circle to identify other potential funding through the National Lottery</t>
  </si>
  <si>
    <t>29.27% against a target of 30%</t>
  </si>
  <si>
    <t>35.17%, which is 2.17% above target</t>
  </si>
  <si>
    <t>£2.5M</t>
  </si>
  <si>
    <t>Slightly above the target for the year</t>
  </si>
  <si>
    <t>£1.5M</t>
  </si>
  <si>
    <t>The arrears level for one quarter of the year takes into account debits raised during the current year relating to last years charges</t>
  </si>
  <si>
    <t>Nil</t>
  </si>
  <si>
    <t>£80K</t>
  </si>
  <si>
    <t>On track</t>
  </si>
  <si>
    <t xml:space="preserve">Staff currently undertaking Energy Efficiency Training. EDR being drafted and quotes are being requested from contractors to undertake the works. </t>
  </si>
  <si>
    <t>Climate Change Communication Policy has been agreed by EDR and will be used to promote Public Transport</t>
  </si>
  <si>
    <t>Report currently being drafted</t>
  </si>
  <si>
    <t xml:space="preserve">The Council currently offers a 'No First Night Out' provision as part of well worked rough sleeping pathway. </t>
  </si>
  <si>
    <t>Formal consideration of current provision and possible alternatives to follow.</t>
  </si>
  <si>
    <t>There were 74 initial homelessness decisions issued in Q1, with an average time to initial decision of 0.27 days.</t>
  </si>
  <si>
    <t>1 day</t>
  </si>
  <si>
    <t>One unit was deemed unfit to relet due to water damage from the flat above, resulting in the offer of an alternative unit elsewhere. This 'key to key' instance has not been included in the target by reason of exception.</t>
  </si>
  <si>
    <t>5 days</t>
  </si>
  <si>
    <t>There were 2 'key to key' turnarounds during Q1, giving an average of 1 working day void.</t>
  </si>
  <si>
    <t>A Quick Call has been sent to 3 providers requesting quotations by 14 Aug 23 for mobilisation on 1 Sep 23.</t>
  </si>
  <si>
    <t>Work with partners to campaign for universal school meals by adopting and publicising a council motion</t>
  </si>
  <si>
    <t>The precursor to the strategy, the Homelessness Review, has recently been released for consultation.</t>
  </si>
  <si>
    <t>The Allocations and Lettings Service is currently undergoing an audit, and preliminary conversations have been undertaken with the current supplier to evaluate the possibility of an  extension.</t>
  </si>
  <si>
    <t>Owen Hurcombe</t>
  </si>
  <si>
    <t>Tourism Grant scheme is live on the new Discover East Staffordshire website</t>
  </si>
  <si>
    <t>https://discovereaststaffordshire.com/tourism-development-grants/</t>
  </si>
  <si>
    <t>Two stakeholder workshops have taken place to develop a narrative and launch the stimulate phase of the project.</t>
  </si>
  <si>
    <t>Big Burton coronation event took place with around 400 visitors attending to watch the coronation live and Market Garden event in May with over 4000 attendees and 50 stall holders</t>
  </si>
  <si>
    <t xml:space="preserve">Outdoor events planned across August as part of Brewhouse On Tour. </t>
  </si>
  <si>
    <t>New corporate website is currently on schedule for July implementation</t>
  </si>
  <si>
    <t xml:space="preserve">Procurement process commenced June 2023, and is expected to be completed in July 2023 ahead of equipment mobilisation and implementation. </t>
  </si>
  <si>
    <t>A Food Forum is planned for 11 Jul 23 and designed to understand current provision and how best to support activity targeted at those experiencing the greatest hardship.</t>
  </si>
  <si>
    <t>The Food Forum on 11th July was well attended.
Further planning and design is required to develop the appropriate mechanism to support this activity.</t>
  </si>
  <si>
    <t>(Motion agreed at Full Council on 3rd July 2023 - fully achieved Q2).</t>
  </si>
  <si>
    <t>Motion to be put to Full Council on 3rd July 2023.</t>
  </si>
  <si>
    <t>Tender specification complete and proposal currently with planning for listed building consent with proposed tender ready for Quarter 2.</t>
  </si>
  <si>
    <t>Elections were successfully delivered in May 2023, including the new requirements of the Elections Bill</t>
  </si>
  <si>
    <t>To be considered at the July Council meeting.</t>
  </si>
  <si>
    <t>Council approved at July 2023 meeting (Quarter 2).</t>
  </si>
  <si>
    <t>Officer team are seeking to identify potential locations across quarters 1 and 2</t>
  </si>
  <si>
    <t>Community Grant Scheme in place and open for bids to be received from early quarter 2</t>
  </si>
  <si>
    <t>Relaunched following outcome of election</t>
  </si>
  <si>
    <t>Officers have identified 4 areas across East Staffordshire for Carbon Capture &amp; Biodiversity enhancements. Designs for these are to be prepared across quarter 2 and 3.</t>
  </si>
  <si>
    <t>Judging has taken place across June and July. Results expected in the early Autumn</t>
  </si>
  <si>
    <t>Unity Park (Shobnall) has been entered for the first time in the IYN awards following the recent refurbishment undertaken using Levelling Up Parks funding.</t>
  </si>
  <si>
    <t>Winter Performance (22/23) report presented to Cabinet in July</t>
  </si>
  <si>
    <t>Report on the Market Hall Business case is to received by Cabinet in Qtr 2.</t>
  </si>
  <si>
    <t xml:space="preserve">Community Lottery launched in June. Target of 50 "good causes" required by July 22nd to launch Lottery. 54 had been registered by 13/7/22. A number of players have since signed up and the purchase of tickets has commenced </t>
  </si>
  <si>
    <t>Assessment of tree stock has been completed and the scope of any works is now being analysed by Officers.</t>
  </si>
  <si>
    <t xml:space="preserve">Recruitment of two new officers has taken place in Quarter 1 which will enable the Horticulture Centre and GO Garden to expand the opportunities for volunteering </t>
  </si>
  <si>
    <t xml:space="preserve">Initial research has begun. </t>
  </si>
  <si>
    <t xml:space="preserve">Chief Officer following up with BT. </t>
  </si>
  <si>
    <t>Report on the Market Hall Business case is to received by Cabinet in Qtr 2. This will consider the options of co-operative as part of the scope of works</t>
  </si>
  <si>
    <t>Two training sessions undertaken in May and June</t>
  </si>
  <si>
    <t xml:space="preserve">Report ready for discussion at CMT in July and due to Cabinet in August. </t>
  </si>
  <si>
    <t>Procurement process has started and advert on Delta (procurement portal) to request quotes</t>
  </si>
  <si>
    <t>The collection figures are on par with previous year</t>
  </si>
  <si>
    <t>We currently have a better collection rate compared to last year</t>
  </si>
  <si>
    <t>Health and Wellbeing</t>
  </si>
  <si>
    <t>Plans are underway and enhance where possible the provision from last winter.</t>
  </si>
  <si>
    <t>Quarterly baseline information has been collated and input also been collected through the DMP STEAM data</t>
  </si>
  <si>
    <t xml:space="preserve">Approval to be requested for constitution changes, also including the approach for public participation at scrutiny committees, at the full Council meeting scheduled for 3rd July 2023. </t>
  </si>
  <si>
    <t xml:space="preserve">Discussions held with Everyone Active, who will be running this free to access event in August 2023, supported by the Council. Building on the enhanced offering introduced in 2022, following feedback from last year's event further food provision will be implemented for 2023. </t>
  </si>
  <si>
    <t>This is currently being worked up within ESBC and will be discussed with relevant partners. Discussions are ongoing internally in order to get ready to procure some services once the detail is agreed with central Government.</t>
  </si>
  <si>
    <t xml:space="preserve">Meetings have continued with the HWG with plans for the Heritage Centre to be potentially located in Old Bass House discussed with the group. </t>
  </si>
  <si>
    <t>Data modelling has commenced for the current collection rounds. Each collection day over a fortnightly cycle being modelled and optimised with a view to procuring additional resources for housing growth.</t>
  </si>
  <si>
    <t xml:space="preserve">Collating data on food waste collections, including vehicles, staff resources and ancillaries. </t>
  </si>
  <si>
    <t xml:space="preserve">On-going discussions with Distribution Network Operator on the supply network. </t>
  </si>
  <si>
    <t xml:space="preserve">Air Source Heat Pumps and Solar PV are two green technologies that can be installed through Staffordshire Warmer Homes and ECO flex. Grant funding for both schemes is available and this is being advertised as part of our communications policy.  </t>
  </si>
  <si>
    <t>Data will start to be added from QTR 2</t>
  </si>
  <si>
    <t xml:space="preserve">There is an approved scheme for the Garden of Remembrance and talks are ongoing with Staffordshire County Council in relation to the lighting and the Diocese in terms of other improvements to the area. </t>
  </si>
  <si>
    <t>0.75 days</t>
  </si>
  <si>
    <t>3.5 days</t>
  </si>
  <si>
    <t>Multiple</t>
  </si>
  <si>
    <t>Row Labels</t>
  </si>
  <si>
    <t>Grand Total</t>
  </si>
  <si>
    <t>Count of Target 2023-24</t>
  </si>
  <si>
    <t>23 out of 27 (85%) requests removed within 5 days. Average time to remove = within 4 days (of receipt of notice from CCE team)
The 4 delayed occasions were due to resources being diverted to other work (3 coincided with A38 working and 1 for In Bloom preparations).
Disposal responsibility rests with the County Council, although the vast majority of our waste is sent for incineration at an energy from waste facility.</t>
  </si>
  <si>
    <t>As part of a project aimed at shaping a new music-led narrative for Burton we will deliver 6 pop-up live events and 2 workshops</t>
  </si>
  <si>
    <t>Climate Change and Environment</t>
  </si>
  <si>
    <t>Y</t>
  </si>
  <si>
    <t>Arrears levels across the board will be reviewed in the next quarter</t>
  </si>
  <si>
    <t>A pre-application advice application has been made and this is currently being discussed with the LPA. Once comments have been received, a planning application will be submitted and a revised programme agreed in line with this.</t>
  </si>
  <si>
    <t>The commencement of these works is dependent upon the success of the planning application. A pre-application advice application is currently being reviewed with the LPA.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</si>
</sst>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b/>
      <sz val="11"/>
      <color rgb="FFFFFFFF"/>
      <name val="Arial"/>
      <family val="2"/>
    </font>
    <font>
      <b/>
      <sz val="11"/>
      <color rgb="FF000000"/>
      <name val="Arial"/>
      <family val="2"/>
    </font>
    <font>
      <b/>
      <sz val="9"/>
      <color indexed="81"/>
      <name val="Tahoma"/>
      <charset val="1"/>
    </font>
    <font>
      <sz val="9"/>
      <color indexed="81"/>
      <name val="Tahoma"/>
      <charset val="1"/>
    </font>
  </fonts>
  <fills count="3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DD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CCFF"/>
        <bgColor indexed="64"/>
      </patternFill>
    </fill>
    <fill>
      <patternFill patternType="solid">
        <fgColor theme="0" tint="-0.34998626667073579"/>
        <bgColor indexed="64"/>
      </patternFill>
    </fill>
    <fill>
      <patternFill patternType="solid">
        <fgColor theme="5"/>
        <bgColor rgb="FF000000"/>
      </patternFill>
    </fill>
    <fill>
      <patternFill patternType="solid">
        <fgColor theme="5" tint="0.59999389629810485"/>
        <bgColor indexed="64"/>
      </patternFill>
    </fill>
    <fill>
      <patternFill patternType="solid">
        <fgColor theme="5" tint="0.79998168889431442"/>
        <bgColor rgb="FF000000"/>
      </patternFill>
    </fill>
  </fills>
  <borders count="7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top/>
      <bottom/>
      <diagonal/>
    </border>
    <border>
      <left/>
      <right style="thin">
        <color theme="0"/>
      </right>
      <top/>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09">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26" xfId="0" applyFont="1" applyFill="1" applyBorder="1" applyAlignment="1">
      <alignment horizontal="center" vertical="center" wrapText="1"/>
    </xf>
    <xf numFmtId="9" fontId="32" fillId="6" borderId="26" xfId="0" applyNumberFormat="1" applyFont="1" applyFill="1" applyBorder="1" applyAlignment="1">
      <alignment horizontal="center" vertical="center" wrapText="1"/>
    </xf>
    <xf numFmtId="0" fontId="32" fillId="6" borderId="27" xfId="0" applyFont="1" applyFill="1" applyBorder="1" applyAlignment="1">
      <alignment horizontal="center" vertical="center" wrapText="1"/>
    </xf>
    <xf numFmtId="10" fontId="32" fillId="6" borderId="28"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29"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0"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31" xfId="0" applyFont="1" applyFill="1" applyBorder="1" applyAlignment="1">
      <alignment horizontal="right" vertical="center" wrapText="1"/>
    </xf>
    <xf numFmtId="0" fontId="34" fillId="6" borderId="26" xfId="0" applyFont="1" applyFill="1" applyBorder="1" applyAlignment="1">
      <alignment horizontal="center" vertical="center" wrapText="1"/>
    </xf>
    <xf numFmtId="10" fontId="32" fillId="6" borderId="26" xfId="0" applyNumberFormat="1" applyFont="1" applyFill="1" applyBorder="1" applyAlignment="1">
      <alignment horizontal="center" vertical="center" wrapText="1"/>
    </xf>
    <xf numFmtId="0" fontId="34" fillId="6" borderId="27" xfId="0" applyFont="1" applyFill="1" applyBorder="1" applyAlignment="1">
      <alignment horizontal="center" vertical="center" wrapText="1"/>
    </xf>
    <xf numFmtId="0" fontId="7" fillId="0" borderId="0" xfId="0" applyFont="1" applyAlignment="1">
      <alignment vertical="center"/>
    </xf>
    <xf numFmtId="0" fontId="11" fillId="5" borderId="29"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0" xfId="0" applyNumberFormat="1" applyFont="1" applyFill="1" applyBorder="1" applyAlignment="1">
      <alignment vertical="center" wrapText="1"/>
    </xf>
    <xf numFmtId="1" fontId="34" fillId="6" borderId="32" xfId="0" applyNumberFormat="1" applyFont="1" applyFill="1" applyBorder="1" applyAlignment="1">
      <alignment horizontal="center" vertical="center" wrapText="1"/>
    </xf>
    <xf numFmtId="9" fontId="0" fillId="0" borderId="0" xfId="0" applyNumberFormat="1" applyAlignment="1">
      <alignment vertical="center"/>
    </xf>
    <xf numFmtId="0" fontId="32" fillId="6" borderId="34" xfId="0" applyFont="1" applyFill="1" applyBorder="1" applyAlignment="1">
      <alignment horizontal="center" vertical="center" wrapText="1"/>
    </xf>
    <xf numFmtId="10" fontId="32" fillId="6" borderId="34" xfId="0" applyNumberFormat="1" applyFont="1" applyFill="1" applyBorder="1" applyAlignment="1">
      <alignment horizontal="center"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33" xfId="0" applyFont="1" applyFill="1" applyBorder="1" applyAlignment="1">
      <alignment horizontal="right" vertical="center" wrapText="1"/>
    </xf>
    <xf numFmtId="0" fontId="34" fillId="0" borderId="26" xfId="0" applyFont="1" applyFill="1" applyBorder="1" applyAlignment="1">
      <alignment horizontal="center" vertical="center" wrapText="1"/>
    </xf>
    <xf numFmtId="10" fontId="32" fillId="0" borderId="26" xfId="0" applyNumberFormat="1" applyFont="1" applyFill="1" applyBorder="1" applyAlignment="1">
      <alignment horizontal="center" vertical="center" wrapText="1"/>
    </xf>
    <xf numFmtId="1" fontId="34" fillId="0" borderId="32" xfId="0" applyNumberFormat="1" applyFont="1" applyFill="1" applyBorder="1" applyAlignment="1">
      <alignment horizontal="center" vertical="center" wrapText="1"/>
    </xf>
    <xf numFmtId="10" fontId="32" fillId="0" borderId="28" xfId="0" applyNumberFormat="1" applyFont="1" applyFill="1" applyBorder="1" applyAlignment="1">
      <alignment horizontal="center"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0" fontId="34" fillId="0" borderId="32"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42"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42"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0"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0" xfId="0" applyNumberFormat="1" applyFont="1" applyFill="1" applyBorder="1" applyAlignment="1" applyProtection="1">
      <alignment horizontal="center" vertical="center" wrapText="1"/>
    </xf>
    <xf numFmtId="0" fontId="48" fillId="0" borderId="43"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0" xfId="0" applyNumberFormat="1" applyFont="1" applyFill="1" applyBorder="1" applyAlignment="1" applyProtection="1">
      <alignment horizontal="center" vertical="center" wrapText="1"/>
    </xf>
    <xf numFmtId="17" fontId="41" fillId="19" borderId="41"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0"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0" xfId="0" applyFont="1" applyFill="1" applyBorder="1" applyAlignment="1" applyProtection="1">
      <alignment horizontal="left" vertical="center" wrapText="1"/>
    </xf>
    <xf numFmtId="0" fontId="42" fillId="6" borderId="40" xfId="0" applyFont="1" applyFill="1" applyBorder="1" applyAlignment="1" applyProtection="1">
      <alignment horizontal="center" vertical="center" wrapText="1"/>
    </xf>
    <xf numFmtId="0" fontId="43" fillId="6" borderId="40"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2"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2" xfId="0" applyFont="1" applyFill="1" applyBorder="1" applyAlignment="1" applyProtection="1">
      <alignment horizontal="center" vertical="center" wrapText="1"/>
    </xf>
    <xf numFmtId="10" fontId="2" fillId="0" borderId="12" xfId="0" applyNumberFormat="1" applyFont="1" applyFill="1" applyBorder="1" applyAlignment="1" applyProtection="1">
      <alignment horizontal="center" vertical="center" wrapText="1"/>
    </xf>
    <xf numFmtId="0" fontId="5" fillId="8" borderId="12" xfId="0" applyFont="1" applyFill="1" applyBorder="1" applyAlignment="1" applyProtection="1">
      <alignment horizontal="left" vertical="center"/>
    </xf>
    <xf numFmtId="0" fontId="5" fillId="0" borderId="12" xfId="0" applyFont="1" applyFill="1" applyBorder="1" applyAlignment="1" applyProtection="1">
      <alignment horizontal="center" vertical="center" wrapText="1"/>
    </xf>
    <xf numFmtId="0" fontId="4" fillId="9" borderId="12" xfId="0" applyFont="1" applyFill="1" applyBorder="1" applyAlignment="1" applyProtection="1">
      <alignment vertical="center" wrapText="1"/>
    </xf>
    <xf numFmtId="0" fontId="5" fillId="0" borderId="12" xfId="0" applyFont="1" applyFill="1" applyBorder="1" applyAlignment="1" applyProtection="1">
      <alignment vertical="center" wrapText="1"/>
    </xf>
    <xf numFmtId="10" fontId="2" fillId="0" borderId="12"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2" xfId="0" applyFont="1" applyFill="1" applyBorder="1" applyAlignment="1" applyProtection="1">
      <alignment vertical="center" wrapText="1"/>
    </xf>
    <xf numFmtId="10" fontId="10" fillId="6" borderId="12"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2" xfId="0" applyFont="1" applyFill="1" applyBorder="1" applyAlignment="1" applyProtection="1">
      <alignment vertical="center" wrapText="1"/>
    </xf>
    <xf numFmtId="0" fontId="2" fillId="6" borderId="12"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7"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8" xfId="0" applyFont="1" applyFill="1" applyBorder="1" applyAlignment="1" applyProtection="1">
      <alignment horizontal="center" vertical="center" wrapText="1"/>
    </xf>
    <xf numFmtId="0" fontId="19" fillId="6" borderId="19"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36" xfId="0" applyFont="1" applyFill="1" applyBorder="1" applyAlignment="1" applyProtection="1">
      <alignment vertical="center" wrapText="1"/>
    </xf>
    <xf numFmtId="0" fontId="10" fillId="12" borderId="36" xfId="0" applyFont="1" applyFill="1" applyBorder="1" applyAlignment="1" applyProtection="1">
      <alignment horizontal="center" vertical="center"/>
    </xf>
    <xf numFmtId="0" fontId="10" fillId="12" borderId="36" xfId="0" applyFont="1" applyFill="1" applyBorder="1" applyAlignment="1" applyProtection="1">
      <alignment vertical="center"/>
    </xf>
    <xf numFmtId="0" fontId="5" fillId="7" borderId="36" xfId="0" applyFont="1" applyFill="1" applyBorder="1" applyAlignment="1" applyProtection="1">
      <alignment vertical="center" wrapText="1"/>
    </xf>
    <xf numFmtId="0" fontId="5" fillId="7" borderId="36"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0" fontId="2" fillId="0" borderId="36" xfId="0" applyNumberFormat="1" applyFont="1" applyFill="1" applyBorder="1" applyAlignment="1" applyProtection="1">
      <alignment horizontal="center" vertical="center" wrapText="1"/>
    </xf>
    <xf numFmtId="10" fontId="2" fillId="0" borderId="36" xfId="0" applyNumberFormat="1" applyFont="1" applyFill="1" applyBorder="1" applyAlignment="1" applyProtection="1">
      <alignment vertical="center" wrapText="1"/>
    </xf>
    <xf numFmtId="0" fontId="4" fillId="9" borderId="36" xfId="0" applyFont="1" applyFill="1" applyBorder="1" applyAlignment="1" applyProtection="1">
      <alignment vertical="center" wrapText="1"/>
    </xf>
    <xf numFmtId="0" fontId="5" fillId="0" borderId="36" xfId="0" applyFont="1" applyFill="1" applyBorder="1" applyAlignment="1" applyProtection="1">
      <alignment vertical="center" wrapText="1"/>
    </xf>
    <xf numFmtId="10" fontId="2" fillId="0" borderId="36"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36" xfId="0" applyFont="1" applyFill="1" applyBorder="1" applyAlignment="1" applyProtection="1">
      <alignment vertical="center" wrapText="1"/>
    </xf>
    <xf numFmtId="10" fontId="10" fillId="6" borderId="36"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36" xfId="0" applyFont="1" applyFill="1" applyBorder="1" applyAlignment="1" applyProtection="1">
      <alignment vertical="center" wrapText="1"/>
    </xf>
    <xf numFmtId="0" fontId="2" fillId="6" borderId="36"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36" xfId="0" applyFont="1" applyFill="1" applyBorder="1" applyAlignment="1" applyProtection="1">
      <alignment vertical="center"/>
    </xf>
    <xf numFmtId="10" fontId="7" fillId="6" borderId="0" xfId="0" applyNumberFormat="1" applyFont="1" applyFill="1" applyAlignment="1">
      <alignment vertical="center"/>
    </xf>
    <xf numFmtId="0" fontId="4" fillId="10" borderId="12" xfId="0" applyFont="1" applyFill="1" applyBorder="1" applyAlignment="1" applyProtection="1">
      <alignment vertical="center" wrapText="1"/>
    </xf>
    <xf numFmtId="0" fontId="4" fillId="15" borderId="36"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45" xfId="0" applyNumberFormat="1" applyFont="1" applyFill="1" applyBorder="1" applyAlignment="1" applyProtection="1">
      <alignment horizontal="left" vertical="center" wrapText="1"/>
      <protection locked="0"/>
    </xf>
    <xf numFmtId="0" fontId="9" fillId="6" borderId="45"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0" fontId="9" fillId="6" borderId="4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4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44" xfId="0" applyNumberFormat="1" applyFont="1" applyFill="1" applyBorder="1" applyAlignment="1" applyProtection="1">
      <alignment horizontal="left" vertical="center" wrapText="1"/>
      <protection locked="0"/>
    </xf>
    <xf numFmtId="0" fontId="53" fillId="6" borderId="44" xfId="0" applyNumberFormat="1" applyFont="1" applyFill="1" applyBorder="1" applyAlignment="1" applyProtection="1">
      <alignment horizontal="left" vertical="center" wrapText="1"/>
      <protection locked="0"/>
    </xf>
    <xf numFmtId="0" fontId="8" fillId="6" borderId="45" xfId="0" applyNumberFormat="1" applyFont="1" applyFill="1" applyBorder="1" applyAlignment="1" applyProtection="1">
      <alignment horizontal="left" vertical="center" wrapText="1"/>
      <protection locked="0"/>
    </xf>
    <xf numFmtId="10" fontId="10" fillId="6" borderId="44" xfId="0" applyNumberFormat="1" applyFont="1" applyFill="1" applyBorder="1" applyAlignment="1" applyProtection="1">
      <alignment horizontal="left" vertical="center" wrapText="1"/>
      <protection locked="0"/>
    </xf>
    <xf numFmtId="8" fontId="9" fillId="6" borderId="44" xfId="0" applyNumberFormat="1" applyFont="1" applyFill="1" applyBorder="1" applyAlignment="1" applyProtection="1">
      <alignment horizontal="left" vertical="center" wrapText="1"/>
      <protection locked="0"/>
    </xf>
    <xf numFmtId="10" fontId="9" fillId="6" borderId="44"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44" xfId="0" applyNumberFormat="1" applyFont="1" applyFill="1" applyBorder="1" applyAlignment="1" applyProtection="1">
      <alignment horizontal="left" vertical="center" wrapText="1"/>
      <protection locked="0"/>
    </xf>
    <xf numFmtId="9" fontId="9" fillId="6" borderId="44"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9" fillId="6" borderId="0" xfId="0" applyNumberFormat="1" applyFont="1" applyFill="1" applyBorder="1" applyAlignment="1" applyProtection="1">
      <alignment horizontal="left" vertical="center" wrapText="1"/>
      <protection locked="0"/>
    </xf>
    <xf numFmtId="0" fontId="59" fillId="23" borderId="64" xfId="0" applyFont="1" applyFill="1" applyBorder="1" applyAlignment="1" applyProtection="1">
      <alignment horizontal="center" vertical="center" wrapText="1"/>
    </xf>
    <xf numFmtId="166" fontId="59" fillId="23" borderId="65" xfId="0" applyNumberFormat="1" applyFont="1" applyFill="1" applyBorder="1" applyAlignment="1" applyProtection="1">
      <alignment horizontal="center" vertical="center" wrapText="1"/>
    </xf>
    <xf numFmtId="0" fontId="59" fillId="25" borderId="64" xfId="0" applyFont="1" applyFill="1" applyBorder="1" applyAlignment="1" applyProtection="1">
      <alignment horizontal="center" vertical="center" wrapText="1"/>
    </xf>
    <xf numFmtId="0" fontId="15" fillId="3" borderId="62"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53" fillId="6" borderId="4" xfId="0" applyNumberFormat="1" applyFont="1" applyFill="1" applyBorder="1" applyAlignment="1" applyProtection="1">
      <alignment horizontal="left" vertical="center" wrapText="1"/>
      <protection locked="0"/>
    </xf>
    <xf numFmtId="0" fontId="10" fillId="6" borderId="44" xfId="0" applyNumberFormat="1" applyFont="1" applyFill="1" applyBorder="1" applyAlignment="1" applyProtection="1">
      <alignment horizontal="center" vertical="center" wrapText="1"/>
      <protection locked="0"/>
    </xf>
    <xf numFmtId="0" fontId="4" fillId="24" borderId="5" xfId="0" applyNumberFormat="1" applyFont="1" applyFill="1" applyBorder="1" applyAlignment="1" applyProtection="1">
      <alignment horizontal="center" vertical="center" wrapText="1"/>
      <protection locked="0"/>
    </xf>
    <xf numFmtId="9" fontId="10" fillId="6" borderId="44" xfId="0" applyNumberFormat="1" applyFont="1" applyFill="1" applyBorder="1" applyAlignment="1" applyProtection="1">
      <alignment horizontal="center" vertical="center" wrapText="1"/>
      <protection locked="0"/>
    </xf>
    <xf numFmtId="0" fontId="60" fillId="21" borderId="63" xfId="0" applyFont="1" applyFill="1" applyBorder="1" applyAlignment="1" applyProtection="1">
      <alignment vertical="center" wrapText="1"/>
    </xf>
    <xf numFmtId="0" fontId="60" fillId="22" borderId="63" xfId="0" applyFont="1" applyFill="1" applyBorder="1" applyAlignment="1" applyProtection="1">
      <alignment vertical="center" wrapText="1"/>
    </xf>
    <xf numFmtId="166" fontId="60" fillId="22" borderId="63" xfId="0" applyNumberFormat="1" applyFont="1" applyFill="1" applyBorder="1" applyAlignment="1" applyProtection="1">
      <alignment horizontal="center" vertical="center" wrapText="1"/>
    </xf>
    <xf numFmtId="0" fontId="8" fillId="6" borderId="4" xfId="0"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protection locked="0"/>
    </xf>
    <xf numFmtId="0" fontId="56" fillId="6" borderId="4" xfId="0" applyNumberFormat="1" applyFont="1" applyFill="1" applyBorder="1" applyAlignment="1" applyProtection="1">
      <alignment horizontal="left" vertical="center" wrapText="1"/>
      <protection locked="0"/>
    </xf>
    <xf numFmtId="0" fontId="8" fillId="0" borderId="4" xfId="0" applyNumberFormat="1" applyFont="1" applyFill="1" applyBorder="1" applyAlignment="1" applyProtection="1">
      <alignment horizontal="left" vertical="center" wrapText="1"/>
      <protection locked="0"/>
    </xf>
    <xf numFmtId="0" fontId="10" fillId="0" borderId="45" xfId="0" applyNumberFormat="1" applyFont="1" applyFill="1" applyBorder="1" applyAlignment="1" applyProtection="1">
      <alignment horizontal="left" vertical="center" wrapText="1"/>
      <protection locked="0"/>
    </xf>
    <xf numFmtId="0" fontId="8" fillId="6" borderId="1" xfId="0" applyNumberFormat="1"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protection locked="0"/>
    </xf>
    <xf numFmtId="0" fontId="7" fillId="0" borderId="1" xfId="0" applyNumberFormat="1" applyFont="1" applyBorder="1" applyAlignment="1" applyProtection="1">
      <alignment horizontal="left" vertical="center" wrapText="1"/>
      <protection locked="0"/>
    </xf>
    <xf numFmtId="0" fontId="0" fillId="0" borderId="1" xfId="0" applyNumberFormat="1" applyBorder="1" applyAlignment="1" applyProtection="1">
      <alignment horizontal="center" vertical="center" wrapText="1"/>
      <protection locked="0"/>
    </xf>
    <xf numFmtId="10" fontId="2" fillId="0" borderId="12" xfId="0" applyNumberFormat="1" applyFont="1" applyFill="1" applyBorder="1" applyAlignment="1" applyProtection="1">
      <alignment horizontal="center" vertical="center" wrapText="1"/>
    </xf>
    <xf numFmtId="10" fontId="2" fillId="0" borderId="36" xfId="0" applyNumberFormat="1" applyFont="1" applyFill="1" applyBorder="1" applyAlignment="1" applyProtection="1">
      <alignment horizontal="center" vertical="center" wrapText="1"/>
    </xf>
    <xf numFmtId="0" fontId="15" fillId="26" borderId="62" xfId="0" applyFont="1" applyFill="1" applyBorder="1" applyAlignment="1" applyProtection="1">
      <alignment horizontal="center" vertical="center" wrapText="1"/>
    </xf>
    <xf numFmtId="0" fontId="60" fillId="22" borderId="63" xfId="0" applyFont="1" applyFill="1" applyBorder="1" applyAlignment="1" applyProtection="1">
      <alignment horizontal="left" vertical="center" wrapText="1"/>
    </xf>
    <xf numFmtId="0" fontId="15" fillId="27" borderId="62" xfId="0" applyFont="1" applyFill="1" applyBorder="1" applyAlignment="1" applyProtection="1">
      <alignment horizontal="center" vertical="center" wrapText="1"/>
    </xf>
    <xf numFmtId="166" fontId="27" fillId="22" borderId="63" xfId="0" applyNumberFormat="1" applyFont="1" applyFill="1" applyBorder="1" applyAlignment="1" applyProtection="1">
      <alignment horizontal="center" vertical="center" wrapText="1"/>
    </xf>
    <xf numFmtId="0" fontId="15" fillId="28" borderId="62" xfId="0" applyFont="1" applyFill="1" applyBorder="1" applyAlignment="1" applyProtection="1">
      <alignment horizontal="center" vertical="center" wrapText="1"/>
    </xf>
    <xf numFmtId="0" fontId="27" fillId="22" borderId="63" xfId="0" applyFont="1" applyFill="1" applyBorder="1" applyAlignment="1" applyProtection="1">
      <alignment vertical="center" wrapText="1"/>
    </xf>
    <xf numFmtId="0" fontId="15" fillId="29" borderId="62" xfId="0" applyFont="1" applyFill="1" applyBorder="1" applyAlignment="1" applyProtection="1">
      <alignment horizontal="center" vertical="center" wrapText="1"/>
    </xf>
    <xf numFmtId="0" fontId="15" fillId="30" borderId="62" xfId="0" applyFont="1" applyFill="1" applyBorder="1" applyAlignment="1" applyProtection="1">
      <alignment horizontal="center" vertical="center" wrapText="1"/>
    </xf>
    <xf numFmtId="166" fontId="60" fillId="19" borderId="63" xfId="0" applyNumberFormat="1" applyFont="1" applyFill="1" applyBorder="1" applyAlignment="1" applyProtection="1">
      <alignment horizontal="center" vertical="center" wrapText="1"/>
    </xf>
    <xf numFmtId="0" fontId="27" fillId="21" borderId="63" xfId="0" applyFont="1" applyFill="1" applyBorder="1" applyAlignment="1" applyProtection="1">
      <alignment vertical="center" wrapText="1"/>
    </xf>
    <xf numFmtId="0" fontId="27" fillId="30" borderId="62" xfId="0" applyFont="1" applyFill="1" applyBorder="1" applyAlignment="1" applyProtection="1">
      <alignment horizontal="center" vertical="center" wrapText="1"/>
    </xf>
    <xf numFmtId="0" fontId="15" fillId="31" borderId="62" xfId="0" applyFont="1" applyFill="1" applyBorder="1" applyAlignment="1" applyProtection="1">
      <alignment horizontal="center" vertical="center" wrapText="1"/>
    </xf>
    <xf numFmtId="0" fontId="60" fillId="22" borderId="63" xfId="0" applyFont="1" applyFill="1" applyBorder="1" applyAlignment="1" applyProtection="1">
      <alignment horizontal="center" vertical="center" wrapText="1"/>
    </xf>
    <xf numFmtId="0" fontId="15" fillId="32" borderId="62" xfId="0" applyFont="1" applyFill="1" applyBorder="1" applyAlignment="1" applyProtection="1">
      <alignment horizontal="center" vertical="center" wrapText="1"/>
    </xf>
    <xf numFmtId="0" fontId="15" fillId="32" borderId="0" xfId="0" applyFont="1" applyFill="1" applyBorder="1" applyAlignment="1" applyProtection="1">
      <alignment horizontal="center" vertical="center" wrapText="1"/>
    </xf>
    <xf numFmtId="0" fontId="15" fillId="3" borderId="66" xfId="0" applyFont="1" applyFill="1" applyBorder="1" applyAlignment="1" applyProtection="1">
      <alignment horizontal="center" vertical="center" wrapText="1"/>
    </xf>
    <xf numFmtId="0" fontId="33" fillId="6" borderId="29" xfId="0" applyFont="1" applyFill="1" applyBorder="1" applyAlignment="1">
      <alignment horizontal="right" vertical="center" wrapText="1"/>
    </xf>
    <xf numFmtId="0" fontId="4" fillId="12" borderId="5" xfId="0" applyNumberFormat="1" applyFont="1" applyFill="1" applyBorder="1" applyAlignment="1" applyProtection="1">
      <alignment horizontal="center" vertical="center" wrapText="1"/>
      <protection locked="0"/>
    </xf>
    <xf numFmtId="0" fontId="0" fillId="0" borderId="1" xfId="0" applyNumberFormat="1" applyBorder="1" applyAlignment="1" applyProtection="1">
      <alignment horizontal="center" vertical="center"/>
      <protection locked="0"/>
    </xf>
    <xf numFmtId="0" fontId="0" fillId="0" borderId="0" xfId="0" applyNumberFormat="1" applyAlignment="1" applyProtection="1">
      <protection locked="0"/>
    </xf>
    <xf numFmtId="0" fontId="4" fillId="4" borderId="1" xfId="0" applyNumberFormat="1" applyFont="1" applyFill="1" applyBorder="1" applyAlignment="1" applyProtection="1">
      <alignment horizontal="center" vertical="center" wrapText="1"/>
      <protection locked="0"/>
    </xf>
    <xf numFmtId="0" fontId="1" fillId="0" borderId="0" xfId="0" applyNumberFormat="1" applyFont="1" applyAlignment="1" applyProtection="1">
      <alignment wrapText="1"/>
      <protection locked="0"/>
    </xf>
    <xf numFmtId="49" fontId="10" fillId="6" borderId="44" xfId="0" applyNumberFormat="1" applyFont="1" applyFill="1" applyBorder="1" applyAlignment="1" applyProtection="1">
      <alignment horizontal="left" vertical="center" wrapText="1"/>
      <protection locked="0"/>
    </xf>
    <xf numFmtId="49" fontId="10" fillId="6" borderId="4" xfId="0" applyNumberFormat="1" applyFont="1" applyFill="1" applyBorder="1" applyAlignment="1" applyProtection="1">
      <alignment horizontal="left" vertical="center" wrapText="1"/>
      <protection locked="0"/>
    </xf>
    <xf numFmtId="0" fontId="0" fillId="0" borderId="0" xfId="0" applyNumberFormat="1" applyAlignment="1" applyProtection="1">
      <alignment wrapText="1"/>
      <protection locked="0"/>
    </xf>
    <xf numFmtId="0" fontId="9" fillId="6" borderId="4" xfId="0" quotePrefix="1" applyNumberFormat="1" applyFont="1" applyFill="1" applyBorder="1" applyAlignment="1" applyProtection="1">
      <alignment horizontal="left" vertical="center" wrapText="1"/>
      <protection locked="0"/>
    </xf>
    <xf numFmtId="0" fontId="9" fillId="6" borderId="44" xfId="0" quotePrefix="1" applyNumberFormat="1" applyFont="1" applyFill="1" applyBorder="1" applyAlignment="1" applyProtection="1">
      <alignment horizontal="left" vertical="center" wrapText="1"/>
      <protection locked="0"/>
    </xf>
    <xf numFmtId="9" fontId="10" fillId="6" borderId="4" xfId="0" applyNumberFormat="1" applyFont="1" applyFill="1" applyBorder="1" applyAlignment="1" applyProtection="1">
      <alignment horizontal="left" vertical="center" wrapText="1"/>
      <protection locked="0"/>
    </xf>
    <xf numFmtId="10" fontId="9" fillId="6" borderId="44" xfId="3" applyNumberFormat="1" applyFont="1" applyFill="1" applyBorder="1" applyAlignment="1" applyProtection="1">
      <alignment horizontal="left" vertical="center" wrapText="1"/>
      <protection locked="0"/>
    </xf>
    <xf numFmtId="0" fontId="9" fillId="0" borderId="44" xfId="0" applyNumberFormat="1" applyFont="1" applyFill="1" applyBorder="1" applyAlignment="1" applyProtection="1">
      <alignment horizontal="left" vertical="center" wrapText="1"/>
      <protection locked="0"/>
    </xf>
    <xf numFmtId="165" fontId="8" fillId="6" borderId="4" xfId="0" applyNumberFormat="1" applyFont="1" applyFill="1" applyBorder="1" applyAlignment="1" applyProtection="1">
      <alignment horizontal="left" vertical="center" wrapText="1"/>
      <protection locked="0"/>
    </xf>
    <xf numFmtId="165" fontId="8" fillId="6" borderId="44" xfId="0" applyNumberFormat="1"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horizontal="left" vertical="center" wrapText="1"/>
      <protection locked="0"/>
    </xf>
    <xf numFmtId="6" fontId="9" fillId="0" borderId="44" xfId="0" applyNumberFormat="1" applyFont="1" applyFill="1" applyBorder="1" applyAlignment="1" applyProtection="1">
      <alignment horizontal="left" vertical="center" wrapText="1"/>
      <protection locked="0"/>
    </xf>
    <xf numFmtId="49" fontId="58" fillId="6" borderId="44" xfId="0" applyNumberFormat="1" applyFont="1" applyFill="1" applyBorder="1" applyAlignment="1" applyProtection="1">
      <alignment horizontal="left" vertical="center" wrapText="1"/>
      <protection locked="0"/>
    </xf>
    <xf numFmtId="49" fontId="10" fillId="0" borderId="44" xfId="0" applyNumberFormat="1" applyFont="1" applyFill="1" applyBorder="1" applyAlignment="1" applyProtection="1">
      <alignment horizontal="left" vertical="center" wrapText="1"/>
      <protection locked="0"/>
    </xf>
    <xf numFmtId="0" fontId="54" fillId="6" borderId="45" xfId="0" applyNumberFormat="1" applyFont="1" applyFill="1" applyBorder="1" applyAlignment="1" applyProtection="1">
      <alignment horizontal="left" vertical="center" wrapText="1"/>
      <protection locked="0"/>
    </xf>
    <xf numFmtId="0" fontId="10" fillId="0" borderId="44" xfId="0" applyFont="1" applyBorder="1" applyAlignment="1" applyProtection="1">
      <alignment vertical="center" wrapText="1"/>
      <protection locked="0"/>
    </xf>
    <xf numFmtId="0" fontId="0" fillId="0" borderId="45" xfId="0" applyNumberFormat="1" applyBorder="1" applyAlignment="1" applyProtection="1">
      <alignment horizontal="left" vertical="center" wrapText="1"/>
      <protection locked="0"/>
    </xf>
    <xf numFmtId="10" fontId="9" fillId="0" borderId="44" xfId="0" applyNumberFormat="1" applyFont="1" applyFill="1" applyBorder="1" applyAlignment="1" applyProtection="1">
      <alignment horizontal="left" vertical="center" wrapText="1"/>
      <protection locked="0"/>
    </xf>
    <xf numFmtId="0" fontId="10" fillId="0" borderId="44" xfId="0" applyNumberFormat="1" applyFont="1" applyFill="1" applyBorder="1" applyAlignment="1" applyProtection="1">
      <alignment horizontal="left" vertical="center" wrapText="1"/>
      <protection locked="0"/>
    </xf>
    <xf numFmtId="10" fontId="8" fillId="6" borderId="45" xfId="0" applyNumberFormat="1" applyFont="1" applyFill="1" applyBorder="1" applyAlignment="1" applyProtection="1">
      <alignment horizontal="left" vertical="center" wrapText="1"/>
      <protection locked="0"/>
    </xf>
    <xf numFmtId="17" fontId="8" fillId="6" borderId="4"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left" vertical="center" wrapText="1"/>
      <protection locked="0"/>
    </xf>
    <xf numFmtId="9" fontId="8" fillId="0" borderId="4" xfId="0" applyNumberFormat="1" applyFont="1" applyFill="1" applyBorder="1" applyAlignment="1" applyProtection="1">
      <alignment horizontal="left" vertical="center" wrapText="1"/>
      <protection locked="0"/>
    </xf>
    <xf numFmtId="9" fontId="8" fillId="6" borderId="4" xfId="0" applyNumberFormat="1" applyFont="1" applyFill="1" applyBorder="1" applyAlignment="1" applyProtection="1">
      <alignment horizontal="left" vertical="center" wrapText="1"/>
      <protection locked="0"/>
    </xf>
    <xf numFmtId="4" fontId="8" fillId="6" borderId="4" xfId="0" applyNumberFormat="1" applyFont="1" applyFill="1" applyBorder="1" applyAlignment="1" applyProtection="1">
      <alignment horizontal="left" vertical="center" wrapText="1"/>
      <protection locked="0"/>
    </xf>
    <xf numFmtId="3" fontId="8" fillId="6" borderId="4" xfId="0" applyNumberFormat="1" applyFont="1" applyFill="1" applyBorder="1" applyAlignment="1" applyProtection="1">
      <alignment horizontal="left" vertical="center" wrapText="1"/>
      <protection locked="0"/>
    </xf>
    <xf numFmtId="0" fontId="18" fillId="6" borderId="45" xfId="1" applyNumberFormat="1" applyFill="1" applyBorder="1" applyAlignment="1" applyProtection="1">
      <alignment horizontal="left" vertical="center" wrapText="1"/>
      <protection locked="0"/>
    </xf>
    <xf numFmtId="1" fontId="0" fillId="6" borderId="0" xfId="0" applyNumberFormat="1" applyFill="1" applyAlignment="1">
      <alignment vertical="center"/>
    </xf>
    <xf numFmtId="165" fontId="8" fillId="6" borderId="51" xfId="0" applyNumberFormat="1" applyFont="1" applyFill="1" applyBorder="1" applyAlignment="1" applyProtection="1">
      <alignment horizontal="left" vertical="center" wrapText="1"/>
      <protection locked="0"/>
    </xf>
    <xf numFmtId="165" fontId="8" fillId="6" borderId="52" xfId="0" applyNumberFormat="1" applyFont="1" applyFill="1" applyBorder="1" applyAlignment="1" applyProtection="1">
      <alignment horizontal="left" vertical="center" wrapText="1"/>
      <protection locked="0"/>
    </xf>
    <xf numFmtId="10" fontId="9" fillId="6" borderId="44" xfId="0" applyNumberFormat="1" applyFont="1" applyFill="1" applyBorder="1" applyAlignment="1" applyProtection="1">
      <alignment horizontal="center" vertical="center" wrapText="1"/>
      <protection locked="0"/>
    </xf>
    <xf numFmtId="9" fontId="9" fillId="6" borderId="44" xfId="0" applyNumberFormat="1" applyFont="1" applyFill="1" applyBorder="1" applyAlignment="1" applyProtection="1">
      <alignment horizontal="center" vertical="center" wrapText="1"/>
      <protection locked="0"/>
    </xf>
    <xf numFmtId="0" fontId="15" fillId="28" borderId="67" xfId="0" applyFont="1" applyFill="1" applyBorder="1" applyAlignment="1" applyProtection="1">
      <alignment horizontal="center" vertical="center" wrapText="1"/>
    </xf>
    <xf numFmtId="166" fontId="59" fillId="33" borderId="65" xfId="0" applyNumberFormat="1" applyFont="1" applyFill="1" applyBorder="1" applyAlignment="1" applyProtection="1">
      <alignment horizontal="center" vertical="center" wrapText="1"/>
      <protection locked="0"/>
    </xf>
    <xf numFmtId="166" fontId="59" fillId="33" borderId="0" xfId="0" applyNumberFormat="1" applyFont="1" applyFill="1" applyBorder="1" applyAlignment="1" applyProtection="1">
      <alignment horizontal="center" vertical="center" wrapText="1"/>
      <protection locked="0"/>
    </xf>
    <xf numFmtId="0" fontId="15" fillId="34" borderId="62" xfId="0" applyFont="1" applyFill="1" applyBorder="1" applyAlignment="1" applyProtection="1">
      <alignment horizontal="center" vertical="center" wrapText="1"/>
      <protection locked="0"/>
    </xf>
    <xf numFmtId="0" fontId="15" fillId="34" borderId="0" xfId="0"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NumberFormat="1"/>
    <xf numFmtId="0" fontId="15" fillId="29" borderId="0" xfId="0" applyFont="1" applyFill="1" applyBorder="1" applyAlignment="1" applyProtection="1">
      <alignment horizontal="center" vertical="center" wrapText="1"/>
      <protection locked="0"/>
    </xf>
    <xf numFmtId="166" fontId="27" fillId="35" borderId="0" xfId="0" applyNumberFormat="1" applyFont="1" applyFill="1" applyBorder="1" applyAlignment="1" applyProtection="1">
      <alignment horizontal="center" vertical="center" wrapText="1"/>
      <protection locked="0"/>
    </xf>
    <xf numFmtId="166" fontId="27" fillId="35" borderId="68" xfId="0" applyNumberFormat="1" applyFont="1" applyFill="1" applyBorder="1" applyAlignment="1" applyProtection="1">
      <alignment horizontal="center" vertical="center" wrapText="1"/>
      <protection locked="0"/>
    </xf>
    <xf numFmtId="166" fontId="27" fillId="35" borderId="0" xfId="0" applyNumberFormat="1" applyFont="1" applyFill="1" applyBorder="1" applyAlignment="1" applyProtection="1">
      <alignment horizontal="center" vertical="center" wrapText="1"/>
      <protection locked="0"/>
    </xf>
    <xf numFmtId="166" fontId="27" fillId="35" borderId="69" xfId="0" applyNumberFormat="1" applyFont="1" applyFill="1" applyBorder="1" applyAlignment="1" applyProtection="1">
      <alignment horizontal="center" vertical="center" wrapText="1"/>
      <protection locked="0"/>
    </xf>
    <xf numFmtId="0" fontId="4" fillId="12" borderId="1" xfId="0" applyNumberFormat="1" applyFont="1" applyFill="1" applyBorder="1" applyAlignment="1" applyProtection="1">
      <alignment horizontal="center" vertical="center"/>
      <protection locked="0"/>
    </xf>
    <xf numFmtId="0" fontId="4" fillId="24" borderId="1" xfId="0" applyNumberFormat="1" applyFont="1" applyFill="1" applyBorder="1" applyAlignment="1" applyProtection="1">
      <alignment horizontal="center" vertical="center"/>
      <protection locked="0"/>
    </xf>
    <xf numFmtId="166" fontId="59" fillId="33" borderId="68" xfId="0" applyNumberFormat="1" applyFont="1" applyFill="1" applyBorder="1" applyAlignment="1" applyProtection="1">
      <alignment horizontal="center" vertical="center" wrapText="1"/>
      <protection locked="0"/>
    </xf>
    <xf numFmtId="166" fontId="59" fillId="33" borderId="0" xfId="0" applyNumberFormat="1" applyFont="1" applyFill="1" applyBorder="1" applyAlignment="1" applyProtection="1">
      <alignment horizontal="center" vertical="center" wrapText="1"/>
      <protection locked="0"/>
    </xf>
    <xf numFmtId="166" fontId="59" fillId="33" borderId="69" xfId="0" applyNumberFormat="1" applyFont="1" applyFill="1" applyBorder="1" applyAlignment="1" applyProtection="1">
      <alignment horizontal="center" vertical="center" wrapText="1"/>
      <protection locked="0"/>
    </xf>
    <xf numFmtId="0" fontId="21" fillId="6" borderId="20"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30" fillId="14" borderId="21" xfId="0"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0" fillId="9" borderId="34" xfId="0" applyFont="1" applyFill="1" applyBorder="1" applyAlignment="1">
      <alignment horizontal="center" vertical="center" wrapText="1"/>
    </xf>
    <xf numFmtId="10" fontId="2" fillId="0" borderId="12" xfId="0" applyNumberFormat="1" applyFont="1" applyFill="1" applyBorder="1" applyAlignment="1" applyProtection="1">
      <alignment horizontal="center" vertical="center" wrapText="1"/>
    </xf>
    <xf numFmtId="10" fontId="17" fillId="9" borderId="12" xfId="0" applyNumberFormat="1" applyFont="1" applyFill="1" applyBorder="1" applyAlignment="1" applyProtection="1">
      <alignment horizontal="center" vertical="center" wrapText="1"/>
    </xf>
    <xf numFmtId="10" fontId="17" fillId="10" borderId="12"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2" xfId="0" applyNumberFormat="1" applyFont="1" applyFill="1" applyBorder="1" applyAlignment="1" applyProtection="1">
      <alignment horizontal="center" vertical="center" wrapText="1"/>
    </xf>
    <xf numFmtId="0" fontId="5" fillId="11" borderId="13" xfId="0" applyFont="1" applyFill="1" applyBorder="1" applyAlignment="1" applyProtection="1">
      <alignment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0" borderId="18"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10" fontId="23" fillId="20" borderId="0" xfId="0" applyNumberFormat="1" applyFont="1" applyFill="1" applyAlignment="1" applyProtection="1">
      <alignment horizontal="center" vertical="center"/>
    </xf>
    <xf numFmtId="0" fontId="23" fillId="20" borderId="0" xfId="0" applyFont="1" applyFill="1" applyAlignment="1" applyProtection="1">
      <alignment horizontal="center" vertical="center"/>
    </xf>
    <xf numFmtId="10" fontId="17" fillId="10" borderId="18" xfId="0" applyNumberFormat="1" applyFont="1" applyFill="1" applyBorder="1" applyAlignment="1" applyProtection="1">
      <alignment horizontal="center" vertical="center" wrapText="1"/>
    </xf>
    <xf numFmtId="10" fontId="17" fillId="10" borderId="47" xfId="0" applyNumberFormat="1" applyFont="1" applyFill="1" applyBorder="1" applyAlignment="1" applyProtection="1">
      <alignment horizontal="center" vertical="center" wrapText="1"/>
    </xf>
    <xf numFmtId="0" fontId="21" fillId="13" borderId="0" xfId="0" applyFont="1" applyFill="1" applyBorder="1" applyAlignment="1">
      <alignment horizontal="left" vertical="center" wrapText="1"/>
    </xf>
    <xf numFmtId="10" fontId="2" fillId="0" borderId="36" xfId="0" applyNumberFormat="1" applyFont="1" applyFill="1" applyBorder="1" applyAlignment="1" applyProtection="1">
      <alignment horizontal="center" vertical="center" wrapText="1"/>
    </xf>
    <xf numFmtId="10" fontId="17" fillId="9" borderId="36" xfId="0" applyNumberFormat="1" applyFont="1" applyFill="1" applyBorder="1" applyAlignment="1" applyProtection="1">
      <alignment horizontal="center" vertical="center" wrapText="1"/>
    </xf>
    <xf numFmtId="10" fontId="17" fillId="15" borderId="36" xfId="0" applyNumberFormat="1" applyFont="1" applyFill="1" applyBorder="1" applyAlignment="1" applyProtection="1">
      <alignment horizontal="center" vertical="center" wrapText="1"/>
    </xf>
    <xf numFmtId="10" fontId="2" fillId="0" borderId="37" xfId="0" applyNumberFormat="1" applyFont="1" applyFill="1" applyBorder="1" applyAlignment="1" applyProtection="1">
      <alignment horizontal="center" vertical="center" wrapText="1"/>
    </xf>
    <xf numFmtId="10" fontId="2" fillId="0" borderId="38" xfId="0" applyNumberFormat="1" applyFont="1" applyFill="1" applyBorder="1" applyAlignment="1" applyProtection="1">
      <alignment horizontal="center" vertical="center" wrapText="1"/>
    </xf>
    <xf numFmtId="10" fontId="2" fillId="0" borderId="39" xfId="0" applyNumberFormat="1" applyFont="1" applyFill="1" applyBorder="1" applyAlignment="1" applyProtection="1">
      <alignment horizontal="center" vertical="center" wrapText="1"/>
    </xf>
    <xf numFmtId="10" fontId="2" fillId="0" borderId="37" xfId="0" applyNumberFormat="1" applyFont="1" applyFill="1" applyBorder="1" applyAlignment="1" applyProtection="1">
      <alignment vertical="center" wrapText="1"/>
    </xf>
    <xf numFmtId="10" fontId="2" fillId="0" borderId="38" xfId="0" applyNumberFormat="1" applyFont="1" applyFill="1" applyBorder="1" applyAlignment="1" applyProtection="1">
      <alignment vertical="center" wrapText="1"/>
    </xf>
    <xf numFmtId="10" fontId="2" fillId="0" borderId="39" xfId="0" applyNumberFormat="1" applyFont="1" applyFill="1" applyBorder="1" applyAlignment="1" applyProtection="1">
      <alignment vertical="center" wrapText="1"/>
    </xf>
    <xf numFmtId="10" fontId="16" fillId="8" borderId="37" xfId="0" applyNumberFormat="1" applyFont="1" applyFill="1" applyBorder="1" applyAlignment="1" applyProtection="1">
      <alignment horizontal="center" vertical="center" wrapText="1"/>
    </xf>
    <xf numFmtId="10" fontId="16" fillId="8" borderId="38" xfId="0" applyNumberFormat="1" applyFont="1" applyFill="1" applyBorder="1" applyAlignment="1" applyProtection="1">
      <alignment horizontal="center" vertical="center" wrapText="1"/>
    </xf>
    <xf numFmtId="10" fontId="16" fillId="8" borderId="39" xfId="0" applyNumberFormat="1" applyFont="1" applyFill="1" applyBorder="1" applyAlignment="1" applyProtection="1">
      <alignment horizontal="center" vertical="center" wrapText="1"/>
    </xf>
    <xf numFmtId="0" fontId="5" fillId="8" borderId="37" xfId="0" applyFont="1" applyFill="1" applyBorder="1" applyAlignment="1" applyProtection="1">
      <alignment vertical="center" wrapText="1"/>
    </xf>
    <xf numFmtId="0" fontId="5" fillId="8" borderId="38" xfId="0" applyFont="1" applyFill="1" applyBorder="1" applyAlignment="1" applyProtection="1">
      <alignment vertical="center" wrapText="1"/>
    </xf>
    <xf numFmtId="0" fontId="5" fillId="8" borderId="39" xfId="0" applyFont="1" applyFill="1" applyBorder="1" applyAlignment="1" applyProtection="1">
      <alignment vertical="center" wrapText="1"/>
    </xf>
    <xf numFmtId="0" fontId="5" fillId="0" borderId="48"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21" fillId="16" borderId="0"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27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0.93181818181818188</c:v>
                </c:pt>
                <c:pt idx="1">
                  <c:v>0</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6.8181818181818177E-2</c:v>
                </c:pt>
                <c:pt idx="1">
                  <c:v>0</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4183424"/>
        <c:axId val="334179896"/>
      </c:lineChart>
      <c:catAx>
        <c:axId val="334183424"/>
        <c:scaling>
          <c:orientation val="minMax"/>
        </c:scaling>
        <c:delete val="0"/>
        <c:axPos val="b"/>
        <c:numFmt formatCode="General" sourceLinked="0"/>
        <c:majorTickMark val="out"/>
        <c:minorTickMark val="none"/>
        <c:tickLblPos val="nextTo"/>
        <c:txPr>
          <a:bodyPr/>
          <a:lstStyle/>
          <a:p>
            <a:pPr>
              <a:defRPr lang="en-US"/>
            </a:pPr>
            <a:endParaRPr lang="en-US"/>
          </a:p>
        </c:txPr>
        <c:crossAx val="334179896"/>
        <c:crosses val="autoZero"/>
        <c:auto val="1"/>
        <c:lblAlgn val="ctr"/>
        <c:lblOffset val="100"/>
        <c:noMultiLvlLbl val="0"/>
      </c:catAx>
      <c:valAx>
        <c:axId val="334179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3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paperSize="8"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Creating a prosperous East Staffordshire</a:t>
            </a:r>
            <a:r>
              <a:rPr lang="en-US" sz="1800" b="1" i="0" baseline="0"/>
              <a:t>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Creating a prosperous East Staffordshire</a:t>
            </a:r>
            <a:r>
              <a:rPr lang="en-US" sz="1800" b="1" i="0" baseline="0"/>
              <a:t>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effectLst/>
              </a:rPr>
              <a:t>Creating a prosperous East Staffordshire</a:t>
            </a: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Improving Local Democracy</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4180680"/>
        <c:axId val="334181072"/>
      </c:lineChart>
      <c:catAx>
        <c:axId val="334180680"/>
        <c:scaling>
          <c:orientation val="minMax"/>
        </c:scaling>
        <c:delete val="0"/>
        <c:axPos val="b"/>
        <c:numFmt formatCode="General" sourceLinked="0"/>
        <c:majorTickMark val="out"/>
        <c:minorTickMark val="none"/>
        <c:tickLblPos val="nextTo"/>
        <c:txPr>
          <a:bodyPr/>
          <a:lstStyle/>
          <a:p>
            <a:pPr>
              <a:defRPr lang="en-US"/>
            </a:pPr>
            <a:endParaRPr lang="en-US"/>
          </a:p>
        </c:txPr>
        <c:crossAx val="334181072"/>
        <c:crosses val="autoZero"/>
        <c:auto val="1"/>
        <c:lblAlgn val="ctr"/>
        <c:lblOffset val="100"/>
        <c:noMultiLvlLbl val="0"/>
      </c:catAx>
      <c:valAx>
        <c:axId val="334181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0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our heritage</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Priority'!$AY$71</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Priority'!$AZ$70:$BC$70</c:f>
              <c:strCache>
                <c:ptCount val="4"/>
                <c:pt idx="0">
                  <c:v>Q1</c:v>
                </c:pt>
                <c:pt idx="1">
                  <c:v>Q2</c:v>
                </c:pt>
                <c:pt idx="2">
                  <c:v>Q3</c:v>
                </c:pt>
                <c:pt idx="3">
                  <c:v>Q4</c:v>
                </c:pt>
              </c:strCache>
            </c:strRef>
          </c:cat>
          <c:val>
            <c:numRef>
              <c:f>'2b. Charts by Priority'!$AZ$71:$BC$71</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21A3-4BFA-BBB5-DF5B18E71016}"/>
            </c:ext>
          </c:extLst>
        </c:ser>
        <c:ser>
          <c:idx val="1"/>
          <c:order val="1"/>
          <c:tx>
            <c:strRef>
              <c:f>'2b. Charts by Priority'!$AY$72</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Priority'!$AZ$70:$BC$70</c:f>
              <c:strCache>
                <c:ptCount val="4"/>
                <c:pt idx="0">
                  <c:v>Q1</c:v>
                </c:pt>
                <c:pt idx="1">
                  <c:v>Q2</c:v>
                </c:pt>
                <c:pt idx="2">
                  <c:v>Q3</c:v>
                </c:pt>
                <c:pt idx="3">
                  <c:v>Q4</c:v>
                </c:pt>
              </c:strCache>
            </c:strRef>
          </c:cat>
          <c:val>
            <c:numRef>
              <c:f>'2b. Charts by Priority'!$AZ$72:$BC$72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21A3-4BFA-BBB5-DF5B18E71016}"/>
            </c:ext>
          </c:extLst>
        </c:ser>
        <c:ser>
          <c:idx val="2"/>
          <c:order val="2"/>
          <c:tx>
            <c:strRef>
              <c:f>'2b. Charts by Priority'!$AY$73</c:f>
              <c:strCache>
                <c:ptCount val="1"/>
                <c:pt idx="0">
                  <c:v>Red</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'2b. Charts by Priority'!$AZ$70:$BC$70</c:f>
              <c:strCache>
                <c:ptCount val="4"/>
                <c:pt idx="0">
                  <c:v>Q1</c:v>
                </c:pt>
                <c:pt idx="1">
                  <c:v>Q2</c:v>
                </c:pt>
                <c:pt idx="2">
                  <c:v>Q3</c:v>
                </c:pt>
                <c:pt idx="3">
                  <c:v>Q4</c:v>
                </c:pt>
              </c:strCache>
            </c:strRef>
          </c:cat>
          <c:val>
            <c:numRef>
              <c:f>'2b. Charts by Priority'!$AZ$73:$BC$73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C-21A3-4BFA-BBB5-DF5B18E71016}"/>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a:t>
            </a:r>
            <a:r>
              <a:rPr lang="en-US" baseline="0"/>
              <a:t> our heritage </a:t>
            </a: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Priority'!$AZ$70</c:f>
              <c:strCache>
                <c:ptCount val="1"/>
                <c:pt idx="0">
                  <c:v>Q1</c:v>
                </c:pt>
              </c:strCache>
            </c:strRef>
          </c:tx>
          <c:cat>
            <c:strRef>
              <c:f>'2b. Charts by Priority'!$AY$71:$AY$73</c:f>
              <c:strCache>
                <c:ptCount val="3"/>
                <c:pt idx="0">
                  <c:v>Green</c:v>
                </c:pt>
                <c:pt idx="1">
                  <c:v>Amber</c:v>
                </c:pt>
                <c:pt idx="2">
                  <c:v>Red</c:v>
                </c:pt>
              </c:strCache>
            </c:strRef>
          </c:cat>
          <c:val>
            <c:numRef>
              <c:f>'2b. Charts by Priority'!$AZ$71:$AZ$73</c:f>
              <c:numCache>
                <c:formatCode>0.00%</c:formatCode>
                <c:ptCount val="3"/>
                <c:pt idx="0">
                  <c:v>1</c:v>
                </c:pt>
                <c:pt idx="1">
                  <c:v>0</c:v>
                </c:pt>
                <c:pt idx="2">
                  <c:v>0</c:v>
                </c:pt>
              </c:numCache>
            </c:numRef>
          </c:val>
          <c:extLst>
            <c:ext xmlns:c16="http://schemas.microsoft.com/office/drawing/2014/chart" uri="{C3380CC4-5D6E-409C-BE32-E72D297353CC}">
              <c16:uniqueId val="{00000006-A190-423B-8A49-D421E49B515C}"/>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Priority'!$BA$70</c:f>
              <c:strCache>
                <c:ptCount val="1"/>
                <c:pt idx="0">
                  <c:v>Q2</c:v>
                </c:pt>
              </c:strCache>
            </c:strRef>
          </c:tx>
          <c:cat>
            <c:strRef>
              <c:f>'2b. Charts by Priority'!$AY$71:$AY$73</c:f>
              <c:strCache>
                <c:ptCount val="3"/>
                <c:pt idx="0">
                  <c:v>Green</c:v>
                </c:pt>
                <c:pt idx="1">
                  <c:v>Amber</c:v>
                </c:pt>
                <c:pt idx="2">
                  <c:v>Red</c:v>
                </c:pt>
              </c:strCache>
            </c:strRef>
          </c:cat>
          <c:val>
            <c:numRef>
              <c:f>'2b. Charts by Priority'!$BA$71:$BA$73</c:f>
              <c:numCache>
                <c:formatCode>0.00%</c:formatCode>
                <c:ptCount val="3"/>
                <c:pt idx="0">
                  <c:v>0</c:v>
                </c:pt>
                <c:pt idx="1">
                  <c:v>0</c:v>
                </c:pt>
                <c:pt idx="2">
                  <c:v>0</c:v>
                </c:pt>
              </c:numCache>
            </c:numRef>
          </c:val>
          <c:extLst>
            <c:ext xmlns:c16="http://schemas.microsoft.com/office/drawing/2014/chart" uri="{C3380CC4-5D6E-409C-BE32-E72D297353CC}">
              <c16:uniqueId val="{00000006-70BB-4E45-86EF-F55AC9481CA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a:t>
            </a:r>
            <a:r>
              <a:rPr lang="en-US" sz="1800" b="1" i="0" baseline="0"/>
              <a:t>Quarter 3</a:t>
            </a:r>
            <a:endParaRPr lang="en-GB"/>
          </a:p>
        </c:rich>
      </c:tx>
      <c:layout>
        <c:manualLayout>
          <c:xMode val="edge"/>
          <c:yMode val="edge"/>
          <c:x val="0.11275406980377453"/>
          <c:y val="3.2429928190873293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Priority'!$BB$70</c:f>
              <c:strCache>
                <c:ptCount val="1"/>
                <c:pt idx="0">
                  <c:v>Q3</c:v>
                </c:pt>
              </c:strCache>
            </c:strRef>
          </c:tx>
          <c:cat>
            <c:strRef>
              <c:f>'2b. Charts by Priority'!$AY$71:$AY$73</c:f>
              <c:strCache>
                <c:ptCount val="3"/>
                <c:pt idx="0">
                  <c:v>Green</c:v>
                </c:pt>
                <c:pt idx="1">
                  <c:v>Amber</c:v>
                </c:pt>
                <c:pt idx="2">
                  <c:v>Red</c:v>
                </c:pt>
              </c:strCache>
            </c:strRef>
          </c:cat>
          <c:val>
            <c:numRef>
              <c:f>'2b. Charts by Priority'!$BB$71:$BB$73</c:f>
              <c:numCache>
                <c:formatCode>0.00%</c:formatCode>
                <c:ptCount val="3"/>
                <c:pt idx="0">
                  <c:v>0</c:v>
                </c:pt>
                <c:pt idx="1">
                  <c:v>0</c:v>
                </c:pt>
                <c:pt idx="2">
                  <c:v>0</c:v>
                </c:pt>
              </c:numCache>
            </c:numRef>
          </c:val>
          <c:extLst>
            <c:ext xmlns:c16="http://schemas.microsoft.com/office/drawing/2014/chart" uri="{C3380CC4-5D6E-409C-BE32-E72D297353CC}">
              <c16:uniqueId val="{00000006-141D-40D7-B585-2CE41F6808DC}"/>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Priority'!$BC$70</c:f>
              <c:strCache>
                <c:ptCount val="1"/>
                <c:pt idx="0">
                  <c:v>Q4</c:v>
                </c:pt>
              </c:strCache>
            </c:strRef>
          </c:tx>
          <c:cat>
            <c:strRef>
              <c:f>'2b. Charts by Priority'!$AY$71:$AY$73</c:f>
              <c:strCache>
                <c:ptCount val="3"/>
                <c:pt idx="0">
                  <c:v>Green</c:v>
                </c:pt>
                <c:pt idx="1">
                  <c:v>Amber</c:v>
                </c:pt>
                <c:pt idx="2">
                  <c:v>Red</c:v>
                </c:pt>
              </c:strCache>
            </c:strRef>
          </c:cat>
          <c:val>
            <c:numRef>
              <c:f>'2b. Charts by Priority'!$BC$71:$BC$73</c:f>
              <c:numCache>
                <c:formatCode>0.00%</c:formatCode>
                <c:ptCount val="3"/>
                <c:pt idx="0">
                  <c:v>0</c:v>
                </c:pt>
                <c:pt idx="1">
                  <c:v>0</c:v>
                </c:pt>
                <c:pt idx="2">
                  <c:v>0</c:v>
                </c:pt>
              </c:numCache>
            </c:numRef>
          </c:val>
          <c:extLst>
            <c:ext xmlns:c16="http://schemas.microsoft.com/office/drawing/2014/chart" uri="{C3380CC4-5D6E-409C-BE32-E72D297353CC}">
              <c16:uniqueId val="{00000006-C9DF-4E1B-BBB8-FBF2670D6A9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Standing up for our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Priority'!$AY$86</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Priority'!$AZ$86:$BC$86</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B2CF-466E-A181-6E2E2E9B9E32}"/>
            </c:ext>
          </c:extLst>
        </c:ser>
        <c:ser>
          <c:idx val="1"/>
          <c:order val="1"/>
          <c:tx>
            <c:strRef>
              <c:f>'2b. Charts by Priority'!$AY$87</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Priority'!$AZ$87:$BC$87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B2CF-466E-A181-6E2E2E9B9E32}"/>
            </c:ext>
          </c:extLst>
        </c:ser>
        <c:ser>
          <c:idx val="2"/>
          <c:order val="2"/>
          <c:tx>
            <c:strRef>
              <c:f>'2b. Charts by Priority'!$AY$88</c:f>
              <c:strCache>
                <c:ptCount val="1"/>
                <c:pt idx="0">
                  <c:v>Red</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Priority'!$AZ$88:$BC$88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B2CF-466E-A181-6E2E2E9B9E32}"/>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Standing up for our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Priority'!$AZ$85</c:f>
              <c:strCache>
                <c:ptCount val="1"/>
                <c:pt idx="0">
                  <c:v>Q1</c:v>
                </c:pt>
              </c:strCache>
            </c:strRef>
          </c:tx>
          <c:cat>
            <c:strRef>
              <c:f>'2b. Charts by Priority'!$AY$86:$AY$88</c:f>
              <c:strCache>
                <c:ptCount val="3"/>
                <c:pt idx="0">
                  <c:v>Green</c:v>
                </c:pt>
                <c:pt idx="1">
                  <c:v>Amber</c:v>
                </c:pt>
                <c:pt idx="2">
                  <c:v>Red</c:v>
                </c:pt>
              </c:strCache>
            </c:strRef>
          </c:cat>
          <c:val>
            <c:numRef>
              <c:f>'2b. Charts by Priority'!$AZ$86:$AZ$88</c:f>
              <c:numCache>
                <c:formatCode>0.00%</c:formatCode>
                <c:ptCount val="3"/>
                <c:pt idx="0">
                  <c:v>1</c:v>
                </c:pt>
                <c:pt idx="1">
                  <c:v>0</c:v>
                </c:pt>
                <c:pt idx="2">
                  <c:v>0</c:v>
                </c:pt>
              </c:numCache>
            </c:numRef>
          </c:val>
          <c:extLst>
            <c:ext xmlns:c16="http://schemas.microsoft.com/office/drawing/2014/chart" uri="{C3380CC4-5D6E-409C-BE32-E72D297353CC}">
              <c16:uniqueId val="{00000006-7939-4199-A1D4-BB2DDD834F4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Priority'!$BA$85</c:f>
              <c:strCache>
                <c:ptCount val="1"/>
                <c:pt idx="0">
                  <c:v>Q2</c:v>
                </c:pt>
              </c:strCache>
            </c:strRef>
          </c:tx>
          <c:cat>
            <c:strRef>
              <c:f>'2b. Charts by Priority'!$AY$86:$AY$88</c:f>
              <c:strCache>
                <c:ptCount val="3"/>
                <c:pt idx="0">
                  <c:v>Green</c:v>
                </c:pt>
                <c:pt idx="1">
                  <c:v>Amber</c:v>
                </c:pt>
                <c:pt idx="2">
                  <c:v>Red</c:v>
                </c:pt>
              </c:strCache>
            </c:strRef>
          </c:cat>
          <c:val>
            <c:numRef>
              <c:f>'2b. Charts by Priority'!$BA$86:$BA$88</c:f>
              <c:numCache>
                <c:formatCode>0.00%</c:formatCode>
                <c:ptCount val="3"/>
                <c:pt idx="0">
                  <c:v>0</c:v>
                </c:pt>
                <c:pt idx="1">
                  <c:v>0</c:v>
                </c:pt>
                <c:pt idx="2">
                  <c:v>0</c:v>
                </c:pt>
              </c:numCache>
            </c:numRef>
          </c:val>
          <c:extLst>
            <c:ext xmlns:c16="http://schemas.microsoft.com/office/drawing/2014/chart" uri="{C3380CC4-5D6E-409C-BE32-E72D297353CC}">
              <c16:uniqueId val="{00000006-A9FB-492F-9F6D-30EAD8AF660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a:t>
            </a:r>
            <a:r>
              <a:rPr lang="en-US" sz="1800" b="1" i="0" baseline="0"/>
              <a:t>Quarter 3</a:t>
            </a:r>
            <a:endParaRPr lang="en-GB"/>
          </a:p>
        </c:rich>
      </c:tx>
      <c:layout>
        <c:manualLayout>
          <c:xMode val="edge"/>
          <c:yMode val="edge"/>
          <c:x val="0.11275406980377453"/>
          <c:y val="3.2429928190873293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Priority'!$BB$85</c:f>
              <c:strCache>
                <c:ptCount val="1"/>
                <c:pt idx="0">
                  <c:v>Q3</c:v>
                </c:pt>
              </c:strCache>
            </c:strRef>
          </c:tx>
          <c:cat>
            <c:strRef>
              <c:f>'2b. Charts by Priority'!$AY$86:$AY$88</c:f>
              <c:strCache>
                <c:ptCount val="3"/>
                <c:pt idx="0">
                  <c:v>Green</c:v>
                </c:pt>
                <c:pt idx="1">
                  <c:v>Amber</c:v>
                </c:pt>
                <c:pt idx="2">
                  <c:v>Red</c:v>
                </c:pt>
              </c:strCache>
            </c:strRef>
          </c:cat>
          <c:val>
            <c:numRef>
              <c:f>'2b. Charts by Priority'!$BB$86:$BB$88</c:f>
              <c:numCache>
                <c:formatCode>0.00%</c:formatCode>
                <c:ptCount val="3"/>
                <c:pt idx="0">
                  <c:v>0</c:v>
                </c:pt>
                <c:pt idx="1">
                  <c:v>0</c:v>
                </c:pt>
                <c:pt idx="2">
                  <c:v>0</c:v>
                </c:pt>
              </c:numCache>
            </c:numRef>
          </c:val>
          <c:extLst>
            <c:ext xmlns:c16="http://schemas.microsoft.com/office/drawing/2014/chart" uri="{C3380CC4-5D6E-409C-BE32-E72D297353CC}">
              <c16:uniqueId val="{00000006-6C93-48DE-BE3C-B82565B62EA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Creating a prosperous East Staffordshire</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56717536"/>
        <c:axId val="356712048"/>
      </c:lineChart>
      <c:catAx>
        <c:axId val="356717536"/>
        <c:scaling>
          <c:orientation val="minMax"/>
        </c:scaling>
        <c:delete val="0"/>
        <c:axPos val="b"/>
        <c:numFmt formatCode="General" sourceLinked="0"/>
        <c:majorTickMark val="out"/>
        <c:minorTickMark val="none"/>
        <c:tickLblPos val="nextTo"/>
        <c:txPr>
          <a:bodyPr/>
          <a:lstStyle/>
          <a:p>
            <a:pPr>
              <a:defRPr lang="en-US"/>
            </a:pPr>
            <a:endParaRPr lang="en-US"/>
          </a:p>
        </c:txPr>
        <c:crossAx val="356712048"/>
        <c:crosses val="autoZero"/>
        <c:auto val="1"/>
        <c:lblAlgn val="ctr"/>
        <c:lblOffset val="100"/>
        <c:noMultiLvlLbl val="0"/>
      </c:catAx>
      <c:valAx>
        <c:axId val="3567120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7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Priority'!$BC$85</c:f>
              <c:strCache>
                <c:ptCount val="1"/>
                <c:pt idx="0">
                  <c:v>Q4</c:v>
                </c:pt>
              </c:strCache>
            </c:strRef>
          </c:tx>
          <c:cat>
            <c:strRef>
              <c:f>'2b. Charts by Priority'!$AY$86:$AY$88</c:f>
              <c:strCache>
                <c:ptCount val="3"/>
                <c:pt idx="0">
                  <c:v>Green</c:v>
                </c:pt>
                <c:pt idx="1">
                  <c:v>Amber</c:v>
                </c:pt>
                <c:pt idx="2">
                  <c:v>Red</c:v>
                </c:pt>
              </c:strCache>
            </c:strRef>
          </c:cat>
          <c:val>
            <c:numRef>
              <c:f>'2b. Charts by Priority'!$BC$86:$BC$88</c:f>
              <c:numCache>
                <c:formatCode>0.00%</c:formatCode>
                <c:ptCount val="3"/>
                <c:pt idx="0">
                  <c:v>0</c:v>
                </c:pt>
                <c:pt idx="1">
                  <c:v>0</c:v>
                </c:pt>
                <c:pt idx="2">
                  <c:v>0</c:v>
                </c:pt>
              </c:numCache>
            </c:numRef>
          </c:val>
          <c:extLst>
            <c:ext xmlns:c16="http://schemas.microsoft.com/office/drawing/2014/chart" uri="{C3380CC4-5D6E-409C-BE32-E72D297353CC}">
              <c16:uniqueId val="{00000006-44DC-4A7C-8B55-3194D233DA9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Communities and Regulatory</a:t>
            </a:r>
            <a:r>
              <a:rPr lang="en-US" sz="1200" u="sng" baseline="0">
                <a:latin typeface="Arial" pitchFamily="34" charset="0"/>
                <a:cs typeface="Arial" pitchFamily="34" charset="0"/>
              </a:rPr>
              <a:t> Services</a:t>
            </a:r>
            <a:endParaRPr lang="en-US"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0.94444444444444442</c:v>
                </c:pt>
                <c:pt idx="1">
                  <c:v>0</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5.5555555555555552E-2</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57745056"/>
        <c:axId val="357746624"/>
      </c:lineChart>
      <c:catAx>
        <c:axId val="357745056"/>
        <c:scaling>
          <c:orientation val="minMax"/>
        </c:scaling>
        <c:delete val="0"/>
        <c:axPos val="b"/>
        <c:numFmt formatCode="General" sourceLinked="1"/>
        <c:majorTickMark val="out"/>
        <c:minorTickMark val="none"/>
        <c:tickLblPos val="nextTo"/>
        <c:txPr>
          <a:bodyPr/>
          <a:lstStyle/>
          <a:p>
            <a:pPr>
              <a:defRPr lang="en-US"/>
            </a:pPr>
            <a:endParaRPr lang="en-US"/>
          </a:p>
        </c:txPr>
        <c:crossAx val="357746624"/>
        <c:crosses val="autoZero"/>
        <c:auto val="1"/>
        <c:lblAlgn val="ctr"/>
        <c:lblOffset val="100"/>
        <c:noMultiLvlLbl val="0"/>
      </c:catAx>
      <c:valAx>
        <c:axId val="357746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0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and Climate Change</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0.83333333333333326</c:v>
                </c:pt>
                <c:pt idx="1">
                  <c:v>0</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0.16666666666666666</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57745448"/>
        <c:axId val="357749368"/>
      </c:lineChart>
      <c:catAx>
        <c:axId val="357745448"/>
        <c:scaling>
          <c:orientation val="minMax"/>
        </c:scaling>
        <c:delete val="0"/>
        <c:axPos val="b"/>
        <c:numFmt formatCode="General" sourceLinked="0"/>
        <c:majorTickMark val="out"/>
        <c:minorTickMark val="none"/>
        <c:tickLblPos val="nextTo"/>
        <c:txPr>
          <a:bodyPr/>
          <a:lstStyle/>
          <a:p>
            <a:pPr>
              <a:defRPr lang="en-US"/>
            </a:pPr>
            <a:endParaRPr lang="en-US"/>
          </a:p>
        </c:txPr>
        <c:crossAx val="357749368"/>
        <c:crosses val="autoZero"/>
        <c:auto val="1"/>
        <c:lblAlgn val="ctr"/>
        <c:lblOffset val="100"/>
        <c:noMultiLvlLbl val="0"/>
      </c:catAx>
      <c:valAx>
        <c:axId val="3577493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Finance and Treasury Management</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57752112"/>
        <c:axId val="357744664"/>
      </c:lineChart>
      <c:catAx>
        <c:axId val="357752112"/>
        <c:scaling>
          <c:orientation val="minMax"/>
        </c:scaling>
        <c:delete val="0"/>
        <c:axPos val="b"/>
        <c:numFmt formatCode="General" sourceLinked="0"/>
        <c:majorTickMark val="out"/>
        <c:minorTickMark val="none"/>
        <c:tickLblPos val="nextTo"/>
        <c:txPr>
          <a:bodyPr/>
          <a:lstStyle/>
          <a:p>
            <a:pPr>
              <a:defRPr lang="en-US"/>
            </a:pPr>
            <a:endParaRPr lang="en-US"/>
          </a:p>
        </c:txPr>
        <c:crossAx val="357744664"/>
        <c:crosses val="autoZero"/>
        <c:auto val="1"/>
        <c:lblAlgn val="ctr"/>
        <c:lblOffset val="100"/>
        <c:noMultiLvlLbl val="0"/>
      </c:catAx>
      <c:valAx>
        <c:axId val="3577446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52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Leader</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57749760"/>
        <c:axId val="357748192"/>
      </c:lineChart>
      <c:catAx>
        <c:axId val="357749760"/>
        <c:scaling>
          <c:orientation val="minMax"/>
        </c:scaling>
        <c:delete val="0"/>
        <c:axPos val="b"/>
        <c:numFmt formatCode="General" sourceLinked="0"/>
        <c:majorTickMark val="out"/>
        <c:minorTickMark val="none"/>
        <c:tickLblPos val="nextTo"/>
        <c:txPr>
          <a:bodyPr/>
          <a:lstStyle/>
          <a:p>
            <a:pPr>
              <a:defRPr lang="en-US"/>
            </a:pPr>
            <a:endParaRPr lang="en-US"/>
          </a:p>
        </c:txPr>
        <c:crossAx val="357748192"/>
        <c:crosses val="autoZero"/>
        <c:auto val="1"/>
        <c:lblAlgn val="ctr"/>
        <c:lblOffset val="100"/>
        <c:noMultiLvlLbl val="0"/>
      </c:catAx>
      <c:valAx>
        <c:axId val="3577481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7749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sng" baseline="0">
                <a:effectLst/>
              </a:rPr>
              <a:t>Communities and Regulatory Services</a:t>
            </a:r>
            <a:endParaRPr lang="en-GB">
              <a:effectLst/>
            </a:endParaRPr>
          </a:p>
          <a:p>
            <a:pPr>
              <a:defRPr lang="en-US" u="none"/>
            </a:pPr>
            <a:r>
              <a:rPr lang="en-US" u="none"/>
              <a:t>- Quarter 1</a:t>
            </a:r>
          </a:p>
        </c:rich>
      </c:tx>
      <c:layout>
        <c:manualLayout>
          <c:xMode val="edge"/>
          <c:yMode val="edge"/>
          <c:x val="0.14580677415323084"/>
          <c:y val="2.7894002789400279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0.94444444444444442</c:v>
                </c:pt>
                <c:pt idx="1">
                  <c:v>5.5555555555555552E-2</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Environment and Climate Change</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0.83333333333333326</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0.16666666666666666</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Communities and Regulatory Services</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Developing a Green New Deal</a:t>
            </a:r>
            <a:r>
              <a:rPr lang="en-GB" sz="1100" baseline="0">
                <a:latin typeface="Arial" pitchFamily="34" charset="0"/>
                <a:cs typeface="Arial" pitchFamily="34" charset="0"/>
              </a:rPr>
              <a:t> for East Staffordshire</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0.8571428571428571</c:v>
                </c:pt>
                <c:pt idx="1">
                  <c:v>0</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0.14285714285714285</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Regulatory Services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Regulatory Services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Environment and Climate Change</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Environment and Climate Change</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Finance and Treasury Management</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0.93181818181818188</c:v>
                </c:pt>
                <c:pt idx="1">
                  <c:v>6.8181818181818177E-2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 and Development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0.88888888888888884</c:v>
                </c:pt>
                <c:pt idx="1">
                  <c:v>0</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0.1111111111111111</c:v>
                </c:pt>
                <c:pt idx="1">
                  <c:v>0</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Regeneration and Development</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0.88888888888888884</c:v>
                </c:pt>
                <c:pt idx="1">
                  <c:v>0.1111111111111111</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 Cultural Development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Portfolio'!$AY$87</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Portfolio'!$AZ$87:$BC$87</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8247-40C9-A0BA-4E3E90F6C197}"/>
            </c:ext>
          </c:extLst>
        </c:ser>
        <c:ser>
          <c:idx val="1"/>
          <c:order val="1"/>
          <c:tx>
            <c:strRef>
              <c:f>'3b. Charts by Portfolio'!$AY$88</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Portfolio'!$AZ$88:$BC$88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8247-40C9-A0BA-4E3E90F6C197}"/>
            </c:ext>
          </c:extLst>
        </c:ser>
        <c:ser>
          <c:idx val="2"/>
          <c:order val="2"/>
          <c:tx>
            <c:strRef>
              <c:f>'3b. Charts by Portfolio'!$AY$89</c:f>
              <c:strCache>
                <c:ptCount val="1"/>
                <c:pt idx="0">
                  <c:v>Red</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Portfolio'!$AZ$89:$BC$89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8247-40C9-A0BA-4E3E90F6C197}"/>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Portfolio'!$AZ$86</c:f>
              <c:strCache>
                <c:ptCount val="1"/>
                <c:pt idx="0">
                  <c:v>Q1</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Portfolio'!$AZ$87:$AZ$89</c:f>
              <c:numCache>
                <c:formatCode>0.00%</c:formatCode>
                <c:ptCount val="3"/>
                <c:pt idx="0">
                  <c:v>1</c:v>
                </c:pt>
                <c:pt idx="1">
                  <c:v>0</c:v>
                </c:pt>
                <c:pt idx="2">
                  <c:v>0</c:v>
                </c:pt>
              </c:numCache>
            </c:numRef>
          </c:val>
          <c:extLst>
            <c:ext xmlns:c16="http://schemas.microsoft.com/office/drawing/2014/chart" uri="{C3380CC4-5D6E-409C-BE32-E72D297353CC}">
              <c16:uniqueId val="{00000006-604B-49FA-AE84-9D9B6FBC40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Portfolio'!$BA$86</c:f>
              <c:strCache>
                <c:ptCount val="1"/>
                <c:pt idx="0">
                  <c:v>Q2</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Portfolio'!$BA$87:$BA$89</c:f>
              <c:numCache>
                <c:formatCode>0.00%</c:formatCode>
                <c:ptCount val="3"/>
                <c:pt idx="0">
                  <c:v>0</c:v>
                </c:pt>
                <c:pt idx="1">
                  <c:v>0</c:v>
                </c:pt>
                <c:pt idx="2">
                  <c:v>0</c:v>
                </c:pt>
              </c:numCache>
            </c:numRef>
          </c:val>
          <c:extLst>
            <c:ext xmlns:c16="http://schemas.microsoft.com/office/drawing/2014/chart" uri="{C3380CC4-5D6E-409C-BE32-E72D297353CC}">
              <c16:uniqueId val="{00000006-0894-4CAA-91CB-5A922F916EA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Portfolio'!$BB$86</c:f>
              <c:strCache>
                <c:ptCount val="1"/>
                <c:pt idx="0">
                  <c:v>Q3</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Portfolio'!$BB$87:$BB$89</c:f>
              <c:numCache>
                <c:formatCode>0.00%</c:formatCode>
                <c:ptCount val="3"/>
                <c:pt idx="0">
                  <c:v>0</c:v>
                </c:pt>
                <c:pt idx="1">
                  <c:v>0</c:v>
                </c:pt>
                <c:pt idx="2">
                  <c:v>0</c:v>
                </c:pt>
              </c:numCache>
            </c:numRef>
          </c:val>
          <c:extLst>
            <c:ext xmlns:c16="http://schemas.microsoft.com/office/drawing/2014/chart" uri="{C3380CC4-5D6E-409C-BE32-E72D297353CC}">
              <c16:uniqueId val="{00000006-01FE-4390-9DD7-EEC751DF31A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Improving Local Democracy-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Portfolio'!$BC$86</c:f>
              <c:strCache>
                <c:ptCount val="1"/>
                <c:pt idx="0">
                  <c:v>Q4</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Portfolio'!$BC$87:$BC$89</c:f>
              <c:numCache>
                <c:formatCode>0.00%</c:formatCode>
                <c:ptCount val="3"/>
                <c:pt idx="0">
                  <c:v>0</c:v>
                </c:pt>
                <c:pt idx="1">
                  <c:v>0</c:v>
                </c:pt>
                <c:pt idx="2">
                  <c:v>0</c:v>
                </c:pt>
              </c:numCache>
            </c:numRef>
          </c:val>
          <c:extLst>
            <c:ext xmlns:c16="http://schemas.microsoft.com/office/drawing/2014/chart" uri="{C3380CC4-5D6E-409C-BE32-E72D297353CC}">
              <c16:uniqueId val="{00000006-10A0-4B04-BEF0-D1A127628F3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Creating</a:t>
            </a:r>
            <a:r>
              <a:rPr lang="en-US" baseline="0"/>
              <a:t> a prosperous East Staffordshire </a:t>
            </a:r>
            <a:r>
              <a:rPr lang="en-US"/>
              <a:t>-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Developing a Green New Deal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0.8571428571428571</c:v>
                </c:pt>
                <c:pt idx="1">
                  <c:v>0.14285714285714285</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3.xml"/><Relationship Id="rId18" Type="http://schemas.openxmlformats.org/officeDocument/2006/relationships/chart" Target="../charts/chart48.xml"/><Relationship Id="rId26" Type="http://schemas.openxmlformats.org/officeDocument/2006/relationships/chart" Target="../charts/chart56.xml"/><Relationship Id="rId3" Type="http://schemas.openxmlformats.org/officeDocument/2006/relationships/chart" Target="../charts/chart33.xml"/><Relationship Id="rId21" Type="http://schemas.openxmlformats.org/officeDocument/2006/relationships/chart" Target="../charts/chart51.xml"/><Relationship Id="rId7" Type="http://schemas.openxmlformats.org/officeDocument/2006/relationships/chart" Target="../charts/chart37.xml"/><Relationship Id="rId12" Type="http://schemas.openxmlformats.org/officeDocument/2006/relationships/chart" Target="../charts/chart42.xml"/><Relationship Id="rId17" Type="http://schemas.openxmlformats.org/officeDocument/2006/relationships/chart" Target="../charts/chart47.xml"/><Relationship Id="rId25" Type="http://schemas.openxmlformats.org/officeDocument/2006/relationships/chart" Target="../charts/chart55.xml"/><Relationship Id="rId2" Type="http://schemas.openxmlformats.org/officeDocument/2006/relationships/chart" Target="../charts/chart32.xml"/><Relationship Id="rId16" Type="http://schemas.openxmlformats.org/officeDocument/2006/relationships/chart" Target="../charts/chart46.xml"/><Relationship Id="rId20" Type="http://schemas.openxmlformats.org/officeDocument/2006/relationships/chart" Target="../charts/chart50.xml"/><Relationship Id="rId29" Type="http://schemas.openxmlformats.org/officeDocument/2006/relationships/chart" Target="../charts/chart59.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24" Type="http://schemas.openxmlformats.org/officeDocument/2006/relationships/chart" Target="../charts/chart54.xml"/><Relationship Id="rId5" Type="http://schemas.openxmlformats.org/officeDocument/2006/relationships/chart" Target="../charts/chart35.xml"/><Relationship Id="rId15" Type="http://schemas.openxmlformats.org/officeDocument/2006/relationships/chart" Target="../charts/chart45.xml"/><Relationship Id="rId23" Type="http://schemas.openxmlformats.org/officeDocument/2006/relationships/chart" Target="../charts/chart53.xml"/><Relationship Id="rId28" Type="http://schemas.openxmlformats.org/officeDocument/2006/relationships/chart" Target="../charts/chart58.xml"/><Relationship Id="rId10" Type="http://schemas.openxmlformats.org/officeDocument/2006/relationships/chart" Target="../charts/chart40.xml"/><Relationship Id="rId19" Type="http://schemas.openxmlformats.org/officeDocument/2006/relationships/chart" Target="../charts/chart49.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4.xml"/><Relationship Id="rId22" Type="http://schemas.openxmlformats.org/officeDocument/2006/relationships/chart" Target="../charts/chart52.xml"/><Relationship Id="rId27" Type="http://schemas.openxmlformats.org/officeDocument/2006/relationships/chart" Target="../charts/chart57.xml"/><Relationship Id="rId30" Type="http://schemas.openxmlformats.org/officeDocument/2006/relationships/chart" Target="../charts/chart60.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173355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173355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220980</xdr:colOff>
      <xdr:row>84</xdr:row>
      <xdr:rowOff>53340</xdr:rowOff>
    </xdr:from>
    <xdr:to>
      <xdr:col>8</xdr:col>
      <xdr:colOff>584834</xdr:colOff>
      <xdr:row>99</xdr:row>
      <xdr:rowOff>51435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26"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ennifer Norman" refreshedDate="45132.599852662039" createdVersion="6" refreshedVersion="6" minRefreshableVersion="3" recordCount="132">
  <cacheSource type="worksheet">
    <worksheetSource ref="A2:AC134" sheet="1. All Data"/>
  </cacheSource>
  <cacheFields count="29">
    <cacheField name="Reporting Officer" numFmtId="0">
      <sharedItems/>
    </cacheField>
    <cacheField name="Reference Number" numFmtId="0">
      <sharedItems/>
    </cacheField>
    <cacheField name="Objective" numFmtId="0">
      <sharedItems/>
    </cacheField>
    <cacheField name="Target 2023-24" numFmtId="0">
      <sharedItems count="131">
        <s v="Hold regular engagement events with businesses throughout the year"/>
        <s v="Hold Question &amp; Answer sessions with Cabinet Members using online and in-person community forums on ad hoc basis"/>
        <s v="Livestream Council meetings"/>
        <s v="Revoke Council Constitution changes from December 2022 and introduce public participation at scrutiny committees"/>
        <s v="Carry out a review of the Communications, Engagement and Consultation Strategy to improve existing council communications work"/>
        <s v="Introduce a Citizens Assembly"/>
        <s v="With partners, support and advise local residents by commissioning a new local debt advice service"/>
        <s v="Retain and enhance warm spaces and warm banks to provide continued support for residents who need help with energy bills"/>
        <s v="Support the work of local groups around the borough by supplying relevant supplies to food banks when stock runs low"/>
        <s v="Review and consider improvements for night shelter facilities"/>
        <s v="Produce options for a community wealth-building model to create a municipally (council and public) owned energy firm, suitable for a district authority"/>
        <s v="Produce a route map to insourcing council services that are currently outsourced"/>
        <s v="Incentivise existing providers to recruit new staff/apprentices"/>
        <s v="Review and consider improvements for making Section 106 funding process more open and transparent, via the ESBC website and Member Intranet; and consider policy changes to ESBC's s106 approach"/>
        <s v="Reshape the UK shared prosperity funding to focus more strongly on community needs"/>
        <s v="Approve the detail of UKSPF funding programmes"/>
        <s v="Work with partners to create a fair employment charter"/>
        <s v="Identify 150 properties with an EPC of D or below where the occupant is on Council tax reduction to offer a range of energy efficiency measures, including insulation, to reduce fuel poverty"/>
        <s v="Increase levels of action taken against anti-social behaviour by reviewing the performance of mobile CCTV provision and seeking to achieve a 20% increase in the number of deployments (from 22)"/>
        <s v="Increase levels of action taken against anti-social behaviour through undertaking 4 initiatives to address fly tipping under the 'Tackle the Tippers' campaign"/>
        <s v="Promote new green technologies in the borough"/>
        <s v="Promote increased use of public transport  "/>
        <s v="Work with local cycle firms to provide affordable bike rental for visitors and residents"/>
        <s v="Work with partners to introduce the Passivhaus housing development standard (which will keep heat loss in new homes to a minimum)"/>
        <s v="Find opportunities to use vertical and rooftop spaces to plant new gardens"/>
        <s v="Find opportunities and create a network of community orchards and wildlife corridors"/>
        <s v="Introduce mobile fly-tipping removal vehicle"/>
        <s v="Ensure fly-tipping is removed as quickly as possible (within 5 days of receipt of notice from CCE team) and disposed of in an environmentally friendly way"/>
        <s v="Consider creating a model of co-operative ownership of Burton Market Hall, with six monthly reporting"/>
        <s v="With the National Brewery Trust, create a timeline and plan to ensure historical archives from the closed NBC are re-housed in the future development"/>
        <s v="With the National Brewery Trust, contact owners of all former NBC artefacts to discuss their return to the future development"/>
        <s v="With the Towns Fund Board, review and adapt High Street linkages project as appropriate"/>
        <s v="Upgrade the Market Hall working group to a scrutiny committee"/>
        <s v="Work with partners to campaign for universal school meals by adopting and publicising a council motion"/>
        <s v="Introduce community kitchens in existing council facilities"/>
        <s v="Adopt and publicise the Right to Food motion at Full Council meeting"/>
        <s v="Review Licensing policy with the trade and ensure drivers are supported in the transition to Euro 6 emission standards"/>
        <s v="Create a sole focus for health scrutiny in a single scrutiny committee"/>
        <s v="Complete roll out/ installation of fixed CCTV cameras"/>
        <s v="Review and update the air quality strategy and action plan"/>
        <s v="Commence a Community Lottery providing funding opportunities for the local community and voluntary sector"/>
        <s v="Deliver a community grant scheme to help enhance local areas"/>
        <s v="Relaunch the Councillors Community Fund"/>
        <s v="Undertake a review of the Public Events Safety Advisory Group procedures and update as required"/>
        <s v="Approve Refreshed Homelessness Strategy"/>
        <s v="Produce an update report and next steps for revised Housing Register and Allocations Service Contract"/>
        <s v="Performance report identifying the reduction in empty homes"/>
        <s v="Average time from appointment to initial decision for homeless applicants of 3 days"/>
        <s v="Maintain ‘Key to Key’ Void Turnaround to an average of 6 working days"/>
        <s v="Improve service delivery timescales from ‘enquiry to completion’ by 10% on 22/23 performance"/>
        <s v="Deliver a third year review of the Council’s Climate Change and Biodiversity Action Plan including delivery against the plan"/>
        <s v="Procure energy audits on key council buildings to maximise performance and identify energy efficiency and generation option to form a heat decarbonisation plan"/>
        <s v="Encourage businesses to adopt a low waste approach for food and packaging through the delivery of an education programme"/>
        <s v="Work in partnership with external organisations to develop 4 Carbon Capture and Biodiversity areas across the Borough"/>
        <s v="Investigate and identify the best locations for delivering EV off street charging points. Minimum of 4 to be identified"/>
        <s v="Deliver Borough wide entries for the ‘It’s Your Neighbourhood Park’ awards and maintain the results at 12 Gold Awards and 10 Silver Gilts"/>
        <s v="Support an additional entry to the ‘It’s Your Neighbourhood Park awards scheme during 2023/24"/>
        <s v="Deliver the In Bloom awards and sustain the number of Gold awards at a minimum of 3, across all categories"/>
        <s v="Undertake an assessment of the Borough’s tree stock to determine the future impact of environmental factors such as Climate Change and ‘Ash die’ back"/>
        <s v="Provide a third year update on the Parks Development Plan, with a view to reviewing wildflower planting"/>
        <s v="Increase the number of volunteering opportunities from 3 to 6 per week at both the Horticulture Centre and/or Go Garden"/>
        <s v="Provide a 6 monthly update report on the performance of the grounds maintenance contractor"/>
        <s v="Litter, 0% (using NI195 survey methodology)"/>
        <s v="Detritus, 0% (using NI195 survey _x000a_methodology)"/>
        <s v="Graffiti, 0% (using NI195 survey _x000a_methodology)"/>
        <s v="Fly-posting, 0% (using NI195 survey _x000a_methodology)"/>
        <s v="Number Of Missed Bin Collections: Achieve 99.97% successful bin collections across the Borough"/>
        <s v="Go live with the data-modelling of the waste management round configuration"/>
        <s v="Report to Cabinet on the new round configuration and procurement requirements of the new waste management vehicles "/>
        <s v="Consider implementation of Food Waste strategy "/>
        <s v="Prepare a Depot Strategy to identify options to future proof the service"/>
        <s v="Residual Household Waste Per Household: Upper Quartile"/>
        <s v="Household Waste Recycled and Composted: Upper Quartile"/>
        <s v="Carry out Green Vehicle Trial on collection rounds"/>
        <s v="Options review on the approach for the Council’s fleet of small mechanical street cleaning vehicles"/>
        <s v="Undertake a wide ranging review of the current car parking arrangements, including but not limited to; the Parking App, the charging regime and enforcement"/>
        <s v="Consider the outcome of an independent HM Treasury Green Book compliant business case assessment on future  options for the Market Hall"/>
        <s v="Launch a grant scheme to support local Tourism businesses to develop projects and activity"/>
        <s v="Develop a Tourism framework and Strategic Plan "/>
        <s v="Deliver and baseline footfall for a range of tourism events throughout the year"/>
        <s v="Complete review of way marking around Burton town centre"/>
        <s v="As part of a project aimed at shaping a new music-led narrative for Burton we will, deliver 6 pop-up live events and 2 workshops"/>
        <s v="Deliver 6 outdoor events, including activity such as street theatre and performances in our parks"/>
        <s v="Complete the refurbishment of the Brewhouse roof"/>
        <s v="Continue to redevelop Council’s corporate website"/>
        <s v="Develop a new, revised website for the Brewhouse, Arts and Civic Function Suite"/>
        <s v="Review outdoor sports provision in Uttoxeter, including the proposed Sports Hub and other potential outdoor sports sites"/>
        <s v="Updated Playing Pitch Strategy and review of indoor facilities completed"/>
        <s v="Report on the performance of the Leisure Operator on a quarterly basis"/>
        <s v="Work with our Leisure Operator to deliver an enhanced play day experience during summer 2023, providing free access for our local communities."/>
        <s v="Support the Better Health programme into the delivery phase and represent East Staffordshire through quarterly meetings"/>
        <s v="Undertake a review of the grant funding process that currently takes place through the East Staffordshire Sports Council"/>
        <s v="Launch the temporary National Archive _x000a_Centre and Regeneration Update Hub _x000a_following completion of works and relocation of the collection"/>
        <s v="Continue to work in partnership with the Heritage Working Group and other stakeholders to develop the museum and heritage centre proposals for the High Street "/>
        <s v="Work with partners to support the delivery of the three partner Towns Fund projects "/>
        <s v="Appoint contractors to deliver Washlands Enhancement Project"/>
        <s v="Submit planning application for a Washlands Visitor Centre "/>
        <s v="Commence the construction of the Washlands Visitor Centre (subject to planning) "/>
        <s v="Finalise designs for the Garden of Remembrance enhancements "/>
        <s v="Consider findings of Maltings regeneration project consultation"/>
        <s v="Agree purchase of Uttoxeter former Co-op building"/>
        <s v="Consider the best approach to acquiring the remainder of the Maltings precinct and review proposals to regenerate the Maltings area"/>
        <s v="Launch and administer a business grant programme"/>
        <s v="Continue to work in preparation of accessing external funding opportunities, when available, including the third round of the Levelling Up Fund"/>
        <s v="Top Quartile as measured against relevant DLUHC figures"/>
        <s v="Top Quartile as measured against relevant MHCLG figures"/>
        <s v="Review Planning feedback survey data"/>
        <s v="Consider reintroduction of planning pre application advice"/>
        <s v="9 x Planning Committee Member training sessions"/>
        <s v="2 x All Member briefing sessions"/>
        <s v="Complete the annual review of the Local Plan"/>
        <s v="Conduct a review of Local Council Tax Reduction Scheme"/>
        <s v="Time Taken to Process Benefit New Claims and Change Events (Previously NI 181)_x000a__x000a_Average time: 4.5 days  "/>
        <s v="Former Years Arrears for: _x000a_Council Tax: 2,500,000"/>
        <s v="Former Years Arrears for: _x000a_NNDR: 1,500,000"/>
        <s v="Former Years Arrears for: _x000a_Sundry Debts: £80,000"/>
        <s v="% HBOPs recovered During the Year: 90% "/>
        <s v=" _x000a_% of HBOPS Processed and on Payment Arrangement: 90% "/>
        <s v="_x000a_In Year HBOPs Recovered During the Year: 50%"/>
        <s v="Collection Rates of - _x000a_    Council Tax : 98% "/>
        <s v="Collection Rates of - _x000a_    NNDR : 99%"/>
        <s v="Approve the revised Treasury Management Strategy"/>
        <s v="Approve the revised Medium Term Financial Strategy"/>
        <s v="Deliver 4 Elected Member Finance briefings "/>
        <s v="Introduce a regular Business online newsletter, delivering a minimum of 6 newsletters"/>
        <s v="Create a Procurement Improvement Action Plan, based on Whole Council Spend Analysis"/>
        <s v="Short Term Sickness Days Average 3.5 days per FTE"/>
        <s v="Improve purchase order transactions so that the next time Internal Audit review practice in Q4 2023/24, 80% of POs are in place from the Internal Audit sample"/>
        <s v="Elected Member Intranet Implemented"/>
        <s v="Borough and Parish Council elections successfully delivered"/>
        <s v="Review Member Induction Programme "/>
      </sharedItems>
    </cacheField>
    <cacheField name="Target Date" numFmtId="0">
      <sharedItems containsDate="1" containsMixedTypes="1" minDate="2023-04-01T00:00:00" maxDate="2024-03-02T00:00:00"/>
    </cacheField>
    <cacheField name="Quarter 1 _x000a_(April - June 2023)" numFmtId="0">
      <sharedItems containsBlank="1" containsMixedTypes="1" containsNumber="1" minValue="0.33" maxValue="2577027.66" longText="1"/>
    </cacheField>
    <cacheField name="End of year forecast as at end of Q1" numFmtId="0">
      <sharedItems containsBlank="1" containsMixedTypes="1" containsNumber="1" minValue="0.5" maxValue="4.5"/>
    </cacheField>
    <cacheField name="Quarter 1 On Track? (R/A/G)" numFmtId="0">
      <sharedItems/>
    </cacheField>
    <cacheField name="Comments / Further action (Q1)_x000a_(IF APPLICABLE)" numFmtId="0">
      <sharedItems containsBlank="1"/>
    </cacheField>
    <cacheField name="Quarter 2 _x000a_(July - September 2021)" numFmtId="0">
      <sharedItems containsNonDate="0" containsString="0" containsBlank="1"/>
    </cacheField>
    <cacheField name="Year to date_x000a_(April - Sept 2021)" numFmtId="0">
      <sharedItems containsNonDate="0" containsString="0" containsBlank="1"/>
    </cacheField>
    <cacheField name="End of year forecast as at end of Q2" numFmtId="0">
      <sharedItems containsNonDate="0" containsString="0" containsBlank="1"/>
    </cacheField>
    <cacheField name="Quarter 2_x000a_ On Track? (R/A/G)" numFmtId="0">
      <sharedItems containsNonDate="0" containsString="0" containsBlank="1"/>
    </cacheField>
    <cacheField name="Comments / Further action (Q2)_x000a_(IF APPLICABLE)" numFmtId="0">
      <sharedItems containsNonDate="0" containsString="0" containsBlank="1"/>
    </cacheField>
    <cacheField name="Quarter 3_x000a_(October - December 2021)" numFmtId="0">
      <sharedItems containsNonDate="0" containsString="0" containsBlank="1"/>
    </cacheField>
    <cacheField name="Year to date_x000a_(April - Dec 2021)" numFmtId="0">
      <sharedItems containsNonDate="0" containsString="0" containsBlank="1"/>
    </cacheField>
    <cacheField name="End of year forecast as at end of Q3" numFmtId="0">
      <sharedItems containsNonDate="0" containsString="0" containsBlank="1"/>
    </cacheField>
    <cacheField name="Quarter 3 _x000a_On Track? (R/A/G)" numFmtId="0">
      <sharedItems containsNonDate="0" containsString="0" containsBlank="1"/>
    </cacheField>
    <cacheField name="Comments / Further action (Q3)_x000a_(IF APPLICABLE)" numFmtId="0">
      <sharedItems containsNonDate="0" containsString="0" containsBlank="1"/>
    </cacheField>
    <cacheField name="Quarter 4_x000a_(January - March 2022)" numFmtId="0">
      <sharedItems containsNonDate="0" containsString="0" containsBlank="1"/>
    </cacheField>
    <cacheField name="Cumulative Annual Outturn " numFmtId="0">
      <sharedItems containsNonDate="0" containsString="0" containsBlank="1"/>
    </cacheField>
    <cacheField name="End of Year Achieved?_x000a_(R/A/G)" numFmtId="0">
      <sharedItems containsNonDate="0" containsString="0" containsBlank="1"/>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ontainsBlank="1"/>
    </cacheField>
    <cacheField name="Corporate Priority" numFmtId="0">
      <sharedItems containsBlank="1"/>
    </cacheField>
    <cacheField name="Portfolio" numFmtId="0">
      <sharedItems/>
    </cacheField>
    <cacheField name="Scrutiny Committee" numFmtId="0">
      <sharedItems count="4">
        <s v="Regeneration and Development"/>
        <s v="Value for Money"/>
        <s v="Health and Wellbeing"/>
        <s v="Climate change and environmen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Cache/pivotCacheRecords2.xml><?xml version="1.0" encoding="utf-8"?>
<pivotCacheRecords xmlns="http://schemas.openxmlformats.org/spreadsheetml/2006/main" xmlns:r="http://schemas.openxmlformats.org/officeDocument/2006/relationships" count="132">
  <r>
    <s v="Kelly Kerr-Delworth"/>
    <s v="ID01"/>
    <s v="Improve local democracy and consultation"/>
    <x v="0"/>
    <d v="2024-03-01T00:00:00"/>
    <s v="Discussions have been held internally to talk about taking these forward.  Events will be planned in the Autumn and the New Year,"/>
    <m/>
    <s v="On Track to be Achieved"/>
    <m/>
    <m/>
    <m/>
    <m/>
    <m/>
    <m/>
    <m/>
    <m/>
    <m/>
    <m/>
    <m/>
    <m/>
    <m/>
    <m/>
    <m/>
    <m/>
    <s v="Regeneration and Development (Tom)"/>
    <s v="Enterprise"/>
    <s v="Improving local democracy"/>
    <s v="Regeneration and Development"/>
    <x v="0"/>
  </r>
  <r>
    <s v="James Abbott"/>
    <s v="ID02"/>
    <s v="Improve local democracy and consultation"/>
    <x v="1"/>
    <d v="2023-09-01T00:00:00"/>
    <m/>
    <m/>
    <s v="Not Yet Due"/>
    <m/>
    <m/>
    <m/>
    <m/>
    <m/>
    <m/>
    <m/>
    <m/>
    <m/>
    <m/>
    <m/>
    <m/>
    <m/>
    <m/>
    <m/>
    <m/>
    <s v="Legal &amp; Regulatory Services (John)_x000a_&amp; Corporate &amp; Environment Services (Mark)"/>
    <s v="Corporate &amp; Commercial"/>
    <s v="Improving local democracy"/>
    <s v="Leader"/>
    <x v="1"/>
  </r>
  <r>
    <s v="James Abbott"/>
    <s v="ID03"/>
    <s v="Improve local democracy and consultation"/>
    <x v="2"/>
    <d v="2023-09-01T00:00:00"/>
    <s v="Procurement process commenced June 2023, and is expected to be completed in July 2023 ahead of equipment mobilisation and implementation. "/>
    <m/>
    <s v="On Track to be Achieved"/>
    <m/>
    <m/>
    <m/>
    <m/>
    <m/>
    <m/>
    <m/>
    <m/>
    <m/>
    <m/>
    <m/>
    <m/>
    <m/>
    <m/>
    <m/>
    <m/>
    <s v="Legal &amp; Regulatory Services (John)_x000a_&amp; Corporate &amp; Environment Services (Mark)"/>
    <s v="Corporate &amp; Commercial"/>
    <s v="Improving local democracy"/>
    <s v="Leader"/>
    <x v="1"/>
  </r>
  <r>
    <s v="James Abbott"/>
    <s v="ID04"/>
    <s v="Improve local democracy and consultation"/>
    <x v="3"/>
    <d v="2023-07-01T00:00:00"/>
    <s v="Approval to be requested for constitution changes, also including the approach for public participation at scrutiny committees, at the full Council meeting scheduled for 3rd July 2023. "/>
    <m/>
    <s v="On Track to be Achieved"/>
    <m/>
    <m/>
    <m/>
    <m/>
    <m/>
    <m/>
    <m/>
    <m/>
    <m/>
    <m/>
    <m/>
    <m/>
    <m/>
    <m/>
    <m/>
    <m/>
    <s v="Legal &amp; Regulatory Services (John)"/>
    <s v="Corporate &amp; Commercial"/>
    <s v="Improving local democracy"/>
    <s v="Leader"/>
    <x v="1"/>
  </r>
  <r>
    <s v="James Abbott"/>
    <s v="ID05"/>
    <s v="Improve local democracy and consultation"/>
    <x v="4"/>
    <d v="2023-10-01T00:00:00"/>
    <s v="Work expected to be commenced July 2023"/>
    <m/>
    <s v="Not Yet Due"/>
    <m/>
    <m/>
    <m/>
    <m/>
    <m/>
    <m/>
    <m/>
    <m/>
    <m/>
    <m/>
    <m/>
    <m/>
    <m/>
    <m/>
    <m/>
    <m/>
    <s v="Corporate &amp; Environment Services (Mark)"/>
    <s v="Corporate &amp; Commercial"/>
    <s v="Improving local democracy"/>
    <s v="Leader"/>
    <x v="1"/>
  </r>
  <r>
    <s v="James Abbott"/>
    <s v="ID06"/>
    <s v="Improve local democracy and consultation"/>
    <x v="5"/>
    <d v="2024-03-01T00:00:00"/>
    <s v="To be considered as part of the Communication Strategy work. "/>
    <m/>
    <s v="Not Yet Due"/>
    <m/>
    <m/>
    <m/>
    <m/>
    <m/>
    <m/>
    <m/>
    <m/>
    <m/>
    <m/>
    <m/>
    <m/>
    <m/>
    <m/>
    <m/>
    <m/>
    <s v="Legal &amp; Regulatory Services (John)_x000a_&amp; Corporate &amp; Environment Services (Mark)"/>
    <s v="Corporate &amp; Commercial"/>
    <s v="Improving local democracy"/>
    <s v="Leader"/>
    <x v="1"/>
  </r>
  <r>
    <s v="Brett Atkinson"/>
    <s v="PB01"/>
    <s v="Tackling the cost of living crisis"/>
    <x v="6"/>
    <s v="From October"/>
    <s v="A Quick Call has been sent to 3 providers requesting quotations by 14 Aug 23 for mobilisation on 1 Sep 23."/>
    <m/>
    <s v="On Track to be Achieved"/>
    <m/>
    <m/>
    <m/>
    <m/>
    <m/>
    <m/>
    <m/>
    <m/>
    <m/>
    <m/>
    <m/>
    <m/>
    <m/>
    <m/>
    <m/>
    <m/>
    <s v="Regeneration and Development (Tom)"/>
    <s v="Housing Options"/>
    <s v="Creating a prosperous East Staffordshire"/>
    <s v="Communities and Regulatory Services"/>
    <x v="2"/>
  </r>
  <r>
    <s v="Brett Atkinson"/>
    <s v="PB02"/>
    <s v="Tackling the cost of living crisis"/>
    <x v="7"/>
    <d v="2024-03-01T00:00:00"/>
    <s v="Plans are underway and enhance where possible the provision from last winter."/>
    <m/>
    <s v="On Track to be Achieved"/>
    <m/>
    <m/>
    <m/>
    <m/>
    <m/>
    <m/>
    <m/>
    <m/>
    <m/>
    <m/>
    <m/>
    <m/>
    <m/>
    <m/>
    <m/>
    <m/>
    <s v="Regeneration and Development (Tom)"/>
    <s v="Housing"/>
    <s v="Creating a prosperous East Staffordshire"/>
    <s v="Communities and Regulatory Services"/>
    <x v="2"/>
  </r>
  <r>
    <s v="Brett Atkinson"/>
    <s v="PB03"/>
    <s v="Tackling the cost of living crisis"/>
    <x v="8"/>
    <s v="All year to March 2024"/>
    <s v="A Food Forum is planned for 11 Jul 23 and designed to understand current provision and how best to support activity targeted at those experiencing the greatest hardship."/>
    <m/>
    <s v="On Track to be Achieved"/>
    <s v="The Food Forum on 11th July was well attended._x000a_Further planning and design is required to develop the appropriate mechanism to support this activity."/>
    <m/>
    <m/>
    <m/>
    <m/>
    <m/>
    <m/>
    <m/>
    <m/>
    <m/>
    <m/>
    <m/>
    <m/>
    <m/>
    <m/>
    <m/>
    <s v="Regeneration and Development (Tom)"/>
    <s v="Housing Options"/>
    <s v="Creating a prosperous East Staffordshire"/>
    <s v="Communities and Regulatory Services"/>
    <x v="2"/>
  </r>
  <r>
    <s v="Brett Atkinson"/>
    <s v="PB04"/>
    <s v="Housing and Planning – improve homelessness prevention"/>
    <x v="9"/>
    <d v="2023-09-01T00:00:00"/>
    <s v="The Council currently offers a 'No First Night Out' provision as part of well worked rough sleeping pathway. "/>
    <m/>
    <s v="On Track to be Achieved"/>
    <s v="Formal consideration of current provision and possible alternatives to follow."/>
    <m/>
    <m/>
    <m/>
    <m/>
    <m/>
    <m/>
    <m/>
    <m/>
    <m/>
    <m/>
    <m/>
    <m/>
    <m/>
    <m/>
    <m/>
    <s v="Regeneration and Development (Tom)"/>
    <s v="Housing Options"/>
    <s v="Creating a prosperous East Staffordshire"/>
    <s v="Communities and Regulatory Services"/>
    <x v="2"/>
  </r>
  <r>
    <s v="Rachel Liddle"/>
    <s v="PB05"/>
    <s v="Building a Fairer and Greener Local Economy by creating municipal enterprise"/>
    <x v="10"/>
    <d v="2024-03-01T00:00:00"/>
    <m/>
    <m/>
    <s v="Not Yet Due"/>
    <m/>
    <m/>
    <m/>
    <m/>
    <m/>
    <m/>
    <m/>
    <m/>
    <m/>
    <m/>
    <m/>
    <m/>
    <m/>
    <m/>
    <m/>
    <m/>
    <s v="Chief Financial S151 Officer (Lisa)_x000a_&amp; Legal and Regulatory Services (John)"/>
    <s v="Environmental Health"/>
    <s v="Creating a prosperous East Staffordshire"/>
    <s v="Tourism and Cultural Development"/>
    <x v="1"/>
  </r>
  <r>
    <s v="Lisa Turner"/>
    <s v="PB06a"/>
    <s v="Building a Fairer Local Economy"/>
    <x v="11"/>
    <d v="2023-10-01T00:00:00"/>
    <s v="Initial research has begun. "/>
    <m/>
    <s v="Not Yet Due"/>
    <m/>
    <m/>
    <m/>
    <m/>
    <m/>
    <m/>
    <m/>
    <m/>
    <m/>
    <m/>
    <m/>
    <m/>
    <m/>
    <m/>
    <m/>
    <m/>
    <s v="Chief Financial S151 Officer (Lisa)"/>
    <s v="Finance,_x000a_Corporate &amp; Commercial, _x000a_&amp; HR"/>
    <s v="Creating a prosperous East Staffordshire"/>
    <s v="Tourism and Cultural Development"/>
    <x v="0"/>
  </r>
  <r>
    <s v="James Abbott"/>
    <s v="PB06b"/>
    <s v="Building a Fairer Local Economy"/>
    <x v="12"/>
    <d v="2023-10-01T00:00:00"/>
    <m/>
    <m/>
    <s v="Not Yet Due"/>
    <m/>
    <m/>
    <m/>
    <m/>
    <m/>
    <m/>
    <m/>
    <m/>
    <m/>
    <m/>
    <m/>
    <m/>
    <m/>
    <m/>
    <m/>
    <m/>
    <s v="Chief Financial S151 Officer (Lisa)"/>
    <s v="Corporate &amp; Commercial, _x000a_&amp; HR"/>
    <s v="Creating a prosperous East Staffordshire"/>
    <s v="Tourism and Cultural Development"/>
    <x v="0"/>
  </r>
  <r>
    <s v="Naomi Perry"/>
    <s v="PB07"/>
    <s v="Housing and Planning"/>
    <x v="13"/>
    <d v="2023-12-01T00:00:00"/>
    <s v="Review underway "/>
    <m/>
    <s v="On Track to be Achieved"/>
    <m/>
    <m/>
    <m/>
    <m/>
    <m/>
    <m/>
    <m/>
    <m/>
    <m/>
    <m/>
    <m/>
    <m/>
    <m/>
    <m/>
    <m/>
    <m/>
    <s v="Regeneration and Development (Tom)"/>
    <s v="Planning"/>
    <s v="Creating a prosperous East Staffordshire"/>
    <s v="Regeneration and Development"/>
    <x v="0"/>
  </r>
  <r>
    <s v="Kelly Kerr-Delworth"/>
    <s v="PB08"/>
    <s v="Standing up for communities"/>
    <x v="14"/>
    <d v="2023-07-01T00:00:00"/>
    <s v="This has been drafted and is currently with central Government for approval."/>
    <m/>
    <s v="On Track to be Achieved"/>
    <m/>
    <m/>
    <m/>
    <m/>
    <m/>
    <m/>
    <m/>
    <m/>
    <m/>
    <m/>
    <m/>
    <m/>
    <m/>
    <m/>
    <m/>
    <m/>
    <s v="Regeneration and Development (Tom)"/>
    <s v="Enterprise"/>
    <s v="Creating a prosperous East Staffordshire"/>
    <s v="Regeneration and Development"/>
    <x v="0"/>
  </r>
  <r>
    <s v="Kelly Kerr-Delworth"/>
    <s v="PB09"/>
    <s v="Standing up for communities"/>
    <x v="15"/>
    <d v="2023-09-01T00:00:00"/>
    <s v="This is currently being worked up within ESBC and will be discussed with relevant partners. Discussions are ongoing internally in order to get ready to procure some services once the detail is agreed with central Government."/>
    <m/>
    <s v="Not Yet Due"/>
    <m/>
    <m/>
    <m/>
    <m/>
    <m/>
    <m/>
    <m/>
    <m/>
    <m/>
    <m/>
    <m/>
    <m/>
    <m/>
    <m/>
    <m/>
    <m/>
    <s v="Regeneration and Development (Tom)"/>
    <s v="Enterprise"/>
    <s v="Creating a prosperous East Staffordshire"/>
    <s v="Regeneration and Development"/>
    <x v="0"/>
  </r>
  <r>
    <s v="Linda McDonald"/>
    <s v="PB10"/>
    <s v="Building a Fairer Local Economy"/>
    <x v="16"/>
    <d v="2023-10-01T00:00:00"/>
    <m/>
    <m/>
    <s v="Not Yet Due"/>
    <m/>
    <m/>
    <m/>
    <m/>
    <m/>
    <m/>
    <m/>
    <m/>
    <m/>
    <m/>
    <m/>
    <m/>
    <m/>
    <m/>
    <m/>
    <m/>
    <s v="CEO Andy O'Brien"/>
    <s v="HR"/>
    <s v="Creating a prosperous East Staffordshire"/>
    <s v="Leader"/>
    <x v="0"/>
  </r>
  <r>
    <s v="Rachel Liddle"/>
    <s v="GD01"/>
    <s v="Tackling the cost of living crisis"/>
    <x v="17"/>
    <d v="2024-03-01T00:00:00"/>
    <s v="Staff currently undertaking Energy Efficiency Training. EDR being drafted and quotes are being requested from contractors to undertake the works. "/>
    <m/>
    <s v="On Track to be Achieved"/>
    <m/>
    <m/>
    <m/>
    <m/>
    <m/>
    <m/>
    <m/>
    <m/>
    <m/>
    <m/>
    <m/>
    <m/>
    <m/>
    <m/>
    <m/>
    <m/>
    <s v="Legal &amp; Regulatory Services (John)"/>
    <s v="Environmental Health"/>
    <s v="Developing a Green New Deal for East Staffordshire"/>
    <s v="Communities and Regulatory Services"/>
    <x v="3"/>
  </r>
  <r>
    <s v="Margaret Woolley"/>
    <s v="GD02"/>
    <s v="Tackling Envirocrime"/>
    <x v="18"/>
    <s v="Review of progress  December 2023"/>
    <s v="Officers hold a review meeting once a fortnight. The MEO prepares a weekly report of deployments and reports on footage captured. Since the 1st April 2023 we have had 9 deployments."/>
    <m/>
    <s v="On Track to be Achieved"/>
    <m/>
    <m/>
    <m/>
    <m/>
    <m/>
    <m/>
    <m/>
    <m/>
    <m/>
    <m/>
    <m/>
    <m/>
    <m/>
    <m/>
    <m/>
    <m/>
    <s v="Legal &amp; Regulatory Services (John)"/>
    <s v="Enforcement"/>
    <s v="Developing a Green New Deal for East Staffordshire"/>
    <s v="Communities and Regulatory Services"/>
    <x v="3"/>
  </r>
  <r>
    <s v="Margaret Woolley"/>
    <s v="GD03"/>
    <s v="Tackling Envirocrime"/>
    <x v="19"/>
    <s v="Review of progress  December 2023"/>
    <s v="First initiative is on 19th July 2023 in Anglesey. Multi Agency approach including duty of care visits to businesses, inspections for flytipping, free bulky waste collections, skips funded by the parish and ASB Harmony  Domestic Violence information"/>
    <m/>
    <s v="On Track to be Achieved"/>
    <m/>
    <m/>
    <m/>
    <m/>
    <m/>
    <m/>
    <m/>
    <m/>
    <m/>
    <m/>
    <m/>
    <m/>
    <m/>
    <m/>
    <m/>
    <m/>
    <s v="Legal &amp; Regulatory Services (John)"/>
    <s v="Enforcement"/>
    <s v="Developing a Green New Deal for East Staffordshire"/>
    <s v="Communities and Regulatory Services"/>
    <x v="3"/>
  </r>
  <r>
    <s v="Rachel Liddle"/>
    <s v="GD04"/>
    <s v="A Green New Deal for East Staffordshire"/>
    <x v="20"/>
    <s v="Review of progress  December 2023"/>
    <s v="Air Source Heat Pumps and Solar PV are two green technologies that can be installed through Staffordshire Warmer Homes and ECO flex. Grant funding for both schemes is available and this is being advertised as part of our communications policy.  "/>
    <m/>
    <s v="On Track to be Achieved"/>
    <m/>
    <m/>
    <m/>
    <m/>
    <m/>
    <m/>
    <m/>
    <m/>
    <m/>
    <m/>
    <m/>
    <m/>
    <m/>
    <m/>
    <m/>
    <m/>
    <s v="Legal &amp; Regulatory Services (John)"/>
    <s v="Environmental Health"/>
    <s v="Developing a Green New Deal for East Staffordshire"/>
    <s v="Environment and Climate Change"/>
    <x v="3"/>
  </r>
  <r>
    <s v="Rachel Liddle"/>
    <s v="GD05"/>
    <s v="A Green New Deal for East Staffordshire"/>
    <x v="21"/>
    <s v="Review of progress  December 2023"/>
    <s v="Climate Change Communication Policy has been agreed by EDR and will be used to promote Public Transport"/>
    <m/>
    <s v="On Track to be Achieved"/>
    <m/>
    <m/>
    <m/>
    <m/>
    <m/>
    <m/>
    <m/>
    <m/>
    <m/>
    <m/>
    <m/>
    <m/>
    <m/>
    <m/>
    <m/>
    <m/>
    <s v="Legal &amp; Regulatory Services (John)"/>
    <s v="Environmental Health"/>
    <s v="Developing a Green New Deal for East Staffordshire"/>
    <s v="Environment and Climate Change"/>
    <x v="3"/>
  </r>
  <r>
    <s v="Rachel Liddle"/>
    <s v="GD06"/>
    <s v="A Green New Deal for East Staffordshire"/>
    <x v="22"/>
    <s v="Review of progress  December 2023"/>
    <m/>
    <m/>
    <s v="Not Yet Due"/>
    <m/>
    <m/>
    <m/>
    <m/>
    <m/>
    <m/>
    <m/>
    <m/>
    <m/>
    <m/>
    <m/>
    <m/>
    <m/>
    <m/>
    <m/>
    <m/>
    <s v="Legal &amp; Regulatory Services (John)"/>
    <s v="Environmental Health"/>
    <s v="Developing a Green New Deal for East Staffordshire"/>
    <s v="Environment and Climate Change"/>
    <x v="3"/>
  </r>
  <r>
    <s v="Naomi Perry"/>
    <s v="GD07"/>
    <s v="A Green New Deal for East Staffordshire"/>
    <x v="23"/>
    <s v="Review of progress  December 2023"/>
    <m/>
    <m/>
    <s v="Not Yet Due"/>
    <m/>
    <m/>
    <m/>
    <m/>
    <m/>
    <m/>
    <m/>
    <m/>
    <m/>
    <m/>
    <m/>
    <m/>
    <m/>
    <m/>
    <m/>
    <m/>
    <s v="Regeneration and Development (Tom)"/>
    <s v="Planning Policy"/>
    <s v="Developing a Green New Deal for East Staffordshire"/>
    <s v="Environment and Climate Change"/>
    <x v="3"/>
  </r>
  <r>
    <s v="Michael Hovers"/>
    <s v="GD08"/>
    <s v="A Green New Deal for East Staffordshire"/>
    <x v="24"/>
    <s v="Review of progress  December 2023"/>
    <s v="Officer team are seeking to identify potential locations across quarters 1 and 2"/>
    <m/>
    <s v="Not Yet Due"/>
    <m/>
    <m/>
    <m/>
    <m/>
    <m/>
    <m/>
    <m/>
    <m/>
    <m/>
    <m/>
    <m/>
    <m/>
    <m/>
    <m/>
    <m/>
    <m/>
    <s v="Corporate &amp; Environment Services (Mark)"/>
    <s v="Communities &amp; Open Spaces"/>
    <s v="Developing a Green New Deal for East Staffordshire"/>
    <s v="Environment and Climate Change"/>
    <x v="3"/>
  </r>
  <r>
    <s v="Michael Hovers"/>
    <s v="GD09"/>
    <s v="A Green New Deal for East Staffordshire"/>
    <x v="25"/>
    <s v="Review of progress  December 2023"/>
    <s v="Officer team are seeking to identify potential locations across quarters 1 and 2"/>
    <m/>
    <s v="Not Yet Due"/>
    <m/>
    <m/>
    <m/>
    <m/>
    <m/>
    <m/>
    <m/>
    <m/>
    <m/>
    <m/>
    <m/>
    <m/>
    <m/>
    <m/>
    <m/>
    <m/>
    <s v="Corporate &amp; Environment Services (Mark)"/>
    <s v="Communities &amp; Open Spaces"/>
    <s v="Developing a Green New Deal for East Staffordshire"/>
    <s v="Environment and Climate Change"/>
    <x v="3"/>
  </r>
  <r>
    <s v="Paul Farrer"/>
    <s v="GD10"/>
    <s v="Tackling Envirocrime"/>
    <x v="26"/>
    <s v="Review of progress  December 2023"/>
    <s v="Considering vehicle options. Continuing to monitor performance with current level of resource."/>
    <m/>
    <s v="On Track to be Achieved"/>
    <m/>
    <m/>
    <m/>
    <m/>
    <m/>
    <m/>
    <m/>
    <m/>
    <m/>
    <m/>
    <m/>
    <m/>
    <m/>
    <m/>
    <m/>
    <m/>
    <s v="Corporate &amp; Environment Services (Mark)"/>
    <s v="Environment"/>
    <s v="Developing a Green New Deal for East Staffordshire"/>
    <s v="Environment and Climate Change"/>
    <x v="3"/>
  </r>
  <r>
    <s v="Paul Farrer"/>
    <s v="GD11"/>
    <s v="Tackling Envirocrime"/>
    <x v="27"/>
    <s v="Review of progress  December 2023"/>
    <s v="23 out of 27 requests removed within 5 days. 85%"/>
    <m/>
    <s v="In Danger of Falling Behind Target"/>
    <s v="To be reviewed in December.  No target to measure against."/>
    <m/>
    <m/>
    <m/>
    <m/>
    <m/>
    <m/>
    <m/>
    <m/>
    <m/>
    <m/>
    <m/>
    <m/>
    <m/>
    <m/>
    <m/>
    <s v="Corporate &amp; Environment Services (Mark)"/>
    <s v="Environment"/>
    <s v="Developing a Green New Deal for East Staffordshire"/>
    <s v="Environment and Climate Change"/>
    <x v="3"/>
  </r>
  <r>
    <s v="Michael Hovers"/>
    <s v="PH01"/>
    <s v="Protecting our Heritage"/>
    <x v="28"/>
    <d v="2024-03-01T00:00:00"/>
    <s v="Report on the Market Hall Business case is to received by Cabinet in Qtr 2. This will consider the options of co-operative as part of the scope of works"/>
    <m/>
    <s v="Not Yet Due"/>
    <m/>
    <m/>
    <m/>
    <m/>
    <m/>
    <m/>
    <m/>
    <m/>
    <m/>
    <m/>
    <m/>
    <m/>
    <m/>
    <m/>
    <m/>
    <m/>
    <s v="All"/>
    <s v="Enterprise, Assets, Finance &amp; Communities &amp; Open Spaces"/>
    <s v="Protecting our heritage"/>
    <s v="Tourism and Cultural Development"/>
    <x v="0"/>
  </r>
  <r>
    <s v="Kelly Kerr-Delworth"/>
    <s v="PH02"/>
    <s v="Protecting our Heritage"/>
    <x v="29"/>
    <d v="2023-07-01T00:00:00"/>
    <s v="Talks are ongoing with the NBCT to discuss housing the archives. The Trust have been sorting through the archives to re-house in Station Street and they are on target to complete by the end of July 2023."/>
    <m/>
    <s v="On Track to be Achieved"/>
    <m/>
    <m/>
    <m/>
    <m/>
    <m/>
    <m/>
    <m/>
    <m/>
    <m/>
    <m/>
    <m/>
    <m/>
    <m/>
    <m/>
    <m/>
    <m/>
    <s v="Regeneration and Development (Tom)"/>
    <s v="Enterprise"/>
    <s v="Protecting our heritage"/>
    <s v="Tourism and Cultural Development"/>
    <x v="0"/>
  </r>
  <r>
    <s v="Kelly Kerr-Delworth"/>
    <s v="PH03"/>
    <s v="Protecting our Heritage"/>
    <x v="30"/>
    <d v="2023-07-01T00:00:00"/>
    <s v="Talks are ongoing with the NBCT to discuss contacting former NBC artefact owners and establish how ESBC can help."/>
    <m/>
    <s v="On Track to be Achieved"/>
    <m/>
    <m/>
    <m/>
    <m/>
    <m/>
    <m/>
    <m/>
    <m/>
    <m/>
    <m/>
    <m/>
    <m/>
    <m/>
    <m/>
    <m/>
    <m/>
    <s v="Regeneration and Development (Tom)"/>
    <s v="Enterprise"/>
    <s v="Protecting our heritage"/>
    <s v="Tourism and Cultural Development"/>
    <x v="0"/>
  </r>
  <r>
    <s v="Kelly Kerr-Delworth"/>
    <s v="PH04"/>
    <s v="Protecting our Heritage"/>
    <x v="31"/>
    <d v="2023-09-01T00:00:00"/>
    <m/>
    <m/>
    <s v="Not Yet Due"/>
    <m/>
    <m/>
    <m/>
    <m/>
    <m/>
    <m/>
    <m/>
    <m/>
    <m/>
    <m/>
    <m/>
    <m/>
    <m/>
    <m/>
    <m/>
    <m/>
    <s v="Regeneration and Development (Tom)"/>
    <s v="Enterprise"/>
    <s v="Protecting our heritage"/>
    <s v="Regeneration and Development"/>
    <x v="0"/>
  </r>
  <r>
    <s v="James Abbott"/>
    <s v="PH05"/>
    <s v="Protecting our Heritage"/>
    <x v="32"/>
    <s v="May Full Council meeting 2023"/>
    <s v="Constitution updated at the full Council meeting in May 2023 for the new Scrutiny (Regeneration, Development and Market Hall) Committee"/>
    <m/>
    <s v="Fully Achieved"/>
    <m/>
    <m/>
    <m/>
    <m/>
    <m/>
    <m/>
    <m/>
    <m/>
    <m/>
    <m/>
    <m/>
    <m/>
    <m/>
    <m/>
    <m/>
    <m/>
    <s v="Legal &amp; Regulatory Services (John)"/>
    <m/>
    <s v="Protecting our heritage"/>
    <s v="Leader"/>
    <x v="0"/>
  </r>
  <r>
    <s v="Brett Atkinson"/>
    <s v="SC01"/>
    <s v="Ensuring the right to food"/>
    <x v="33"/>
    <s v="September Council meeting"/>
    <m/>
    <m/>
    <s v="Not Yet Due"/>
    <m/>
    <m/>
    <m/>
    <m/>
    <m/>
    <m/>
    <m/>
    <m/>
    <m/>
    <m/>
    <m/>
    <m/>
    <m/>
    <m/>
    <m/>
    <m/>
    <s v="Regeneration and Development (Tom)"/>
    <s v="Housing Options"/>
    <s v="Standing up for our communities"/>
    <s v="Communities and Regulatory Services"/>
    <x v="2"/>
  </r>
  <r>
    <s v="Brett Atkinson"/>
    <s v="SC02"/>
    <s v="Ensuring the right to food"/>
    <x v="34"/>
    <d v="2024-03-01T00:00:00"/>
    <m/>
    <m/>
    <s v="Not Yet Due"/>
    <m/>
    <m/>
    <m/>
    <m/>
    <m/>
    <m/>
    <m/>
    <m/>
    <m/>
    <m/>
    <m/>
    <m/>
    <m/>
    <m/>
    <m/>
    <m/>
    <s v="Regeneration and Development (Tom)"/>
    <s v="Housing Options"/>
    <s v="Standing up for our communities"/>
    <s v="Communities and Regulatory Services"/>
    <x v="2"/>
  </r>
  <r>
    <s v="Brett Atkinson"/>
    <s v="SC03"/>
    <s v="Ensuring the right to food"/>
    <x v="35"/>
    <d v="2023-07-01T00:00:00"/>
    <s v="Motion to be put to Full Council on 3rd July 2023."/>
    <m/>
    <s v="On Track to be Achieved"/>
    <s v="(Motion agreed at Full Council on 3rd July 2023 - fully achieved Q2)."/>
    <m/>
    <m/>
    <m/>
    <m/>
    <m/>
    <m/>
    <m/>
    <m/>
    <m/>
    <m/>
    <m/>
    <m/>
    <m/>
    <m/>
    <m/>
    <s v="Regeneration and Development (Tom)"/>
    <s v="Housing Options"/>
    <s v="Standing up for our communities"/>
    <s v="Communities and Regulatory Services"/>
    <x v="2"/>
  </r>
  <r>
    <s v="Margaret Woolley"/>
    <s v="SC04"/>
    <s v="Backing our Taxi Drivers"/>
    <x v="36"/>
    <d v="2023-09-01T00:00:00"/>
    <s v="Currently being finished with a view to seeking independent review prior to submitting to CMT in September. "/>
    <m/>
    <s v="On Track to be Achieved"/>
    <m/>
    <m/>
    <m/>
    <m/>
    <m/>
    <m/>
    <m/>
    <m/>
    <m/>
    <m/>
    <m/>
    <m/>
    <m/>
    <m/>
    <m/>
    <m/>
    <s v="Legal &amp; Regulatory Services (John)"/>
    <s v="Licensing"/>
    <s v="Standing up for our communities"/>
    <s v="Communities and Regulatory Services"/>
    <x v="3"/>
  </r>
  <r>
    <s v="James Abbott"/>
    <s v="SC05"/>
    <s v="Standing up for our NHS"/>
    <x v="37"/>
    <d v="2023-05-01T00:00:00"/>
    <s v="Constitution updated at the full Council meeting in May 2023 for the new Scrutiny (Health and Wellbeing) Committee."/>
    <m/>
    <s v="Fully Achieved"/>
    <m/>
    <m/>
    <m/>
    <m/>
    <m/>
    <m/>
    <m/>
    <m/>
    <m/>
    <m/>
    <m/>
    <m/>
    <m/>
    <m/>
    <m/>
    <m/>
    <s v="CEO Andy O'Brien"/>
    <s v="Corporate &amp; Commercial"/>
    <s v="Standing up for our communities"/>
    <s v="Leader"/>
    <x v="2"/>
  </r>
  <r>
    <s v="Margaret Woolley"/>
    <s v="CRS01"/>
    <s v="Licensing and Enforcement Activities-CCTV"/>
    <x v="38"/>
    <d v="2023-07-01T00:00:00"/>
    <s v="Not achieved still awaiting date from BT for installation of connections by Open Reach."/>
    <m/>
    <s v="In Danger of Falling Behind Target"/>
    <s v="Chief Officer following up with BT. "/>
    <m/>
    <m/>
    <m/>
    <m/>
    <m/>
    <m/>
    <m/>
    <m/>
    <m/>
    <m/>
    <m/>
    <m/>
    <m/>
    <m/>
    <m/>
    <s v="Legal &amp; Regulatory Services (John)"/>
    <s v="Licensing &amp; Enforcement"/>
    <m/>
    <s v="Communities and Regulatory Services"/>
    <x v="3"/>
  </r>
  <r>
    <s v="Rachel Liddle"/>
    <s v="CRS02"/>
    <s v="Improving Air Quality"/>
    <x v="39"/>
    <d v="2024-03-01T00:00:00"/>
    <m/>
    <m/>
    <s v="Not Yet Due"/>
    <m/>
    <m/>
    <m/>
    <m/>
    <m/>
    <m/>
    <m/>
    <m/>
    <m/>
    <m/>
    <m/>
    <m/>
    <m/>
    <m/>
    <m/>
    <m/>
    <s v="Legal &amp; Regulatory Services (John)"/>
    <s v="Environmental Health"/>
    <m/>
    <s v="Communities and Regulatory Services"/>
    <x v="3"/>
  </r>
  <r>
    <s v="Michael Hovers"/>
    <s v="CRS03"/>
    <s v="Supporting local communities"/>
    <x v="40"/>
    <d v="2023-07-01T00:00:00"/>
    <s v="Community Lottery launched in June. Target of 50 &quot;good causes&quot; required by July 22nd to launch Lottery. 54 had been registered by 13/7/22. A number of players have since signed up and the purchase of tickets has commenced "/>
    <m/>
    <s v="Fully Achieved"/>
    <m/>
    <m/>
    <m/>
    <m/>
    <m/>
    <m/>
    <m/>
    <m/>
    <m/>
    <m/>
    <m/>
    <m/>
    <m/>
    <m/>
    <m/>
    <m/>
    <s v="Corporate &amp; Environment Services (Mark)"/>
    <s v="Communities &amp; Open Spaces"/>
    <m/>
    <s v="Communities and Regulatory Services"/>
    <x v="2"/>
  </r>
  <r>
    <s v="Michael Hovers"/>
    <s v="CRS04"/>
    <s v="Supporting local communities"/>
    <x v="41"/>
    <d v="2024-03-01T00:00:00"/>
    <s v="Community Grant Scheme in place and open for bids to be received from early quarter 2"/>
    <m/>
    <s v="On Track to be Achieved"/>
    <m/>
    <m/>
    <m/>
    <m/>
    <m/>
    <m/>
    <m/>
    <m/>
    <m/>
    <m/>
    <m/>
    <m/>
    <m/>
    <m/>
    <m/>
    <m/>
    <s v="Corporate &amp; Environment Services (Mark)"/>
    <s v="Communities &amp; Open Spaces"/>
    <m/>
    <s v="Communities and Regulatory Services"/>
    <x v="0"/>
  </r>
  <r>
    <s v="Michael Hovers"/>
    <s v="CRS05"/>
    <s v="Supporting local communities"/>
    <x v="42"/>
    <d v="2023-06-01T00:00:00"/>
    <s v="Relaunched following outcome of election"/>
    <m/>
    <s v="Fully Achieved"/>
    <m/>
    <m/>
    <m/>
    <m/>
    <m/>
    <m/>
    <m/>
    <m/>
    <m/>
    <m/>
    <m/>
    <m/>
    <m/>
    <m/>
    <m/>
    <m/>
    <s v="Corporate &amp; Environment Services (Mark)"/>
    <s v="Communities &amp; Open Spaces"/>
    <m/>
    <s v="Communities and Regulatory Services"/>
    <x v="0"/>
  </r>
  <r>
    <s v="Rachel Liddle"/>
    <s v="CRS06"/>
    <s v="Supporting local communities"/>
    <x v="43"/>
    <d v="2023-09-01T00:00:00"/>
    <s v="Report currently being drafted"/>
    <m/>
    <s v="On Track to be Achieved"/>
    <m/>
    <m/>
    <m/>
    <m/>
    <m/>
    <m/>
    <m/>
    <m/>
    <m/>
    <m/>
    <m/>
    <m/>
    <m/>
    <m/>
    <m/>
    <m/>
    <s v="Legal &amp; Regulatory Services (John)"/>
    <s v="Environmental Health"/>
    <m/>
    <s v="Communities and Regulatory Services"/>
    <x v="2"/>
  </r>
  <r>
    <s v="Brett Atkinson"/>
    <s v="CRS07"/>
    <s v="Delivering Better Services to Support Homelessness"/>
    <x v="44"/>
    <d v="2023-12-01T00:00:00"/>
    <s v="The precursor to the strategy, the Homelessness Review, has recently been released for consultation."/>
    <m/>
    <s v="On Track to be Achieved"/>
    <m/>
    <m/>
    <m/>
    <m/>
    <m/>
    <m/>
    <m/>
    <m/>
    <m/>
    <m/>
    <m/>
    <m/>
    <m/>
    <m/>
    <m/>
    <m/>
    <s v="Regeneration and Development (Tom)"/>
    <s v="Housing Options"/>
    <m/>
    <s v="Communities and Regulatory Services"/>
    <x v="0"/>
  </r>
  <r>
    <s v="Brett Atkinson"/>
    <s v="CRS08"/>
    <s v="Housing Strategy Initiatives: _x000a_Update on Improvements to the Housing Register"/>
    <x v="45"/>
    <d v="2023-11-01T00:00:00"/>
    <s v="The Allocations and Lettings Service is currently undergoing an audit, and preliminary conversations have been undertaken with the current supplier to evaluate the possibility of an  extension."/>
    <m/>
    <s v="On Track to be Achieved"/>
    <m/>
    <m/>
    <m/>
    <m/>
    <m/>
    <m/>
    <m/>
    <m/>
    <m/>
    <m/>
    <m/>
    <m/>
    <m/>
    <m/>
    <m/>
    <m/>
    <s v="Regeneration and Development (Tom)"/>
    <s v="Housing Options"/>
    <m/>
    <s v="Communities and Regulatory Services"/>
    <x v="0"/>
  </r>
  <r>
    <s v="Brett Atkinson"/>
    <s v="CRS09"/>
    <s v="Housing Strategy Initiatives: _x000a_Update on Improvements to the Housing Register"/>
    <x v="46"/>
    <d v="2024-02-01T00:00:00"/>
    <m/>
    <m/>
    <s v="Not Yet Due"/>
    <m/>
    <m/>
    <m/>
    <m/>
    <m/>
    <m/>
    <m/>
    <m/>
    <m/>
    <m/>
    <m/>
    <m/>
    <m/>
    <m/>
    <m/>
    <m/>
    <s v="Regeneration and Development (Tom)"/>
    <s v="Housing Options"/>
    <m/>
    <s v="Communities and Regulatory Services"/>
    <x v="0"/>
  </r>
  <r>
    <s v="Brett Atkinson"/>
    <s v="CRS10"/>
    <s v="Delivering Better Services to Support Homelessness"/>
    <x v="47"/>
    <s v="Annual"/>
    <s v="There were 74 initial homelessness decisions issued in Q1, with an average time to initial decision of 0.27 days."/>
    <s v="1 day"/>
    <s v="On Track to be Achieved"/>
    <m/>
    <m/>
    <m/>
    <m/>
    <m/>
    <m/>
    <m/>
    <m/>
    <m/>
    <m/>
    <m/>
    <m/>
    <m/>
    <m/>
    <m/>
    <m/>
    <s v="Regeneration and Development (Tom)"/>
    <s v="Housing Options"/>
    <m/>
    <s v="Communities and Regulatory Services"/>
    <x v="2"/>
  </r>
  <r>
    <s v="Brett Atkinson"/>
    <s v="CRS11"/>
    <s v="Delivering Better Services to Support Homelessness"/>
    <x v="48"/>
    <s v="Annual"/>
    <s v="There were 2 'key to key' turnarounds during Q1, giving an average of 1 working day void."/>
    <s v="5 days"/>
    <s v="On Track to be Achieved"/>
    <s v="One unit was deemed unfit to relet due to water damage from the flat above, resulting in the offer of an alternative unit elsewhere. This 'key to key' instance has not been included in the target by reason of exception."/>
    <m/>
    <m/>
    <m/>
    <m/>
    <m/>
    <m/>
    <m/>
    <m/>
    <m/>
    <m/>
    <m/>
    <m/>
    <m/>
    <m/>
    <m/>
    <s v="Regeneration and Development (Tom)"/>
    <s v="Housing Options"/>
    <m/>
    <s v="Communities and Regulatory Services"/>
    <x v="2"/>
  </r>
  <r>
    <s v="Rachel Liddle"/>
    <s v="CRS12"/>
    <s v="Disabled Facilities Grants"/>
    <x v="49"/>
    <s v="Annual"/>
    <m/>
    <m/>
    <s v="Not Yet Due"/>
    <m/>
    <m/>
    <m/>
    <m/>
    <m/>
    <m/>
    <m/>
    <m/>
    <m/>
    <m/>
    <m/>
    <m/>
    <m/>
    <m/>
    <m/>
    <m/>
    <s v="Legal &amp; Regulatory Services (John)"/>
    <s v="Environmental Health"/>
    <m/>
    <s v="Communities and Regulatory Services"/>
    <x v="2"/>
  </r>
  <r>
    <s v="Rachel Liddle"/>
    <s v="ECC01"/>
    <s v="Climate Change Initiatives"/>
    <x v="50"/>
    <d v="2023-08-01T00:00:00"/>
    <s v="Report ready for discussion at CMT in July and due to Cabinet in August. "/>
    <m/>
    <s v="On Track to be Achieved"/>
    <m/>
    <m/>
    <m/>
    <m/>
    <m/>
    <m/>
    <m/>
    <m/>
    <m/>
    <m/>
    <m/>
    <m/>
    <m/>
    <m/>
    <m/>
    <m/>
    <s v="Legal &amp; Regulatory Services (John)"/>
    <s v="Environmental Health"/>
    <m/>
    <s v="Environment and Climate Change"/>
    <x v="3"/>
  </r>
  <r>
    <s v="Rachel Liddle"/>
    <s v="ECC02"/>
    <s v="Climate Change Initiatives"/>
    <x v="51"/>
    <d v="2024-03-01T00:00:00"/>
    <s v="Procurement process has started and advert on Delta (procurement portal) to request quotes"/>
    <m/>
    <s v="On Track to be Achieved"/>
    <m/>
    <m/>
    <m/>
    <m/>
    <m/>
    <m/>
    <m/>
    <m/>
    <m/>
    <m/>
    <m/>
    <m/>
    <m/>
    <m/>
    <m/>
    <m/>
    <s v="Legal &amp; Regulatory Services (John)"/>
    <s v="Environmental Health"/>
    <m/>
    <s v="Environment and Climate Change"/>
    <x v="3"/>
  </r>
  <r>
    <s v="Rachel Liddle"/>
    <s v="ECC03"/>
    <s v="Climate Change Initiatives"/>
    <x v="52"/>
    <s v="Ongoing by March 2024"/>
    <m/>
    <m/>
    <s v="Not Yet Due"/>
    <m/>
    <m/>
    <m/>
    <m/>
    <m/>
    <m/>
    <m/>
    <m/>
    <m/>
    <m/>
    <m/>
    <m/>
    <m/>
    <m/>
    <m/>
    <m/>
    <s v="Legal &amp; Regulatory Services (John)"/>
    <s v="Environmental Health"/>
    <m/>
    <s v="Environment and Climate Change"/>
    <x v="3"/>
  </r>
  <r>
    <s v="Michael Hovers"/>
    <s v="ECC04"/>
    <s v="Climate Change Initiatives"/>
    <x v="53"/>
    <d v="2024-03-01T00:00:00"/>
    <s v="Officers have identified 4 areas across East Staffordshire for Carbon Capture &amp; Biodiversity enhancements. Designs for these are to be prepared across quarter 2 and 3."/>
    <m/>
    <s v="Not Yet Due"/>
    <m/>
    <m/>
    <m/>
    <m/>
    <m/>
    <m/>
    <m/>
    <m/>
    <m/>
    <m/>
    <m/>
    <m/>
    <m/>
    <m/>
    <m/>
    <m/>
    <s v="Corporate &amp; Environment Services (Mark)"/>
    <s v="Communities &amp; Open Spaces"/>
    <m/>
    <s v="Environment and Climate Change"/>
    <x v="3"/>
  </r>
  <r>
    <s v="Rachel Liddle"/>
    <s v="ECC05"/>
    <s v="Climate Change Initiatives"/>
    <x v="54"/>
    <d v="2023-11-01T00:00:00"/>
    <s v="Report currently being drafted"/>
    <m/>
    <s v="On Track to be Achieved"/>
    <m/>
    <m/>
    <m/>
    <m/>
    <m/>
    <m/>
    <m/>
    <m/>
    <m/>
    <m/>
    <m/>
    <m/>
    <m/>
    <m/>
    <m/>
    <m/>
    <s v="Legal &amp; Regulatory Services (John)"/>
    <s v="Environmental Health"/>
    <m/>
    <s v="Environment and Climate Change"/>
    <x v="3"/>
  </r>
  <r>
    <s v="Michael Hovers"/>
    <s v="ECC06"/>
    <s v="Climate Change Initiatives"/>
    <x v="55"/>
    <d v="2023-09-01T00:00:00"/>
    <s v="Judging has taken place across June and July. Results expected in the early Autumn"/>
    <m/>
    <s v="Not Yet Due"/>
    <m/>
    <m/>
    <m/>
    <m/>
    <m/>
    <m/>
    <m/>
    <m/>
    <m/>
    <m/>
    <m/>
    <m/>
    <m/>
    <m/>
    <m/>
    <m/>
    <s v="Corporate &amp; Environment Services (Mark)"/>
    <s v="Communities &amp; Open Spaces"/>
    <m/>
    <s v="Environment and Climate Change"/>
    <x v="3"/>
  </r>
  <r>
    <s v="Michael Hovers"/>
    <s v="ECC07"/>
    <s v="Climate Change Initiatives"/>
    <x v="56"/>
    <d v="2023-09-01T00:00:00"/>
    <s v="Unity Park (Shobnall) has been entered for the first time in the IYN awards following the recent refurbishment undertaken using Levelling Up Parks funding."/>
    <m/>
    <s v="Fully Achieved"/>
    <m/>
    <m/>
    <m/>
    <m/>
    <m/>
    <m/>
    <m/>
    <m/>
    <m/>
    <m/>
    <m/>
    <m/>
    <m/>
    <m/>
    <m/>
    <m/>
    <s v="Corporate &amp; Environment Services (Mark)"/>
    <s v="Communities &amp; Open Spaces"/>
    <m/>
    <s v="Environment and Climate Change"/>
    <x v="3"/>
  </r>
  <r>
    <s v="Michael Hovers"/>
    <s v="ECC08"/>
    <s v="Climate Change Initiatives"/>
    <x v="57"/>
    <d v="2023-10-01T00:00:00"/>
    <s v="Judging has taken place across June and July. Results expected in the early Autumn"/>
    <m/>
    <s v="Not Yet Due"/>
    <m/>
    <m/>
    <m/>
    <m/>
    <m/>
    <m/>
    <m/>
    <m/>
    <m/>
    <m/>
    <m/>
    <m/>
    <m/>
    <m/>
    <m/>
    <m/>
    <s v="Corporate &amp; Environment Services (Mark)"/>
    <s v="Communities &amp; Open Spaces"/>
    <m/>
    <s v="Environment and Climate Change"/>
    <x v="3"/>
  </r>
  <r>
    <s v="Michael Hovers"/>
    <s v="ECC09"/>
    <s v="Climate Change Initiatives"/>
    <x v="58"/>
    <d v="2023-12-01T00:00:00"/>
    <s v="Assessment of tree stock has been completed and the scope of any works is now being analysed by Officers."/>
    <m/>
    <s v="On Track to be Achieved"/>
    <m/>
    <m/>
    <m/>
    <m/>
    <m/>
    <m/>
    <m/>
    <m/>
    <m/>
    <m/>
    <m/>
    <m/>
    <m/>
    <m/>
    <m/>
    <m/>
    <s v="Corporate &amp; Environment Services (Mark)"/>
    <s v="Communities &amp; Open Spaces"/>
    <m/>
    <s v="Environment and Climate Change"/>
    <x v="3"/>
  </r>
  <r>
    <s v="Michael Hovers"/>
    <s v="ECC10"/>
    <s v="Open Spaces initiatives"/>
    <x v="59"/>
    <d v="2024-03-01T00:00:00"/>
    <m/>
    <m/>
    <s v="Not Yet Due"/>
    <m/>
    <m/>
    <m/>
    <m/>
    <m/>
    <m/>
    <m/>
    <m/>
    <m/>
    <m/>
    <m/>
    <m/>
    <m/>
    <m/>
    <m/>
    <m/>
    <s v="Corporate &amp; Environment Services (Mark)"/>
    <s v="Communities &amp; Open Spaces"/>
    <m/>
    <s v="Environment and Climate Change"/>
    <x v="3"/>
  </r>
  <r>
    <s v="Michael Hovers"/>
    <s v="ECC11"/>
    <s v="Open Spaces initiatives"/>
    <x v="60"/>
    <d v="2024-03-01T00:00:00"/>
    <s v="Recruitment of two new officers has taken place in Quarter 1 which will enable the Horticulture Centre and GO Garden to expand the opportunities for volunteering "/>
    <m/>
    <s v="On Track to be Achieved"/>
    <m/>
    <m/>
    <m/>
    <m/>
    <m/>
    <m/>
    <m/>
    <m/>
    <m/>
    <m/>
    <m/>
    <m/>
    <m/>
    <m/>
    <m/>
    <m/>
    <s v="Corporate &amp; Environment Services (Mark)"/>
    <s v="Communities &amp; Open Spaces"/>
    <m/>
    <s v="Environment and Climate Change"/>
    <x v="3"/>
  </r>
  <r>
    <s v="Michael Hovers"/>
    <s v="ECC12"/>
    <s v="Open Spaces initiatives"/>
    <x v="61"/>
    <s v="July 2023 / March 2024"/>
    <s v="Winter Performance (22/23) report presented to Cabinet in July"/>
    <m/>
    <s v="On Track to be Achieved"/>
    <m/>
    <m/>
    <m/>
    <m/>
    <m/>
    <m/>
    <m/>
    <m/>
    <m/>
    <m/>
    <m/>
    <m/>
    <m/>
    <m/>
    <m/>
    <m/>
    <s v="Corporate &amp; Environment Services (Mark)"/>
    <s v="Communities &amp; Open Spaces"/>
    <m/>
    <s v="Environment and Climate Change"/>
    <x v="3"/>
  </r>
  <r>
    <s v="Paul Farrer"/>
    <s v="ECC13a"/>
    <s v="Maintain Performance For Street Cleansing"/>
    <x v="62"/>
    <s v="Annual"/>
    <s v="Not due until Q2 as surveys run April - July"/>
    <m/>
    <s v="Not Yet Due"/>
    <m/>
    <m/>
    <m/>
    <m/>
    <m/>
    <m/>
    <m/>
    <m/>
    <m/>
    <m/>
    <m/>
    <m/>
    <m/>
    <m/>
    <m/>
    <m/>
    <s v="Corporate &amp; Environment Services (Mark)"/>
    <s v="Environment"/>
    <m/>
    <s v="Environment and Climate Change"/>
    <x v="3"/>
  </r>
  <r>
    <s v="Paul Farrer"/>
    <s v="ECC13b"/>
    <s v="Maintain Performance For Street Cleansing"/>
    <x v="63"/>
    <s v="Annual"/>
    <s v="Not due until Q2 as surveys run April - July"/>
    <m/>
    <s v="Not Yet Due"/>
    <m/>
    <m/>
    <m/>
    <m/>
    <m/>
    <m/>
    <m/>
    <m/>
    <m/>
    <m/>
    <m/>
    <m/>
    <m/>
    <m/>
    <m/>
    <m/>
    <s v="Corporate &amp; Environment Services (Mark)"/>
    <s v="Environment"/>
    <m/>
    <s v="Environment and Climate Change"/>
    <x v="3"/>
  </r>
  <r>
    <s v="Paul Farrer"/>
    <s v="ECC13c"/>
    <s v="Maintain Performance For Street Cleansing"/>
    <x v="64"/>
    <s v="Annual"/>
    <s v="Not due until Q2 as surveys run April - July"/>
    <m/>
    <s v="Not Yet Due"/>
    <m/>
    <m/>
    <m/>
    <m/>
    <m/>
    <m/>
    <m/>
    <m/>
    <m/>
    <m/>
    <m/>
    <m/>
    <m/>
    <m/>
    <m/>
    <m/>
    <s v="Corporate &amp; Environment Services (Mark)"/>
    <s v="Environment"/>
    <m/>
    <s v="Environment and Climate Change"/>
    <x v="3"/>
  </r>
  <r>
    <s v="Paul Farrer"/>
    <s v="ECC13d"/>
    <s v="Maintain Performance For Street Cleansing"/>
    <x v="65"/>
    <s v="Annual"/>
    <s v="Not due until Q2 as surveys run April - July"/>
    <m/>
    <s v="Not Yet Due"/>
    <m/>
    <m/>
    <m/>
    <m/>
    <m/>
    <m/>
    <m/>
    <m/>
    <m/>
    <m/>
    <m/>
    <m/>
    <m/>
    <m/>
    <m/>
    <m/>
    <s v="Corporate &amp; Environment Services (Mark)"/>
    <s v="Environment"/>
    <m/>
    <s v="Environment and Climate Change"/>
    <x v="3"/>
  </r>
  <r>
    <s v="Paul Farrer"/>
    <s v="ECC14"/>
    <s v="Minimise The Number Of Missed Bin Collections"/>
    <x v="66"/>
    <s v="Annual"/>
    <n v="0.99980000000000002"/>
    <n v="0.99980000000000002"/>
    <s v="On Track to be Achieved"/>
    <m/>
    <m/>
    <m/>
    <m/>
    <m/>
    <m/>
    <m/>
    <m/>
    <m/>
    <m/>
    <m/>
    <m/>
    <m/>
    <m/>
    <m/>
    <m/>
    <s v="Corporate &amp; Environment Services (Mark)"/>
    <s v="Environment"/>
    <m/>
    <s v="Environment and Climate Change"/>
    <x v="1"/>
  </r>
  <r>
    <s v="Paul Farrer"/>
    <s v="ECC15"/>
    <s v="Getting ready for the future"/>
    <x v="67"/>
    <d v="2023-07-01T00:00:00"/>
    <s v="Data modelling has commenced for the current collection rounds. Each collection day over a fortnightly cycle being modelled and optimised with a view to procuring additional resources for housing growth."/>
    <m/>
    <s v="Fully Achieved"/>
    <m/>
    <m/>
    <m/>
    <m/>
    <m/>
    <m/>
    <m/>
    <m/>
    <m/>
    <m/>
    <m/>
    <m/>
    <m/>
    <m/>
    <m/>
    <m/>
    <s v="Corporate &amp; Environment Services (Mark)"/>
    <s v="Environment"/>
    <m/>
    <s v="Environment and Climate Change"/>
    <x v="1"/>
  </r>
  <r>
    <s v="Paul Farrer"/>
    <s v="ECC16"/>
    <s v="Getting ready for the future"/>
    <x v="68"/>
    <d v="2023-09-01T00:00:00"/>
    <s v="Modelling of collection rounds underway with a view to presenting a report at September Cabinet"/>
    <m/>
    <s v="On Track to be Achieved"/>
    <m/>
    <m/>
    <m/>
    <m/>
    <m/>
    <m/>
    <m/>
    <m/>
    <m/>
    <m/>
    <m/>
    <m/>
    <m/>
    <m/>
    <m/>
    <m/>
    <s v="Corporate &amp; Environment Services (Mark)"/>
    <s v="Environment"/>
    <m/>
    <s v="Environment and Climate Change"/>
    <x v="1"/>
  </r>
  <r>
    <s v="Paul Farrer"/>
    <s v="ECC17"/>
    <s v="Maintain Performance On Recycling "/>
    <x v="69"/>
    <d v="2023-10-01T00:00:00"/>
    <s v="Collating data on food waste collections, including vehicles, staff resources and ancillaries. "/>
    <m/>
    <s v="On Track to be Achieved"/>
    <m/>
    <m/>
    <m/>
    <m/>
    <m/>
    <m/>
    <m/>
    <m/>
    <m/>
    <m/>
    <m/>
    <m/>
    <m/>
    <m/>
    <m/>
    <m/>
    <s v="Corporate &amp; Environment Services (Mark)"/>
    <s v="Environment"/>
    <m/>
    <s v="Environment and Climate Change"/>
    <x v="3"/>
  </r>
  <r>
    <s v="Paul Farrer"/>
    <s v="ECC18"/>
    <s v="Getting ready for the future"/>
    <x v="70"/>
    <d v="2023-11-01T00:00:00"/>
    <s v="On-going discussions with Distribution Network Operator on the supply network. "/>
    <m/>
    <s v="On Track to be Achieved"/>
    <m/>
    <m/>
    <m/>
    <m/>
    <m/>
    <m/>
    <m/>
    <m/>
    <m/>
    <m/>
    <m/>
    <m/>
    <m/>
    <m/>
    <m/>
    <m/>
    <s v="Corporate &amp; Environment Services (Mark)"/>
    <s v="Environment"/>
    <m/>
    <s v="Environment and Climate Change"/>
    <x v="1"/>
  </r>
  <r>
    <s v="Paul Farrer"/>
    <s v="ECC19"/>
    <s v="Improve Performance On Waste Reduction"/>
    <x v="71"/>
    <s v="Annual"/>
    <s v="126kg - estimated as not all data received"/>
    <m/>
    <s v="In Danger of Falling Behind Target"/>
    <m/>
    <m/>
    <m/>
    <m/>
    <m/>
    <m/>
    <m/>
    <m/>
    <m/>
    <m/>
    <m/>
    <m/>
    <m/>
    <m/>
    <m/>
    <m/>
    <s v="Corporate &amp; Environment Services (Mark)"/>
    <s v="Environment"/>
    <m/>
    <s v="Environment and Climate Change"/>
    <x v="3"/>
  </r>
  <r>
    <s v="Paul Farrer"/>
    <s v="ECC20"/>
    <s v="Maintain Performance On Recycling "/>
    <x v="72"/>
    <s v="Annual"/>
    <s v="48.76% - estimated as not all data received"/>
    <m/>
    <s v="In Danger of Falling Behind Target"/>
    <m/>
    <m/>
    <m/>
    <m/>
    <m/>
    <m/>
    <m/>
    <m/>
    <m/>
    <m/>
    <m/>
    <m/>
    <m/>
    <m/>
    <m/>
    <m/>
    <s v="Corporate &amp; Environment Services (Mark)"/>
    <s v="Environment"/>
    <m/>
    <s v="Environment and Climate Change"/>
    <x v="3"/>
  </r>
  <r>
    <s v="Paul Farrer"/>
    <s v="ECC21"/>
    <s v="Getting ready for the future"/>
    <x v="73"/>
    <d v="2024-03-01T00:00:00"/>
    <m/>
    <m/>
    <s v="Not Yet Due"/>
    <m/>
    <m/>
    <m/>
    <m/>
    <m/>
    <m/>
    <m/>
    <m/>
    <m/>
    <m/>
    <m/>
    <m/>
    <m/>
    <m/>
    <m/>
    <m/>
    <s v="Corporate &amp; Environment Services (Mark)"/>
    <s v="Environment"/>
    <m/>
    <s v="Environment and Climate Change"/>
    <x v="3"/>
  </r>
  <r>
    <s v="Paul Farrer"/>
    <s v="ECC22"/>
    <s v="Getting ready for the future"/>
    <x v="74"/>
    <d v="2024-03-01T00:00:00"/>
    <m/>
    <m/>
    <s v="Not Yet Due"/>
    <m/>
    <m/>
    <m/>
    <m/>
    <m/>
    <m/>
    <m/>
    <m/>
    <m/>
    <m/>
    <m/>
    <m/>
    <m/>
    <m/>
    <m/>
    <m/>
    <s v="Corporate &amp; Environment Services (Mark)"/>
    <s v="Environment"/>
    <m/>
    <s v="Environment and Climate Change"/>
    <x v="1"/>
  </r>
  <r>
    <s v="Michael Hovers"/>
    <s v="ECC23"/>
    <s v="Review of Car Parking Services"/>
    <x v="75"/>
    <d v="2023-10-01T00:00:00"/>
    <m/>
    <m/>
    <s v="Not Yet Due"/>
    <m/>
    <m/>
    <m/>
    <m/>
    <m/>
    <m/>
    <m/>
    <m/>
    <m/>
    <m/>
    <m/>
    <m/>
    <m/>
    <m/>
    <m/>
    <m/>
    <s v="Corporate &amp; Environment Services (Mark)"/>
    <s v="Communities &amp; Open Spaces"/>
    <m/>
    <s v="Environment and Climate Change"/>
    <x v="1"/>
  </r>
  <r>
    <s v="Michael Hovers"/>
    <s v="TCD01"/>
    <s v="Market Hall Development"/>
    <x v="76"/>
    <d v="2023-09-01T00:00:00"/>
    <s v="Report on the Market Hall Business case is to received by Cabinet in Qtr 2."/>
    <m/>
    <s v="On Track to be Achieved"/>
    <m/>
    <m/>
    <m/>
    <m/>
    <m/>
    <m/>
    <m/>
    <m/>
    <m/>
    <m/>
    <m/>
    <m/>
    <m/>
    <m/>
    <m/>
    <m/>
    <s v="Corporate &amp; Environment Services (Mark)"/>
    <s v="Communities &amp; Open Spaces"/>
    <m/>
    <s v="Tourism and Cultural Development"/>
    <x v="1"/>
  </r>
  <r>
    <s v="Owen Hurcombe"/>
    <s v="TCD02"/>
    <s v="Developing Tourism within the Borough"/>
    <x v="77"/>
    <d v="2023-06-01T00:00:00"/>
    <s v="Tourism Grant scheme is live on the new Discover East Staffordshire website"/>
    <m/>
    <s v="Fully Achieved"/>
    <s v="https://discovereaststaffordshire.com/tourism-development-grants/"/>
    <m/>
    <m/>
    <m/>
    <m/>
    <m/>
    <m/>
    <m/>
    <m/>
    <m/>
    <m/>
    <m/>
    <m/>
    <m/>
    <m/>
    <m/>
    <s v="Regeneration and Development (Tom)"/>
    <s v="Brewhouse, Arts &amp; Town Hall"/>
    <m/>
    <s v="Tourism and Cultural Development"/>
    <x v="0"/>
  </r>
  <r>
    <s v="Owen Hurcombe"/>
    <s v="TCD03"/>
    <s v="Developing Tourism within the Borough"/>
    <x v="78"/>
    <d v="2023-10-01T00:00:00"/>
    <s v="Work has been undertaken with the Staffordshire DMP as well as engaging local tourism attractions as part of the consultation process to develop the strategic plan"/>
    <m/>
    <s v="On Track to be Achieved"/>
    <m/>
    <m/>
    <m/>
    <m/>
    <m/>
    <m/>
    <m/>
    <m/>
    <m/>
    <m/>
    <m/>
    <m/>
    <m/>
    <m/>
    <m/>
    <m/>
    <s v="Regeneration and Development (Tom)"/>
    <s v="Brewhouse, Arts &amp; Town Hall"/>
    <m/>
    <s v="Tourism and Cultural Development"/>
    <x v="0"/>
  </r>
  <r>
    <s v="Owen Hurcombe"/>
    <s v="TCD04"/>
    <s v="Developing Tourism within the Borough"/>
    <x v="79"/>
    <d v="2024-03-01T00:00:00"/>
    <s v="Quarterly baseline information has been collated and input also been collected through the DMP STEAM data"/>
    <m/>
    <s v="On Track to be Achieved"/>
    <m/>
    <m/>
    <m/>
    <m/>
    <m/>
    <m/>
    <m/>
    <m/>
    <m/>
    <m/>
    <m/>
    <m/>
    <m/>
    <m/>
    <m/>
    <m/>
    <s v="Regeneration and Development (Tom)"/>
    <s v="Brewhouse, Arts &amp; Town Hall"/>
    <m/>
    <s v="Tourism and Cultural Development"/>
    <x v="0"/>
  </r>
  <r>
    <s v="Owen Hurcombe"/>
    <s v="TCD05"/>
    <s v="Developing Tourism within the Borough"/>
    <x v="80"/>
    <d v="2024-03-01T00:00:00"/>
    <m/>
    <m/>
    <s v="Not Yet Due"/>
    <m/>
    <m/>
    <m/>
    <m/>
    <m/>
    <m/>
    <m/>
    <m/>
    <m/>
    <m/>
    <m/>
    <m/>
    <m/>
    <m/>
    <m/>
    <m/>
    <s v="Regeneration and Development (Tom)"/>
    <s v="Brewhouse, Arts &amp; Town Hall"/>
    <m/>
    <s v="Tourism and Cultural Development"/>
    <x v="0"/>
  </r>
  <r>
    <s v="Owen Hurcombe"/>
    <s v="TCD06"/>
    <s v="Brewhouse and Town Hall Service"/>
    <x v="81"/>
    <d v="2023-11-01T00:00:00"/>
    <s v="Two stakeholder workshops have taken place to develop a narrative and launch the stimulate phase of the project."/>
    <m/>
    <s v="On Track to be Achieved"/>
    <m/>
    <m/>
    <m/>
    <m/>
    <m/>
    <m/>
    <m/>
    <m/>
    <m/>
    <m/>
    <m/>
    <m/>
    <m/>
    <m/>
    <m/>
    <m/>
    <s v="Regeneration and Development (Tom)"/>
    <s v="Brewhouse, Arts &amp; Town Hall"/>
    <m/>
    <s v="Tourism and Cultural Development"/>
    <x v="0"/>
  </r>
  <r>
    <s v="Owen Hurcombe"/>
    <s v="TCD07"/>
    <s v="Brewhouse and Town Hall Service"/>
    <x v="82"/>
    <d v="2024-03-01T00:00:00"/>
    <s v="Big Burton coronation event took place with around 400 visitors attending to watch the coronation live and Market Garden event in May with over 4000 attendees and 50 stall holders"/>
    <m/>
    <s v="On Track to be Achieved"/>
    <s v="Outdoor events planned across August as part of Brewhouse On Tour. "/>
    <m/>
    <m/>
    <m/>
    <m/>
    <m/>
    <m/>
    <m/>
    <m/>
    <m/>
    <m/>
    <m/>
    <m/>
    <m/>
    <m/>
    <m/>
    <s v="Regeneration and Development (Tom)"/>
    <s v="Brewhouse, Arts &amp; Town Hall"/>
    <m/>
    <s v="Tourism and Cultural Development"/>
    <x v="0"/>
  </r>
  <r>
    <s v="Owen Hurcombe"/>
    <s v="TCD08"/>
    <s v="Brewhouse and Town Hall Service"/>
    <x v="83"/>
    <d v="2023-12-01T00:00:00"/>
    <s v="Tender specification complete and proposal currently with planning for listed building consent with proposed tender ready for Quarter 2."/>
    <m/>
    <s v="On Track to be Achieved"/>
    <m/>
    <m/>
    <m/>
    <m/>
    <m/>
    <m/>
    <m/>
    <m/>
    <m/>
    <m/>
    <m/>
    <m/>
    <m/>
    <m/>
    <m/>
    <m/>
    <s v="Regeneration and Development (Tom)"/>
    <s v="Brewhouse, Arts &amp; Town Hall"/>
    <m/>
    <s v="Tourism and Cultural Development"/>
    <x v="1"/>
  </r>
  <r>
    <s v="Daniel Arnold"/>
    <s v="TCD09a"/>
    <s v="Improve awareness of Council Services, venues and initiatives"/>
    <x v="84"/>
    <d v="2023-12-01T00:00:00"/>
    <s v="New corporate website is currently on schedule for July implementation"/>
    <m/>
    <s v="On Track to be Achieved"/>
    <m/>
    <m/>
    <m/>
    <m/>
    <m/>
    <m/>
    <m/>
    <m/>
    <m/>
    <m/>
    <m/>
    <m/>
    <m/>
    <m/>
    <m/>
    <m/>
    <s v="Regeneration and Development (Tom)"/>
    <s v="Corporate &amp; Commercial &amp; Marketing"/>
    <m/>
    <s v="Tourism and Cultural Development"/>
    <x v="1"/>
  </r>
  <r>
    <s v="Nathan Gallagher"/>
    <s v="TCD09b"/>
    <s v="Improve awareness of Council Services, venues and initiatives"/>
    <x v="85"/>
    <d v="2023-12-01T00:00:00"/>
    <s v="The new website is currently in development and on schedule for an Autumn implementation."/>
    <m/>
    <s v="On Track to be Achieved"/>
    <m/>
    <m/>
    <m/>
    <m/>
    <m/>
    <m/>
    <m/>
    <m/>
    <m/>
    <m/>
    <m/>
    <m/>
    <m/>
    <m/>
    <m/>
    <m/>
    <s v="Regeneration and Development (Tom)"/>
    <s v="Corporate &amp; Commercial &amp; Marketing"/>
    <m/>
    <s v="Tourism and Cultural Development"/>
    <x v="1"/>
  </r>
  <r>
    <s v="James Abbott"/>
    <s v="TCD10"/>
    <s v="Supporting Sport and Leisure Delivery "/>
    <x v="86"/>
    <d v="2024-03-01T00:00:00"/>
    <s v="Initial work on preparing a brief commenced in June 2023. "/>
    <m/>
    <s v="Not Yet Due"/>
    <m/>
    <m/>
    <m/>
    <m/>
    <m/>
    <m/>
    <m/>
    <m/>
    <m/>
    <m/>
    <m/>
    <m/>
    <m/>
    <m/>
    <m/>
    <m/>
    <s v="Corporate &amp; Environment Services (Mark)"/>
    <s v="Corporate &amp; Commercial"/>
    <m/>
    <s v="Tourism and Cultural Development"/>
    <x v="2"/>
  </r>
  <r>
    <s v="James Abbott"/>
    <s v="TCD11"/>
    <s v="Supporting Sport and Leisure Delivery"/>
    <x v="87"/>
    <d v="2024-03-01T00:00:00"/>
    <s v="Consultants have been engaged and work underway on indoor and outdoor sports facility provision. "/>
    <m/>
    <s v="On Track to be Achieved"/>
    <m/>
    <m/>
    <m/>
    <m/>
    <m/>
    <m/>
    <m/>
    <m/>
    <m/>
    <m/>
    <m/>
    <m/>
    <m/>
    <m/>
    <m/>
    <m/>
    <s v="Corporate &amp; Environment Services (Mark)"/>
    <s v="Corporate &amp; Commercial"/>
    <m/>
    <s v="Tourism and Cultural Development"/>
    <x v="0"/>
  </r>
  <r>
    <s v="James Abbott"/>
    <s v="TCD12"/>
    <s v="Maintain Robust Mechanisms for Contract Managing the Leisure Service Arrangements "/>
    <x v="88"/>
    <d v="2024-03-01T00:00:00"/>
    <s v="Quarterly Performance Report presented to Corporate Management Team, Leader and Deputy Leaders, LAG / LOAG, Cabinet during May / June 2023 and scheduled for discussion at the July VFM Scrutiny Committee"/>
    <m/>
    <s v="On Track to be Achieved"/>
    <m/>
    <m/>
    <m/>
    <m/>
    <m/>
    <m/>
    <m/>
    <m/>
    <m/>
    <m/>
    <m/>
    <m/>
    <m/>
    <m/>
    <m/>
    <m/>
    <s v="Corporate &amp; Environment Services (Mark)"/>
    <s v="Corporate &amp; Commercial"/>
    <m/>
    <s v="Tourism and Cultural Development"/>
    <x v="1"/>
  </r>
  <r>
    <s v="James Abbott"/>
    <s v="TCD13"/>
    <s v="Supporting Sport and Leisure Delivery"/>
    <x v="89"/>
    <d v="2023-08-01T00:00:00"/>
    <s v="Discussions held with Everyone Active, who will be running this free to access event in August 2023, supported by the Council. Building on the enhanced offering introduced in 2022, following feedback from last year's event further food provision will be implemented for 2023. "/>
    <m/>
    <s v="On Track to be Achieved"/>
    <m/>
    <m/>
    <m/>
    <m/>
    <m/>
    <m/>
    <m/>
    <m/>
    <m/>
    <m/>
    <m/>
    <m/>
    <m/>
    <m/>
    <m/>
    <m/>
    <s v="Corporate &amp; Environment Services (Mark)"/>
    <s v="Corporate &amp; Commercial"/>
    <m/>
    <s v="Tourism and Cultural Development"/>
    <x v="2"/>
  </r>
  <r>
    <s v="James Abbott"/>
    <s v="TCD14"/>
    <s v="Developing Healthy Lifestyles"/>
    <x v="90"/>
    <d v="2024-03-01T00:00:00"/>
    <s v="The Better Health Staffordshire East Staffordshire group continue to met on a quarterly basis. The priority theme of Food is being worked on by a specific task and finish group in order to hold a themed event relating to Food. "/>
    <m/>
    <s v="On Track to be Achieved"/>
    <m/>
    <m/>
    <m/>
    <m/>
    <m/>
    <m/>
    <m/>
    <m/>
    <m/>
    <m/>
    <m/>
    <m/>
    <m/>
    <m/>
    <m/>
    <m/>
    <s v="Corporate &amp; Environment Services (Mark)"/>
    <s v="Corporate &amp; Commercial"/>
    <m/>
    <s v="Tourism and Cultural Development"/>
    <x v="2"/>
  </r>
  <r>
    <s v="James Abbott"/>
    <s v="TCD15"/>
    <s v="Supporting Sport and Leisure Delivery"/>
    <x v="91"/>
    <d v="2023-09-01T00:00:00"/>
    <s v="Review commenced in quarter one, with a report and recommendations expected to come forward in August / September 2023. "/>
    <m/>
    <s v="On Track to be Achieved"/>
    <m/>
    <m/>
    <m/>
    <m/>
    <m/>
    <m/>
    <m/>
    <m/>
    <m/>
    <m/>
    <m/>
    <m/>
    <m/>
    <m/>
    <m/>
    <m/>
    <s v="Corporate &amp; Environment Services (Mark)"/>
    <s v="Corporate &amp; Commercial"/>
    <m/>
    <s v="Tourism and Cultural Development"/>
    <x v="1"/>
  </r>
  <r>
    <s v="Kelly Kerr-Delworth"/>
    <s v="RAD01"/>
    <s v="Deliver the Burton upon Trent High Street Regeneration Project"/>
    <x v="92"/>
    <d v="2023-09-01T00:00:00"/>
    <s v="The work is almost complete on the refurbishing the regen hub. The NBCT are planning to open the archives in September and this is on track as planned.  "/>
    <m/>
    <s v="On Track to be Achieved"/>
    <m/>
    <m/>
    <m/>
    <m/>
    <m/>
    <m/>
    <m/>
    <m/>
    <m/>
    <m/>
    <m/>
    <m/>
    <m/>
    <m/>
    <m/>
    <m/>
    <s v="Regeneration and Development (Tom)"/>
    <s v="Enterprise"/>
    <m/>
    <s v="Regeneration and Development"/>
    <x v="0"/>
  </r>
  <r>
    <s v="Kelly Kerr-Delworth"/>
    <s v="RAD02"/>
    <s v="Deliver the Burton upon Trent High Street Regeneration Project"/>
    <x v="93"/>
    <d v="2024-03-01T00:00:00"/>
    <s v="Meetings have continued with the HWG with plans for the Heritage Centre to be potentially located in Old Bass House discussed with the group. "/>
    <m/>
    <s v="Not Yet Due"/>
    <m/>
    <m/>
    <m/>
    <m/>
    <m/>
    <m/>
    <m/>
    <m/>
    <m/>
    <m/>
    <m/>
    <m/>
    <m/>
    <m/>
    <m/>
    <m/>
    <s v="Regeneration and Development (Tom)"/>
    <s v="Enterprise"/>
    <m/>
    <s v="Regeneration and Development"/>
    <x v="0"/>
  </r>
  <r>
    <s v="Kelly Kerr-Delworth"/>
    <s v="RAD03"/>
    <s v="Deliver the Burton upon Trent High Street Regeneration Project"/>
    <x v="94"/>
    <d v="2024-03-01T00:00:00"/>
    <m/>
    <m/>
    <s v="Not Yet Due"/>
    <m/>
    <m/>
    <m/>
    <m/>
    <m/>
    <m/>
    <m/>
    <m/>
    <m/>
    <m/>
    <m/>
    <m/>
    <m/>
    <m/>
    <m/>
    <m/>
    <s v="Regeneration and Development (Tom)"/>
    <s v="Enterprise"/>
    <m/>
    <s v="Regeneration and Development"/>
    <x v="0"/>
  </r>
  <r>
    <s v="Kelly Kerr-Delworth"/>
    <s v="RAD04"/>
    <s v="Improve the Washlands as a regional attraction"/>
    <x v="95"/>
    <d v="2023-09-01T00:00:00"/>
    <s v="The tender process is still ongoing as formalities are signed off in relation to appointing the successful contractor.  This is on track."/>
    <m/>
    <s v="On Track to be Achieved"/>
    <m/>
    <m/>
    <m/>
    <m/>
    <m/>
    <m/>
    <m/>
    <m/>
    <m/>
    <m/>
    <m/>
    <m/>
    <m/>
    <m/>
    <m/>
    <m/>
    <s v="Regeneration and Development (Tom)"/>
    <s v="Enterprise"/>
    <m/>
    <s v="Regeneration and Development"/>
    <x v="0"/>
  </r>
  <r>
    <s v="Kelly Kerr-Delworth"/>
    <s v="RAD05"/>
    <s v="Improve the Washlands as a regional attraction"/>
    <x v="96"/>
    <d v="2023-08-01T00:00:00"/>
    <s v="This has now been pushed back; the initial programme was revised and a more realistic timescale produced.  This is now being reviewed."/>
    <m/>
    <s v="Off Target"/>
    <m/>
    <m/>
    <m/>
    <m/>
    <m/>
    <m/>
    <m/>
    <m/>
    <m/>
    <m/>
    <m/>
    <m/>
    <m/>
    <m/>
    <m/>
    <m/>
    <s v="Regeneration and Development (Tom)"/>
    <s v="Enterprise"/>
    <m/>
    <s v="Regeneration and Development"/>
    <x v="0"/>
  </r>
  <r>
    <s v="Kelly Kerr-Delworth"/>
    <s v="RAD06"/>
    <s v="Improve the Washlands as a regional attraction"/>
    <x v="97"/>
    <d v="2024-02-01T00:00:00"/>
    <s v="This has now been pushed back; the initial programme was revised and a more realistic timescale produced. This is now being reviewed."/>
    <m/>
    <s v="Off Target"/>
    <m/>
    <m/>
    <m/>
    <m/>
    <m/>
    <m/>
    <m/>
    <m/>
    <m/>
    <m/>
    <m/>
    <m/>
    <m/>
    <m/>
    <m/>
    <m/>
    <s v="Regeneration and Development (Tom)"/>
    <s v="Enterprise"/>
    <m/>
    <s v="Regeneration and Development"/>
    <x v="0"/>
  </r>
  <r>
    <s v="Kelly Kerr-Delworth"/>
    <s v="RAD07"/>
    <s v="Improve the Washlands as a regional attraction"/>
    <x v="98"/>
    <d v="2023-07-01T00:00:00"/>
    <s v="There is an approved scheme for the Garden of Remembrance and talks are ongoing with Staffordshire County Council in relation to the lighting and the Diocese in terms of other improvements to the area. "/>
    <m/>
    <s v="On Track to be Achieved"/>
    <m/>
    <m/>
    <m/>
    <m/>
    <m/>
    <m/>
    <m/>
    <m/>
    <m/>
    <m/>
    <m/>
    <m/>
    <m/>
    <m/>
    <m/>
    <m/>
    <s v="Regeneration and Development (Tom)"/>
    <s v="Enterprise"/>
    <m/>
    <s v="Regeneration and Development"/>
    <x v="0"/>
  </r>
  <r>
    <s v="Kelly Kerr-Delworth"/>
    <s v="RAD08"/>
    <s v="Take forward regeneration in Uttoxeter"/>
    <x v="99"/>
    <d v="2023-07-01T00:00:00"/>
    <s v="Ongoing discussions about how to take this work forward. We are meeting with an expert from the High Street Task Force so he can share his thoughts on how the work could be taken forward to help regenerate Uttoxeter."/>
    <m/>
    <s v="On Track to be Achieved"/>
    <m/>
    <m/>
    <m/>
    <m/>
    <m/>
    <m/>
    <m/>
    <m/>
    <m/>
    <m/>
    <m/>
    <m/>
    <m/>
    <m/>
    <m/>
    <m/>
    <s v="Regeneration and Development (Tom)"/>
    <s v="Enterprise"/>
    <m/>
    <s v="Regeneration and Development"/>
    <x v="0"/>
  </r>
  <r>
    <s v="Kelly Kerr-Delworth"/>
    <s v="RAD09"/>
    <s v="Take forward regeneration in Uttoxeter"/>
    <x v="100"/>
    <d v="2023-07-01T00:00:00"/>
    <s v="To be considered at the July Council meeting."/>
    <m/>
    <s v="On Track to be Achieved"/>
    <s v="Council approved at July 2023 meeting (Quarter 2)."/>
    <m/>
    <m/>
    <m/>
    <m/>
    <m/>
    <m/>
    <m/>
    <m/>
    <m/>
    <m/>
    <m/>
    <m/>
    <m/>
    <m/>
    <m/>
    <s v="Regeneration and Development (Tom)"/>
    <s v="Enterprise"/>
    <m/>
    <s v="Regeneration and Development"/>
    <x v="0"/>
  </r>
  <r>
    <s v="Kelly Kerr-Delworth"/>
    <s v="RAD10"/>
    <s v="Take forward regeneration in Uttoxeter"/>
    <x v="101"/>
    <d v="2023-09-01T00:00:00"/>
    <m/>
    <m/>
    <s v="Not Yet Due"/>
    <m/>
    <m/>
    <m/>
    <m/>
    <m/>
    <m/>
    <m/>
    <m/>
    <m/>
    <m/>
    <m/>
    <m/>
    <m/>
    <m/>
    <m/>
    <m/>
    <s v="Regeneration and Development (Tom)"/>
    <s v="Enterprise"/>
    <m/>
    <s v="Regeneration and Development"/>
    <x v="0"/>
  </r>
  <r>
    <s v="Kelly Kerr-Delworth"/>
    <s v="RAD11"/>
    <s v="Support economic growth in East Staffordshire"/>
    <x v="102"/>
    <d v="2024-03-01T00:00:00"/>
    <s v="This has been in process.  The guidance has been updated and agreements reached about who should be on the panel. This is due to be launched in August 2023."/>
    <m/>
    <s v="On Track to be Achieved"/>
    <m/>
    <m/>
    <m/>
    <m/>
    <m/>
    <m/>
    <m/>
    <m/>
    <m/>
    <m/>
    <m/>
    <m/>
    <m/>
    <m/>
    <m/>
    <m/>
    <s v="Regeneration and Development (Tom)"/>
    <s v="Enterprise"/>
    <m/>
    <s v="Regeneration and Development"/>
    <x v="0"/>
  </r>
  <r>
    <s v="Kelly Kerr-Delworth"/>
    <s v="RAD12"/>
    <s v="Support economic growth in East Staffordshire"/>
    <x v="103"/>
    <d v="2024-03-01T00:00:00"/>
    <s v="Ongoing; talks planned with Perfect Circle to identify other potential funding through the National Lottery"/>
    <m/>
    <s v="Not Yet Due"/>
    <m/>
    <m/>
    <m/>
    <m/>
    <m/>
    <m/>
    <m/>
    <m/>
    <m/>
    <m/>
    <m/>
    <m/>
    <m/>
    <m/>
    <m/>
    <m/>
    <s v="Regeneration and Development (Tom)"/>
    <s v="Enterprise"/>
    <m/>
    <s v="Regeneration and Development"/>
    <x v="1"/>
  </r>
  <r>
    <s v="Sara Gummerson"/>
    <s v="RAD13"/>
    <s v="Major Planning Applications Determined Within 13 Weeks"/>
    <x v="104"/>
    <s v="Quarterly"/>
    <s v="100%_x000a__x000a_12 Major apps received all within time"/>
    <m/>
    <s v="On Track to be Achieved"/>
    <m/>
    <m/>
    <m/>
    <m/>
    <m/>
    <m/>
    <m/>
    <m/>
    <m/>
    <m/>
    <m/>
    <m/>
    <m/>
    <m/>
    <m/>
    <m/>
    <s v="Regeneration and Development (Tom)"/>
    <s v="Planning"/>
    <m/>
    <s v="Regeneration and Development"/>
    <x v="1"/>
  </r>
  <r>
    <s v="Sara Gummerson"/>
    <s v="RAD14"/>
    <s v="Minor Planning Applications Determined Within 8 Weeks"/>
    <x v="104"/>
    <s v="Quarterly"/>
    <s v="94%_x000a__x000a_54 Minor apps received 51 within time"/>
    <m/>
    <s v="On Track to be Achieved"/>
    <m/>
    <m/>
    <m/>
    <m/>
    <m/>
    <m/>
    <m/>
    <m/>
    <m/>
    <m/>
    <m/>
    <m/>
    <m/>
    <m/>
    <m/>
    <m/>
    <s v="Regeneration and Development (Tom)"/>
    <s v="Planning"/>
    <m/>
    <s v="Regeneration and Development"/>
    <x v="1"/>
  </r>
  <r>
    <s v="Sara Gummerson"/>
    <s v="RAD15"/>
    <s v="Other Planning Applications Determined in 8 Weeks"/>
    <x v="105"/>
    <s v="Quarterly"/>
    <s v="94%_x000a__x000a_136 Other apps received 128 within time"/>
    <m/>
    <s v="On Track to be Achieved"/>
    <m/>
    <m/>
    <m/>
    <m/>
    <m/>
    <m/>
    <m/>
    <m/>
    <m/>
    <m/>
    <m/>
    <m/>
    <m/>
    <m/>
    <m/>
    <m/>
    <s v="Regeneration and Development (Tom)"/>
    <s v="Planning"/>
    <m/>
    <s v="Regeneration and Development"/>
    <x v="1"/>
  </r>
  <r>
    <s v="Sara Gummerson"/>
    <s v="RAD16"/>
    <s v="SMARTER Planning Services"/>
    <x v="106"/>
    <d v="2023-06-01T00:00:00"/>
    <s v="No responses received for Quarter 1"/>
    <m/>
    <s v="On Track to be Achieved"/>
    <m/>
    <m/>
    <m/>
    <m/>
    <m/>
    <m/>
    <m/>
    <m/>
    <m/>
    <m/>
    <m/>
    <m/>
    <m/>
    <m/>
    <m/>
    <m/>
    <s v="Regeneration and Development (Tom)"/>
    <s v="Planning"/>
    <m/>
    <s v="Regeneration and Development"/>
    <x v="1"/>
  </r>
  <r>
    <s v="Naomi Perry"/>
    <s v="RAD17"/>
    <s v="SMARTER Planning Services"/>
    <x v="107"/>
    <d v="2023-11-01T00:00:00"/>
    <s v="Review of pre-application service underway "/>
    <m/>
    <s v="On Track to be Achieved"/>
    <m/>
    <m/>
    <m/>
    <m/>
    <m/>
    <m/>
    <m/>
    <m/>
    <m/>
    <m/>
    <m/>
    <m/>
    <m/>
    <m/>
    <m/>
    <m/>
    <s v="Regeneration and Development (Tom)"/>
    <s v="Planning"/>
    <m/>
    <s v="Regeneration and Development"/>
    <x v="1"/>
  </r>
  <r>
    <s v="Naomi Perry"/>
    <s v="RAD18a"/>
    <s v="Keeping Members informed on Planning Matters"/>
    <x v="108"/>
    <d v="2024-03-01T00:00:00"/>
    <s v="Two training sessions undertaken in May and June"/>
    <m/>
    <s v="On Track to be Achieved"/>
    <m/>
    <m/>
    <m/>
    <m/>
    <m/>
    <m/>
    <m/>
    <m/>
    <m/>
    <m/>
    <m/>
    <m/>
    <m/>
    <m/>
    <m/>
    <m/>
    <s v="Regeneration and Development (Tom)"/>
    <s v="Planning"/>
    <m/>
    <s v="Regeneration and Development"/>
    <x v="1"/>
  </r>
  <r>
    <s v="Naomi Perry"/>
    <s v="RAD18b"/>
    <s v="Keeping Members informed on Planning Matters"/>
    <x v="109"/>
    <d v="2024-03-01T00:00:00"/>
    <m/>
    <m/>
    <s v="Not Yet Due"/>
    <m/>
    <m/>
    <m/>
    <m/>
    <m/>
    <m/>
    <m/>
    <m/>
    <m/>
    <m/>
    <m/>
    <m/>
    <m/>
    <m/>
    <m/>
    <m/>
    <s v="Regeneration and Development (Tom)"/>
    <s v="Planning"/>
    <m/>
    <s v="Regeneration and Development"/>
    <x v="1"/>
  </r>
  <r>
    <s v="Naomi Perry"/>
    <s v="RAD19"/>
    <s v="Monitor Performance of the Local Plan"/>
    <x v="110"/>
    <d v="2023-10-01T00:00:00"/>
    <m/>
    <m/>
    <s v="On Track to be Achieved"/>
    <m/>
    <m/>
    <m/>
    <m/>
    <m/>
    <m/>
    <m/>
    <m/>
    <m/>
    <m/>
    <m/>
    <m/>
    <m/>
    <m/>
    <m/>
    <m/>
    <s v="Regeneration and Development (Tom)"/>
    <s v="Planning"/>
    <m/>
    <s v="Regeneration and Development"/>
    <x v="0"/>
  </r>
  <r>
    <s v="Steve Woods"/>
    <s v="FTM01"/>
    <s v="Delivering Better Services to Support the Cost of Living Crisis"/>
    <x v="111"/>
    <d v="2023-12-01T00:00:00"/>
    <s v="Meetings scheduled to take place in quarter 2 with CMT, Pre-cabinet and Cabinet"/>
    <m/>
    <s v="On Track to be Achieved"/>
    <m/>
    <m/>
    <m/>
    <m/>
    <m/>
    <m/>
    <m/>
    <m/>
    <m/>
    <m/>
    <m/>
    <m/>
    <m/>
    <m/>
    <m/>
    <m/>
    <s v="Chief Financial S151 Officer (Lisa)"/>
    <s v="Revenues &amp; Benefits"/>
    <m/>
    <s v="Finance and Treasury Management"/>
    <x v="1"/>
  </r>
  <r>
    <s v="Steve Woods"/>
    <s v="FTM02"/>
    <s v="Delivering Better Services to Support the Cost of Living Crisis"/>
    <x v="112"/>
    <d v="2024-03-01T00:00:00"/>
    <n v="4.33"/>
    <n v="4.5"/>
    <s v="On Track to be Achieved"/>
    <s v="High volume of new claims received, but remain on track."/>
    <m/>
    <m/>
    <m/>
    <m/>
    <m/>
    <m/>
    <m/>
    <m/>
    <m/>
    <m/>
    <m/>
    <m/>
    <m/>
    <m/>
    <m/>
    <s v="Chief Financial S151 Officer (Lisa)"/>
    <s v="Revenues &amp; Benefits"/>
    <m/>
    <s v="Finance and Treasury Management"/>
    <x v="1"/>
  </r>
  <r>
    <s v="Steve Woods"/>
    <s v="FTM03a"/>
    <s v="Continue to Maximise Income Through Effective Collection Processes "/>
    <x v="113"/>
    <d v="2024-03-01T00:00:00"/>
    <n v="2577027.66"/>
    <s v="£2.5M"/>
    <s v="On Track to be Achieved"/>
    <s v="Slightly above the target for the year"/>
    <m/>
    <m/>
    <m/>
    <m/>
    <m/>
    <m/>
    <m/>
    <m/>
    <m/>
    <m/>
    <m/>
    <m/>
    <m/>
    <m/>
    <m/>
    <s v="Chief Financial S151 Officer (Lisa)"/>
    <s v="Revenues &amp; Benefits"/>
    <m/>
    <s v="Finance and Treasury Management"/>
    <x v="1"/>
  </r>
  <r>
    <s v="Steve Woods"/>
    <s v="FTM03b"/>
    <s v="Continue to Maximise Income Through Effective Collection Processes "/>
    <x v="114"/>
    <d v="2024-03-01T00:00:00"/>
    <n v="2297592.2799999998"/>
    <s v="£1.5M"/>
    <s v="On Track to be Achieved"/>
    <s v="The arrears level for one quarter of the year takes into account debits raised during the current year relating to last years charges"/>
    <m/>
    <m/>
    <m/>
    <m/>
    <m/>
    <m/>
    <m/>
    <m/>
    <m/>
    <m/>
    <m/>
    <m/>
    <m/>
    <m/>
    <m/>
    <s v="Chief Financial S151 Officer (Lisa)"/>
    <s v="Revenues &amp; Benefits"/>
    <m/>
    <s v="Finance and Treasury Management"/>
    <x v="1"/>
  </r>
  <r>
    <s v="Steve Woods"/>
    <s v="FTM03c"/>
    <s v="Continue to Maximise Income Through Effective Collection Processes "/>
    <x v="115"/>
    <d v="2024-03-01T00:00:00"/>
    <s v="Nil"/>
    <s v="£80K"/>
    <s v="Not Yet Due"/>
    <s v="Data will start to be added from QTR 2"/>
    <m/>
    <m/>
    <m/>
    <m/>
    <m/>
    <m/>
    <m/>
    <m/>
    <m/>
    <m/>
    <m/>
    <m/>
    <m/>
    <m/>
    <m/>
    <s v="Chief Financial S151 Officer (Lisa)"/>
    <s v="Revenues &amp; Benefits"/>
    <m/>
    <s v="Finance and Treasury Management"/>
    <x v="1"/>
  </r>
  <r>
    <s v="Steve Woods"/>
    <s v="FTM04a"/>
    <s v="Working Towards the Reduction of Claimant Error Housing Benefit Overpayments (HBOPs)"/>
    <x v="116"/>
    <d v="2024-03-01T00:00:00"/>
    <m/>
    <m/>
    <s v="Update Not Provided"/>
    <m/>
    <m/>
    <m/>
    <m/>
    <m/>
    <m/>
    <m/>
    <m/>
    <m/>
    <m/>
    <m/>
    <m/>
    <m/>
    <m/>
    <m/>
    <m/>
    <s v="Chief Financial S151 Officer (Lisa)"/>
    <s v="Revenues &amp; Benefits"/>
    <m/>
    <s v="Finance and Treasury Management"/>
    <x v="1"/>
  </r>
  <r>
    <s v="Steve Woods"/>
    <s v="FTM04b"/>
    <s v="Working Towards the Reduction of Claimant Error Housing Benefit Overpayments (HBOPs)"/>
    <x v="117"/>
    <d v="2024-03-01T00:00:00"/>
    <n v="0.85"/>
    <n v="0.9"/>
    <s v="On Track to be Achieved"/>
    <s v="On track"/>
    <m/>
    <m/>
    <m/>
    <m/>
    <m/>
    <m/>
    <m/>
    <m/>
    <m/>
    <m/>
    <m/>
    <m/>
    <m/>
    <m/>
    <m/>
    <s v="Chief Financial S151 Officer (Lisa)"/>
    <s v="Revenues &amp; Benefits"/>
    <m/>
    <s v="Finance and Treasury Management"/>
    <x v="1"/>
  </r>
  <r>
    <s v="Steve Woods"/>
    <s v="FTM04c"/>
    <s v="Working Towards the Reduction of Claimant Error Housing Benefit Overpayments (HBOPs)"/>
    <x v="118"/>
    <d v="2024-03-01T00:00:00"/>
    <n v="0.33"/>
    <n v="0.5"/>
    <s v="On Track to be Achieved"/>
    <s v="The target will be reviewed with Chief Officer"/>
    <m/>
    <m/>
    <m/>
    <m/>
    <m/>
    <m/>
    <m/>
    <m/>
    <m/>
    <m/>
    <m/>
    <m/>
    <m/>
    <m/>
    <m/>
    <s v="Chief Financial S151 Officer (Lisa)"/>
    <s v="Revenues &amp; Benefits"/>
    <m/>
    <s v="Finance and Treasury Management"/>
    <x v="1"/>
  </r>
  <r>
    <s v="Steve Woods"/>
    <s v="FTM05a"/>
    <s v="Continue to Maximise Income Through Effective Collection Processes _x000a_(Previously BV 9) "/>
    <x v="119"/>
    <d v="2024-03-01T00:00:00"/>
    <s v="29.27% against a target of 30%"/>
    <n v="0.98"/>
    <s v="On Track to be Achieved"/>
    <s v="The collection figures are on par with previous year"/>
    <m/>
    <m/>
    <m/>
    <m/>
    <m/>
    <m/>
    <m/>
    <m/>
    <m/>
    <m/>
    <m/>
    <m/>
    <m/>
    <m/>
    <m/>
    <s v="Chief Financial S151 Officer (Lisa)"/>
    <s v="Revenues &amp; Benefits"/>
    <m/>
    <s v="Finance and Treasury Management"/>
    <x v="1"/>
  </r>
  <r>
    <s v="Steve Woods"/>
    <s v="FTM05b"/>
    <s v="Continue to Maximise Income Through Effective Collection Processes _x000a_(Previously BV 10) "/>
    <x v="120"/>
    <d v="2024-03-01T00:00:00"/>
    <s v="35.17%, which is 2.17% above target"/>
    <n v="0.99"/>
    <s v="On Track to be Achieved"/>
    <s v="We currently have a better collection rate compared to last year"/>
    <m/>
    <m/>
    <m/>
    <m/>
    <m/>
    <m/>
    <m/>
    <m/>
    <m/>
    <m/>
    <m/>
    <m/>
    <m/>
    <m/>
    <m/>
    <s v="Chief Financial S151 Officer (Lisa)"/>
    <s v="Revenues &amp; Benefits"/>
    <m/>
    <s v="Finance and Treasury Management"/>
    <x v="1"/>
  </r>
  <r>
    <s v="Anya Murray"/>
    <s v="FTM06"/>
    <s v="Improving Financial Stewardship"/>
    <x v="121"/>
    <d v="2024-02-01T00:00:00"/>
    <m/>
    <m/>
    <s v="Not Yet Due"/>
    <m/>
    <m/>
    <m/>
    <m/>
    <m/>
    <m/>
    <m/>
    <m/>
    <m/>
    <m/>
    <m/>
    <m/>
    <m/>
    <m/>
    <m/>
    <m/>
    <s v="Chief Financial S151 Officer (Lisa)"/>
    <s v="Finance"/>
    <m/>
    <s v="Finance and Treasury Management"/>
    <x v="1"/>
  </r>
  <r>
    <s v="Lisa Turner"/>
    <s v="FTM07"/>
    <s v="Improving Financial Stewardship"/>
    <x v="122"/>
    <d v="2024-02-01T00:00:00"/>
    <s v="Initial discussions with Cabinet Member in relation to timescales"/>
    <m/>
    <s v="Not Yet Due"/>
    <m/>
    <m/>
    <m/>
    <m/>
    <m/>
    <m/>
    <m/>
    <m/>
    <m/>
    <m/>
    <m/>
    <m/>
    <m/>
    <m/>
    <m/>
    <m/>
    <s v="Chief Financial S151 Officer (Lisa)"/>
    <s v="Finance"/>
    <m/>
    <s v="Finance and Treasury Management"/>
    <x v="1"/>
  </r>
  <r>
    <s v="Lisa Turner"/>
    <s v="FTM08"/>
    <s v="Improving Financial Stewardship"/>
    <x v="123"/>
    <d v="2024-03-01T00:00:00"/>
    <m/>
    <m/>
    <s v="Not Yet Due"/>
    <m/>
    <m/>
    <m/>
    <m/>
    <m/>
    <m/>
    <m/>
    <m/>
    <m/>
    <m/>
    <m/>
    <m/>
    <m/>
    <m/>
    <m/>
    <m/>
    <s v="Chief Financial S151 Officer (Lisa)"/>
    <s v="Finance"/>
    <m/>
    <s v="Finance and Treasury Management"/>
    <x v="1"/>
  </r>
  <r>
    <s v="James Abbott"/>
    <s v="LDR01"/>
    <s v="Further Enhancing Corporate Communications"/>
    <x v="124"/>
    <d v="2024-03-01T00:00:00"/>
    <s v="Subscriptions are open for the newsletter with 1300 already subscribed. First newsletter is intended to be issued in August 2023"/>
    <m/>
    <s v="On Track to be Achieved"/>
    <m/>
    <m/>
    <m/>
    <m/>
    <m/>
    <m/>
    <m/>
    <m/>
    <m/>
    <m/>
    <m/>
    <m/>
    <m/>
    <m/>
    <m/>
    <m/>
    <s v="Corporate &amp; Environment Services (Mark)"/>
    <s v="Corporate &amp; Commercial"/>
    <m/>
    <s v="Leader"/>
    <x v="1"/>
  </r>
  <r>
    <s v="James Abbott"/>
    <s v="LDR02"/>
    <s v="Enhancing Procurement and Contract Management Processes"/>
    <x v="125"/>
    <d v="2023-11-01T00:00:00"/>
    <s v="Initial analysis underway"/>
    <m/>
    <s v="On Track to be Achieved"/>
    <m/>
    <m/>
    <m/>
    <m/>
    <m/>
    <m/>
    <m/>
    <m/>
    <m/>
    <m/>
    <m/>
    <m/>
    <m/>
    <m/>
    <m/>
    <m/>
    <s v="Corporate &amp; Environment Services (Mark)"/>
    <s v="Corporate &amp; Commercial"/>
    <m/>
    <s v="Leader"/>
    <x v="1"/>
  </r>
  <r>
    <s v="Linda McDonald"/>
    <s v="LDR03"/>
    <s v="Increasing Staffing Availability Through Reduced Sickness"/>
    <x v="126"/>
    <s v="Annual"/>
    <s v="0.75 days"/>
    <s v="3.5 days"/>
    <s v="On Track to be Achieved"/>
    <m/>
    <m/>
    <m/>
    <m/>
    <m/>
    <m/>
    <m/>
    <m/>
    <m/>
    <m/>
    <m/>
    <m/>
    <m/>
    <m/>
    <m/>
    <m/>
    <s v="CEO Andy O'Brien"/>
    <s v="HR"/>
    <m/>
    <s v="Leader"/>
    <x v="1"/>
  </r>
  <r>
    <s v="Linda McDonald"/>
    <s v="LDR04"/>
    <s v="Improve On The Average Time To Pay Creditors"/>
    <x v="127"/>
    <d v="2024-03-01T00:00:00"/>
    <m/>
    <m/>
    <s v="Not Yet Due"/>
    <m/>
    <m/>
    <m/>
    <m/>
    <m/>
    <m/>
    <m/>
    <m/>
    <m/>
    <m/>
    <m/>
    <m/>
    <m/>
    <m/>
    <m/>
    <m/>
    <s v="CEO Andy O'Brien"/>
    <s v="HR"/>
    <m/>
    <s v="Leader"/>
    <x v="1"/>
  </r>
  <r>
    <s v="James Abbott"/>
    <s v="LDR05"/>
    <s v="Further Digital Enhancements"/>
    <x v="128"/>
    <d v="2023-04-01T00:00:00"/>
    <s v="Intranet was implemented in April 2023 in line with the target, with the new cohort of Members utilising this following the 2023 Borough elections."/>
    <m/>
    <s v="Fully Achieved"/>
    <m/>
    <m/>
    <m/>
    <m/>
    <m/>
    <m/>
    <m/>
    <m/>
    <m/>
    <m/>
    <m/>
    <m/>
    <m/>
    <m/>
    <m/>
    <m/>
    <s v="Corporate &amp; Environment Services (Mark)"/>
    <s v="Corporate &amp; Commercial"/>
    <m/>
    <s v="Leader"/>
    <x v="1"/>
  </r>
  <r>
    <s v="James Abbott"/>
    <s v="LDR06"/>
    <s v="Successfully deliver local elections  "/>
    <x v="129"/>
    <d v="2023-05-01T00:00:00"/>
    <s v="Elections were successfully delivered in May 2023, including the new requirements of the Elections Bill"/>
    <m/>
    <s v="Fully Achieved"/>
    <m/>
    <m/>
    <m/>
    <m/>
    <m/>
    <m/>
    <m/>
    <m/>
    <m/>
    <m/>
    <m/>
    <m/>
    <m/>
    <m/>
    <m/>
    <m/>
    <s v="Corporate &amp; Environment Services (Mark)"/>
    <s v="Corporate &amp; Commercial"/>
    <m/>
    <s v="Leader"/>
    <x v="1"/>
  </r>
  <r>
    <s v="Linda McDonald"/>
    <s v="LDR07"/>
    <s v="Refresh Member Training"/>
    <x v="130"/>
    <s v=" October 2023"/>
    <m/>
    <m/>
    <s v="Not Yet Due"/>
    <m/>
    <m/>
    <m/>
    <m/>
    <m/>
    <m/>
    <m/>
    <m/>
    <m/>
    <m/>
    <m/>
    <m/>
    <m/>
    <m/>
    <m/>
    <m/>
    <s v="CEO Andy O'Brien"/>
    <s v="HR"/>
    <m/>
    <s v="Leader"/>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8" firstHeaderRow="1" firstDataRow="1" firstDataCol="1"/>
  <pivotFields count="29">
    <pivotField showAll="0"/>
    <pivotField showAll="0"/>
    <pivotField showAll="0"/>
    <pivotField dataField="1" showAll="0">
      <items count="132">
        <item x="117"/>
        <item x="118"/>
        <item x="116"/>
        <item x="109"/>
        <item x="108"/>
        <item x="35"/>
        <item x="100"/>
        <item x="95"/>
        <item x="44"/>
        <item x="15"/>
        <item x="122"/>
        <item x="121"/>
        <item x="81"/>
        <item x="47"/>
        <item x="129"/>
        <item x="4"/>
        <item x="73"/>
        <item x="119"/>
        <item x="120"/>
        <item x="40"/>
        <item x="97"/>
        <item x="80"/>
        <item x="38"/>
        <item x="110"/>
        <item x="83"/>
        <item x="111"/>
        <item x="28"/>
        <item x="99"/>
        <item x="69"/>
        <item x="107"/>
        <item x="101"/>
        <item x="76"/>
        <item x="84"/>
        <item x="93"/>
        <item x="103"/>
        <item x="125"/>
        <item x="37"/>
        <item x="123"/>
        <item x="82"/>
        <item x="41"/>
        <item x="50"/>
        <item x="79"/>
        <item x="55"/>
        <item x="57"/>
        <item x="63"/>
        <item x="85"/>
        <item x="78"/>
        <item x="128"/>
        <item x="52"/>
        <item x="27"/>
        <item x="98"/>
        <item x="25"/>
        <item x="24"/>
        <item x="65"/>
        <item x="113"/>
        <item x="114"/>
        <item x="115"/>
        <item x="67"/>
        <item x="64"/>
        <item x="1"/>
        <item x="0"/>
        <item x="72"/>
        <item x="17"/>
        <item x="127"/>
        <item x="49"/>
        <item x="12"/>
        <item x="18"/>
        <item x="19"/>
        <item x="60"/>
        <item x="5"/>
        <item x="124"/>
        <item x="34"/>
        <item x="26"/>
        <item x="54"/>
        <item x="77"/>
        <item x="102"/>
        <item x="92"/>
        <item x="62"/>
        <item x="2"/>
        <item x="48"/>
        <item x="66"/>
        <item x="74"/>
        <item x="46"/>
        <item x="70"/>
        <item x="51"/>
        <item x="11"/>
        <item x="45"/>
        <item x="10"/>
        <item x="21"/>
        <item x="20"/>
        <item x="61"/>
        <item x="59"/>
        <item x="42"/>
        <item x="88"/>
        <item x="68"/>
        <item x="14"/>
        <item x="71"/>
        <item x="7"/>
        <item x="13"/>
        <item x="9"/>
        <item x="39"/>
        <item x="36"/>
        <item x="130"/>
        <item x="86"/>
        <item x="106"/>
        <item x="3"/>
        <item x="126"/>
        <item x="96"/>
        <item x="56"/>
        <item x="90"/>
        <item x="8"/>
        <item x="112"/>
        <item x="104"/>
        <item x="105"/>
        <item x="91"/>
        <item x="43"/>
        <item x="75"/>
        <item x="58"/>
        <item x="87"/>
        <item x="32"/>
        <item x="6"/>
        <item x="30"/>
        <item x="29"/>
        <item x="31"/>
        <item x="53"/>
        <item x="22"/>
        <item x="89"/>
        <item x="33"/>
        <item x="16"/>
        <item x="23"/>
        <item x="9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3"/>
        <item x="2"/>
        <item x="0"/>
        <item x="1"/>
        <item t="default"/>
      </items>
    </pivotField>
  </pivotFields>
  <rowFields count="1">
    <field x="28"/>
  </rowFields>
  <rowItems count="5">
    <i>
      <x/>
    </i>
    <i>
      <x v="1"/>
    </i>
    <i>
      <x v="2"/>
    </i>
    <i>
      <x v="3"/>
    </i>
    <i t="grand">
      <x/>
    </i>
  </rowItems>
  <colItems count="1">
    <i/>
  </colItems>
  <dataFields count="1">
    <dataField name="Count of Target 2023-24"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iscovereaststaffordshire.com/tourism-development-grant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79"/>
  <sheetViews>
    <sheetView zoomScale="60" zoomScaleNormal="60" workbookViewId="0">
      <pane xSplit="5" ySplit="2" topLeftCell="F96" activePane="bottomRight" state="frozen"/>
      <selection pane="topRight" activeCell="F1" sqref="F1"/>
      <selection pane="bottomLeft" activeCell="A3" sqref="A3"/>
      <selection pane="bottomRight" activeCell="F100" sqref="F100"/>
    </sheetView>
  </sheetViews>
  <sheetFormatPr defaultColWidth="9.33203125" defaultRowHeight="97.95" customHeight="1"/>
  <cols>
    <col min="1" max="1" width="20.44140625" style="264" customWidth="1"/>
    <col min="2" max="2" width="14.6640625" style="230" customWidth="1"/>
    <col min="3" max="3" width="49.5546875" style="229" customWidth="1"/>
    <col min="4" max="4" width="50" style="229" customWidth="1"/>
    <col min="5" max="5" width="19.44140625" style="240" customWidth="1"/>
    <col min="6" max="6" width="51.33203125" style="286" customWidth="1"/>
    <col min="7" max="7" width="18.5546875" style="286" customWidth="1"/>
    <col min="8" max="8" width="18.5546875" style="287" customWidth="1"/>
    <col min="9" max="9" width="49" style="239" customWidth="1"/>
    <col min="10" max="10" width="56.33203125" style="239" hidden="1" customWidth="1"/>
    <col min="11" max="12" width="18.44140625" style="239" hidden="1" customWidth="1"/>
    <col min="13" max="13" width="18.5546875" style="239" hidden="1" customWidth="1"/>
    <col min="14" max="14" width="38.44140625" style="239" hidden="1" customWidth="1"/>
    <col min="15" max="15" width="57.6640625" style="239" hidden="1" customWidth="1"/>
    <col min="16" max="16" width="18.44140625" style="239" hidden="1" customWidth="1"/>
    <col min="17" max="18" width="18.5546875" style="239" hidden="1" customWidth="1"/>
    <col min="19" max="19" width="32.6640625" style="239" hidden="1" customWidth="1"/>
    <col min="20" max="20" width="62.6640625" style="239" hidden="1" customWidth="1"/>
    <col min="21" max="22" width="18.5546875" style="239" hidden="1" customWidth="1"/>
    <col min="23" max="23" width="49.33203125" style="239" hidden="1" customWidth="1"/>
    <col min="24" max="24" width="8.33203125" style="230" customWidth="1"/>
    <col min="25" max="25" width="19.5546875" style="229" customWidth="1"/>
    <col min="26" max="27" width="20.44140625" style="264" customWidth="1"/>
    <col min="28" max="28" width="19.5546875" style="229" customWidth="1"/>
    <col min="29" max="35" width="19.5546875" style="239" hidden="1" customWidth="1"/>
    <col min="36" max="36" width="14.6640625" style="287" customWidth="1"/>
    <col min="37" max="16384" width="9.33203125" style="314"/>
  </cols>
  <sheetData>
    <row r="1" spans="1:36" s="309" customFormat="1" ht="33.6" customHeight="1">
      <c r="A1" s="267"/>
      <c r="B1" s="267" t="s">
        <v>126</v>
      </c>
      <c r="C1" s="268"/>
      <c r="D1" s="268"/>
      <c r="E1" s="269"/>
      <c r="F1" s="357" t="s">
        <v>127</v>
      </c>
      <c r="G1" s="357"/>
      <c r="H1" s="357"/>
      <c r="I1" s="357"/>
      <c r="J1" s="358" t="s">
        <v>83</v>
      </c>
      <c r="K1" s="358"/>
      <c r="L1" s="358"/>
      <c r="M1" s="358"/>
      <c r="N1" s="358"/>
      <c r="O1" s="358" t="s">
        <v>85</v>
      </c>
      <c r="P1" s="358"/>
      <c r="Q1" s="358"/>
      <c r="R1" s="358"/>
      <c r="S1" s="358"/>
      <c r="T1" s="358" t="s">
        <v>87</v>
      </c>
      <c r="U1" s="358"/>
      <c r="V1" s="358"/>
      <c r="W1" s="358"/>
      <c r="X1" s="270"/>
      <c r="Y1" s="268"/>
      <c r="Z1" s="271"/>
      <c r="AA1" s="271"/>
      <c r="AB1" s="268"/>
      <c r="AC1" s="359" t="s">
        <v>436</v>
      </c>
      <c r="AD1" s="360"/>
      <c r="AE1" s="361"/>
      <c r="AF1" s="354" t="s">
        <v>436</v>
      </c>
      <c r="AG1" s="355"/>
      <c r="AH1" s="355"/>
      <c r="AI1" s="356"/>
      <c r="AJ1" s="308"/>
    </row>
    <row r="2" spans="1:36" s="311" customFormat="1" ht="61.95" customHeight="1" thickBot="1">
      <c r="A2" s="262" t="s">
        <v>17</v>
      </c>
      <c r="B2" s="260" t="s">
        <v>116</v>
      </c>
      <c r="C2" s="260" t="s">
        <v>216</v>
      </c>
      <c r="D2" s="260" t="s">
        <v>128</v>
      </c>
      <c r="E2" s="261" t="s">
        <v>18</v>
      </c>
      <c r="F2" s="307" t="s">
        <v>508</v>
      </c>
      <c r="G2" s="307" t="s">
        <v>119</v>
      </c>
      <c r="H2" s="307" t="s">
        <v>19</v>
      </c>
      <c r="I2" s="307" t="s">
        <v>20</v>
      </c>
      <c r="J2" s="274" t="s">
        <v>82</v>
      </c>
      <c r="K2" s="274" t="s">
        <v>120</v>
      </c>
      <c r="L2" s="274" t="s">
        <v>121</v>
      </c>
      <c r="M2" s="274" t="s">
        <v>36</v>
      </c>
      <c r="N2" s="274" t="s">
        <v>37</v>
      </c>
      <c r="O2" s="274" t="s">
        <v>84</v>
      </c>
      <c r="P2" s="274" t="s">
        <v>122</v>
      </c>
      <c r="Q2" s="274" t="s">
        <v>123</v>
      </c>
      <c r="R2" s="274" t="s">
        <v>38</v>
      </c>
      <c r="S2" s="274" t="s">
        <v>39</v>
      </c>
      <c r="T2" s="274" t="s">
        <v>86</v>
      </c>
      <c r="U2" s="274" t="s">
        <v>124</v>
      </c>
      <c r="V2" s="274" t="s">
        <v>79</v>
      </c>
      <c r="W2" s="274" t="s">
        <v>40</v>
      </c>
      <c r="X2" s="231" t="s">
        <v>11</v>
      </c>
      <c r="Y2" s="262" t="s">
        <v>10</v>
      </c>
      <c r="Z2" s="262" t="s">
        <v>16</v>
      </c>
      <c r="AA2" s="262" t="s">
        <v>62</v>
      </c>
      <c r="AB2" s="261" t="s">
        <v>9</v>
      </c>
      <c r="AC2" s="345"/>
      <c r="AD2" s="346" t="s">
        <v>610</v>
      </c>
      <c r="AE2" s="346"/>
      <c r="AF2" s="353" t="s">
        <v>616</v>
      </c>
      <c r="AG2" s="353" t="s">
        <v>595</v>
      </c>
      <c r="AH2" s="353" t="s">
        <v>212</v>
      </c>
      <c r="AI2" s="353" t="s">
        <v>487</v>
      </c>
      <c r="AJ2" s="310" t="s">
        <v>125</v>
      </c>
    </row>
    <row r="3" spans="1:36" ht="73.2" customHeight="1" thickBot="1">
      <c r="A3" s="263" t="s">
        <v>211</v>
      </c>
      <c r="B3" s="303" t="s">
        <v>217</v>
      </c>
      <c r="C3" s="276" t="s">
        <v>218</v>
      </c>
      <c r="D3" s="291" t="s">
        <v>219</v>
      </c>
      <c r="E3" s="278">
        <v>45352</v>
      </c>
      <c r="F3" s="279" t="s">
        <v>528</v>
      </c>
      <c r="G3" s="279"/>
      <c r="H3" s="253" t="s">
        <v>31</v>
      </c>
      <c r="I3" s="237"/>
      <c r="J3" s="244"/>
      <c r="K3" s="244"/>
      <c r="L3" s="245"/>
      <c r="M3" s="253"/>
      <c r="N3" s="237"/>
      <c r="O3" s="312"/>
      <c r="P3" s="312"/>
      <c r="Q3" s="313"/>
      <c r="R3" s="253"/>
      <c r="S3" s="237"/>
      <c r="T3" s="244"/>
      <c r="U3" s="245"/>
      <c r="V3" s="243"/>
      <c r="W3" s="237"/>
      <c r="X3" s="233"/>
      <c r="Y3" s="263" t="s">
        <v>394</v>
      </c>
      <c r="Z3" s="263" t="s">
        <v>395</v>
      </c>
      <c r="AA3" s="263" t="s">
        <v>421</v>
      </c>
      <c r="AB3" s="292" t="s">
        <v>212</v>
      </c>
      <c r="AC3" s="347" t="s">
        <v>212</v>
      </c>
      <c r="AD3" s="347" t="s">
        <v>487</v>
      </c>
      <c r="AE3" s="347"/>
      <c r="AF3" s="352"/>
      <c r="AG3" s="352"/>
      <c r="AH3" s="352" t="s">
        <v>617</v>
      </c>
      <c r="AI3" s="352" t="s">
        <v>617</v>
      </c>
      <c r="AJ3" s="314">
        <v>1</v>
      </c>
    </row>
    <row r="4" spans="1:36" ht="73.2" customHeight="1" thickBot="1">
      <c r="A4" s="263" t="s">
        <v>108</v>
      </c>
      <c r="B4" s="303" t="s">
        <v>220</v>
      </c>
      <c r="C4" s="276" t="s">
        <v>218</v>
      </c>
      <c r="D4" s="291" t="s">
        <v>221</v>
      </c>
      <c r="E4" s="293">
        <v>45170</v>
      </c>
      <c r="F4" s="279"/>
      <c r="G4" s="279"/>
      <c r="H4" s="253" t="s">
        <v>35</v>
      </c>
      <c r="I4" s="237"/>
      <c r="J4" s="244"/>
      <c r="K4" s="244"/>
      <c r="L4" s="245"/>
      <c r="M4" s="253"/>
      <c r="N4" s="237"/>
      <c r="O4" s="312"/>
      <c r="P4" s="312"/>
      <c r="Q4" s="313"/>
      <c r="R4" s="253"/>
      <c r="S4" s="237"/>
      <c r="T4" s="244"/>
      <c r="U4" s="245"/>
      <c r="V4" s="243"/>
      <c r="W4" s="237"/>
      <c r="X4" s="233"/>
      <c r="Y4" s="263" t="s">
        <v>396</v>
      </c>
      <c r="Z4" s="263" t="s">
        <v>397</v>
      </c>
      <c r="AA4" s="263" t="s">
        <v>421</v>
      </c>
      <c r="AB4" s="294" t="s">
        <v>434</v>
      </c>
      <c r="AC4" s="347" t="s">
        <v>487</v>
      </c>
      <c r="AD4" s="347"/>
      <c r="AE4" s="347"/>
      <c r="AF4" s="352"/>
      <c r="AG4" s="352"/>
      <c r="AH4" s="352"/>
      <c r="AI4" s="352" t="s">
        <v>617</v>
      </c>
      <c r="AJ4" s="314">
        <v>2</v>
      </c>
    </row>
    <row r="5" spans="1:36" ht="73.2" customHeight="1" thickBot="1">
      <c r="A5" s="263" t="s">
        <v>108</v>
      </c>
      <c r="B5" s="303" t="s">
        <v>222</v>
      </c>
      <c r="C5" s="276" t="s">
        <v>218</v>
      </c>
      <c r="D5" s="291" t="s">
        <v>223</v>
      </c>
      <c r="E5" s="293">
        <v>45170</v>
      </c>
      <c r="F5" s="279" t="s">
        <v>567</v>
      </c>
      <c r="G5" s="279"/>
      <c r="H5" s="253" t="s">
        <v>31</v>
      </c>
      <c r="I5" s="237"/>
      <c r="J5" s="279"/>
      <c r="K5" s="244"/>
      <c r="L5" s="245"/>
      <c r="M5" s="253"/>
      <c r="N5" s="237"/>
      <c r="O5" s="312"/>
      <c r="P5" s="312"/>
      <c r="Q5" s="313"/>
      <c r="R5" s="253"/>
      <c r="S5" s="237"/>
      <c r="T5" s="244"/>
      <c r="U5" s="245"/>
      <c r="V5" s="243"/>
      <c r="W5" s="237"/>
      <c r="X5" s="232"/>
      <c r="Y5" s="263" t="s">
        <v>396</v>
      </c>
      <c r="Z5" s="263" t="s">
        <v>397</v>
      </c>
      <c r="AA5" s="263" t="s">
        <v>421</v>
      </c>
      <c r="AB5" s="294" t="s">
        <v>434</v>
      </c>
      <c r="AC5" s="347" t="s">
        <v>487</v>
      </c>
      <c r="AD5" s="347"/>
      <c r="AE5" s="347"/>
      <c r="AF5" s="352"/>
      <c r="AG5" s="352"/>
      <c r="AH5" s="352"/>
      <c r="AI5" s="352" t="s">
        <v>617</v>
      </c>
      <c r="AJ5" s="314">
        <v>3</v>
      </c>
    </row>
    <row r="6" spans="1:36" ht="97.2" customHeight="1" thickBot="1">
      <c r="A6" s="263" t="s">
        <v>108</v>
      </c>
      <c r="B6" s="303" t="s">
        <v>224</v>
      </c>
      <c r="C6" s="276" t="s">
        <v>218</v>
      </c>
      <c r="D6" s="295" t="s">
        <v>225</v>
      </c>
      <c r="E6" s="278">
        <v>45108</v>
      </c>
      <c r="F6" s="279" t="s">
        <v>598</v>
      </c>
      <c r="G6" s="279"/>
      <c r="H6" s="253" t="s">
        <v>31</v>
      </c>
      <c r="I6" s="237"/>
      <c r="J6" s="241"/>
      <c r="K6" s="241"/>
      <c r="L6" s="242"/>
      <c r="M6" s="253"/>
      <c r="N6" s="238"/>
      <c r="O6" s="312"/>
      <c r="P6" s="312"/>
      <c r="Q6" s="313"/>
      <c r="R6" s="253"/>
      <c r="S6" s="238"/>
      <c r="T6" s="241"/>
      <c r="U6" s="242"/>
      <c r="V6" s="243"/>
      <c r="W6" s="238"/>
      <c r="X6" s="233"/>
      <c r="Y6" s="263" t="s">
        <v>398</v>
      </c>
      <c r="Z6" s="263" t="s">
        <v>397</v>
      </c>
      <c r="AA6" s="263" t="s">
        <v>421</v>
      </c>
      <c r="AB6" s="294" t="s">
        <v>434</v>
      </c>
      <c r="AC6" s="347" t="s">
        <v>487</v>
      </c>
      <c r="AD6" s="347"/>
      <c r="AE6" s="347"/>
      <c r="AF6" s="352"/>
      <c r="AG6" s="352"/>
      <c r="AH6" s="352"/>
      <c r="AI6" s="352" t="s">
        <v>617</v>
      </c>
      <c r="AJ6" s="314">
        <v>4</v>
      </c>
    </row>
    <row r="7" spans="1:36" ht="73.2" customHeight="1" thickBot="1">
      <c r="A7" s="263" t="s">
        <v>108</v>
      </c>
      <c r="B7" s="303" t="s">
        <v>226</v>
      </c>
      <c r="C7" s="276" t="s">
        <v>218</v>
      </c>
      <c r="D7" s="291" t="s">
        <v>227</v>
      </c>
      <c r="E7" s="278">
        <v>45200</v>
      </c>
      <c r="F7" s="279" t="s">
        <v>497</v>
      </c>
      <c r="G7" s="279"/>
      <c r="H7" s="253" t="s">
        <v>35</v>
      </c>
      <c r="I7" s="237"/>
      <c r="J7" s="241"/>
      <c r="K7" s="241"/>
      <c r="L7" s="242"/>
      <c r="M7" s="253"/>
      <c r="N7" s="238"/>
      <c r="O7" s="312"/>
      <c r="P7" s="312"/>
      <c r="Q7" s="313"/>
      <c r="R7" s="253"/>
      <c r="S7" s="238"/>
      <c r="T7" s="241"/>
      <c r="U7" s="242"/>
      <c r="V7" s="243"/>
      <c r="W7" s="238"/>
      <c r="X7" s="233"/>
      <c r="Y7" s="263" t="s">
        <v>399</v>
      </c>
      <c r="Z7" s="263" t="s">
        <v>397</v>
      </c>
      <c r="AA7" s="263" t="s">
        <v>421</v>
      </c>
      <c r="AB7" s="294" t="s">
        <v>434</v>
      </c>
      <c r="AC7" s="347" t="s">
        <v>487</v>
      </c>
      <c r="AD7" s="347"/>
      <c r="AE7" s="347"/>
      <c r="AF7" s="352"/>
      <c r="AG7" s="352"/>
      <c r="AH7" s="352"/>
      <c r="AI7" s="352" t="s">
        <v>617</v>
      </c>
      <c r="AJ7" s="314">
        <v>5</v>
      </c>
    </row>
    <row r="8" spans="1:36" ht="73.2" customHeight="1" thickBot="1">
      <c r="A8" s="263" t="s">
        <v>108</v>
      </c>
      <c r="B8" s="303" t="s">
        <v>228</v>
      </c>
      <c r="C8" s="276" t="s">
        <v>218</v>
      </c>
      <c r="D8" s="291" t="s">
        <v>480</v>
      </c>
      <c r="E8" s="293">
        <v>45352</v>
      </c>
      <c r="F8" s="279" t="s">
        <v>498</v>
      </c>
      <c r="G8" s="279"/>
      <c r="H8" s="253" t="s">
        <v>35</v>
      </c>
      <c r="I8" s="237"/>
      <c r="J8" s="241"/>
      <c r="K8" s="244"/>
      <c r="L8" s="245"/>
      <c r="M8" s="253"/>
      <c r="N8" s="238"/>
      <c r="O8" s="312"/>
      <c r="P8" s="312"/>
      <c r="Q8" s="313"/>
      <c r="R8" s="253"/>
      <c r="S8" s="238"/>
      <c r="T8" s="241"/>
      <c r="U8" s="242"/>
      <c r="V8" s="243"/>
      <c r="W8" s="238"/>
      <c r="X8" s="233"/>
      <c r="Y8" s="263" t="s">
        <v>396</v>
      </c>
      <c r="Z8" s="263" t="s">
        <v>397</v>
      </c>
      <c r="AA8" s="263" t="s">
        <v>421</v>
      </c>
      <c r="AB8" s="294" t="s">
        <v>434</v>
      </c>
      <c r="AC8" s="347" t="s">
        <v>487</v>
      </c>
      <c r="AD8" s="347"/>
      <c r="AE8" s="347"/>
      <c r="AF8" s="352"/>
      <c r="AG8" s="352"/>
      <c r="AH8" s="352"/>
      <c r="AI8" s="352" t="s">
        <v>617</v>
      </c>
      <c r="AJ8" s="314">
        <v>6</v>
      </c>
    </row>
    <row r="9" spans="1:36" ht="73.2" customHeight="1" thickBot="1">
      <c r="A9" s="263" t="s">
        <v>113</v>
      </c>
      <c r="B9" s="303" t="s">
        <v>229</v>
      </c>
      <c r="C9" s="276" t="s">
        <v>230</v>
      </c>
      <c r="D9" s="277" t="s">
        <v>231</v>
      </c>
      <c r="E9" s="278" t="s">
        <v>232</v>
      </c>
      <c r="F9" s="279" t="s">
        <v>556</v>
      </c>
      <c r="G9" s="279"/>
      <c r="H9" s="253" t="s">
        <v>31</v>
      </c>
      <c r="I9" s="237"/>
      <c r="J9" s="249"/>
      <c r="K9" s="244"/>
      <c r="L9" s="245"/>
      <c r="M9" s="253"/>
      <c r="N9" s="237"/>
      <c r="O9" s="312"/>
      <c r="P9" s="312"/>
      <c r="Q9" s="313"/>
      <c r="R9" s="253"/>
      <c r="S9" s="237"/>
      <c r="T9" s="249"/>
      <c r="U9" s="245"/>
      <c r="V9" s="243"/>
      <c r="W9" s="237"/>
      <c r="X9" s="232"/>
      <c r="Y9" s="263" t="s">
        <v>394</v>
      </c>
      <c r="Z9" s="263" t="s">
        <v>400</v>
      </c>
      <c r="AA9" s="263" t="s">
        <v>422</v>
      </c>
      <c r="AB9" s="296" t="s">
        <v>213</v>
      </c>
      <c r="AC9" s="347" t="s">
        <v>595</v>
      </c>
      <c r="AD9" s="347"/>
      <c r="AE9" s="347"/>
      <c r="AF9" s="352"/>
      <c r="AG9" s="352" t="s">
        <v>617</v>
      </c>
      <c r="AH9" s="352"/>
      <c r="AI9" s="352"/>
      <c r="AJ9" s="314">
        <v>7</v>
      </c>
    </row>
    <row r="10" spans="1:36" ht="73.2" customHeight="1" thickBot="1">
      <c r="A10" s="263" t="s">
        <v>113</v>
      </c>
      <c r="B10" s="303" t="s">
        <v>233</v>
      </c>
      <c r="C10" s="276" t="s">
        <v>230</v>
      </c>
      <c r="D10" s="277" t="s">
        <v>234</v>
      </c>
      <c r="E10" s="278">
        <v>45352</v>
      </c>
      <c r="F10" s="279" t="s">
        <v>596</v>
      </c>
      <c r="G10" s="279"/>
      <c r="H10" s="253" t="s">
        <v>31</v>
      </c>
      <c r="I10" s="245"/>
      <c r="J10" s="244"/>
      <c r="K10" s="245"/>
      <c r="L10" s="245"/>
      <c r="M10" s="253"/>
      <c r="N10" s="237"/>
      <c r="O10" s="312"/>
      <c r="P10" s="312"/>
      <c r="Q10" s="313"/>
      <c r="R10" s="253"/>
      <c r="S10" s="237"/>
      <c r="T10" s="244"/>
      <c r="U10" s="245"/>
      <c r="V10" s="243"/>
      <c r="W10" s="237"/>
      <c r="X10" s="233"/>
      <c r="Y10" s="263" t="s">
        <v>394</v>
      </c>
      <c r="Z10" s="263" t="s">
        <v>401</v>
      </c>
      <c r="AA10" s="263" t="s">
        <v>422</v>
      </c>
      <c r="AB10" s="296" t="s">
        <v>213</v>
      </c>
      <c r="AC10" s="347" t="s">
        <v>595</v>
      </c>
      <c r="AD10" s="347"/>
      <c r="AE10" s="347"/>
      <c r="AF10" s="352"/>
      <c r="AG10" s="352" t="s">
        <v>617</v>
      </c>
      <c r="AH10" s="352"/>
      <c r="AI10" s="352"/>
      <c r="AJ10" s="314">
        <v>8</v>
      </c>
    </row>
    <row r="11" spans="1:36" ht="73.2" customHeight="1" thickBot="1">
      <c r="A11" s="263" t="s">
        <v>113</v>
      </c>
      <c r="B11" s="303" t="s">
        <v>235</v>
      </c>
      <c r="C11" s="276" t="s">
        <v>230</v>
      </c>
      <c r="D11" s="277" t="s">
        <v>236</v>
      </c>
      <c r="E11" s="278" t="s">
        <v>237</v>
      </c>
      <c r="F11" s="279" t="s">
        <v>568</v>
      </c>
      <c r="G11" s="279"/>
      <c r="H11" s="253" t="s">
        <v>31</v>
      </c>
      <c r="I11" s="237" t="s">
        <v>569</v>
      </c>
      <c r="J11" s="242"/>
      <c r="K11" s="241"/>
      <c r="L11" s="242"/>
      <c r="M11" s="253"/>
      <c r="N11" s="238"/>
      <c r="O11" s="312"/>
      <c r="P11" s="312"/>
      <c r="Q11" s="313"/>
      <c r="R11" s="253"/>
      <c r="S11" s="238"/>
      <c r="T11" s="241"/>
      <c r="U11" s="242"/>
      <c r="V11" s="243"/>
      <c r="W11" s="238"/>
      <c r="X11" s="233"/>
      <c r="Y11" s="263" t="s">
        <v>394</v>
      </c>
      <c r="Z11" s="263" t="s">
        <v>400</v>
      </c>
      <c r="AA11" s="263" t="s">
        <v>422</v>
      </c>
      <c r="AB11" s="296" t="s">
        <v>213</v>
      </c>
      <c r="AC11" s="347" t="s">
        <v>595</v>
      </c>
      <c r="AD11" s="347"/>
      <c r="AE11" s="347"/>
      <c r="AF11" s="352"/>
      <c r="AG11" s="352" t="s">
        <v>617</v>
      </c>
      <c r="AH11" s="352"/>
      <c r="AI11" s="352"/>
      <c r="AJ11" s="314">
        <v>9</v>
      </c>
    </row>
    <row r="12" spans="1:36" ht="96" customHeight="1" thickBot="1">
      <c r="A12" s="263" t="s">
        <v>113</v>
      </c>
      <c r="B12" s="303" t="s">
        <v>238</v>
      </c>
      <c r="C12" s="276" t="s">
        <v>239</v>
      </c>
      <c r="D12" s="277" t="s">
        <v>240</v>
      </c>
      <c r="E12" s="278">
        <v>45170</v>
      </c>
      <c r="F12" s="279" t="s">
        <v>549</v>
      </c>
      <c r="G12" s="279"/>
      <c r="H12" s="253" t="s">
        <v>31</v>
      </c>
      <c r="I12" s="237" t="s">
        <v>550</v>
      </c>
      <c r="J12" s="241"/>
      <c r="K12" s="241"/>
      <c r="L12" s="242"/>
      <c r="M12" s="253"/>
      <c r="N12" s="238"/>
      <c r="O12" s="312"/>
      <c r="P12" s="312"/>
      <c r="Q12" s="313"/>
      <c r="R12" s="253"/>
      <c r="S12" s="238"/>
      <c r="T12" s="241"/>
      <c r="U12" s="242"/>
      <c r="V12" s="243"/>
      <c r="W12" s="238"/>
      <c r="X12" s="233"/>
      <c r="Y12" s="263" t="s">
        <v>394</v>
      </c>
      <c r="Z12" s="263" t="s">
        <v>400</v>
      </c>
      <c r="AA12" s="263" t="s">
        <v>422</v>
      </c>
      <c r="AB12" s="296" t="s">
        <v>213</v>
      </c>
      <c r="AC12" s="347" t="s">
        <v>595</v>
      </c>
      <c r="AD12" s="347" t="s">
        <v>212</v>
      </c>
      <c r="AE12" s="347" t="s">
        <v>487</v>
      </c>
      <c r="AF12" s="352"/>
      <c r="AG12" s="352" t="s">
        <v>617</v>
      </c>
      <c r="AH12" s="352" t="s">
        <v>617</v>
      </c>
      <c r="AI12" s="352"/>
      <c r="AJ12" s="314">
        <v>10</v>
      </c>
    </row>
    <row r="13" spans="1:36" ht="73.2" customHeight="1" thickBot="1">
      <c r="A13" s="263" t="s">
        <v>111</v>
      </c>
      <c r="B13" s="303" t="s">
        <v>241</v>
      </c>
      <c r="C13" s="276" t="s">
        <v>242</v>
      </c>
      <c r="D13" s="277" t="s">
        <v>243</v>
      </c>
      <c r="E13" s="278">
        <v>45352</v>
      </c>
      <c r="F13" s="279"/>
      <c r="G13" s="279"/>
      <c r="H13" s="253" t="s">
        <v>35</v>
      </c>
      <c r="I13" s="237"/>
      <c r="J13" s="244"/>
      <c r="K13" s="244"/>
      <c r="L13" s="245"/>
      <c r="M13" s="253"/>
      <c r="N13" s="237"/>
      <c r="O13" s="312"/>
      <c r="P13" s="312"/>
      <c r="Q13" s="313"/>
      <c r="R13" s="253"/>
      <c r="S13" s="237"/>
      <c r="T13" s="244"/>
      <c r="U13" s="245"/>
      <c r="V13" s="243"/>
      <c r="W13" s="237"/>
      <c r="X13" s="232"/>
      <c r="Y13" s="263" t="s">
        <v>402</v>
      </c>
      <c r="Z13" s="263" t="s">
        <v>403</v>
      </c>
      <c r="AA13" s="263" t="s">
        <v>422</v>
      </c>
      <c r="AB13" s="297" t="s">
        <v>117</v>
      </c>
      <c r="AC13" s="347" t="s">
        <v>487</v>
      </c>
      <c r="AD13" s="347" t="s">
        <v>212</v>
      </c>
      <c r="AE13" s="347"/>
      <c r="AF13" s="352"/>
      <c r="AG13" s="352"/>
      <c r="AH13" s="352" t="s">
        <v>617</v>
      </c>
      <c r="AI13" s="352" t="s">
        <v>617</v>
      </c>
      <c r="AJ13" s="314">
        <v>11</v>
      </c>
    </row>
    <row r="14" spans="1:36" ht="94.2" customHeight="1" thickBot="1">
      <c r="A14" s="263" t="s">
        <v>115</v>
      </c>
      <c r="B14" s="303" t="s">
        <v>476</v>
      </c>
      <c r="C14" s="276" t="s">
        <v>244</v>
      </c>
      <c r="D14" s="277" t="s">
        <v>479</v>
      </c>
      <c r="E14" s="278">
        <v>45200</v>
      </c>
      <c r="F14" s="279" t="s">
        <v>587</v>
      </c>
      <c r="G14" s="279"/>
      <c r="H14" s="253" t="s">
        <v>35</v>
      </c>
      <c r="I14" s="237"/>
      <c r="J14" s="244"/>
      <c r="K14" s="244"/>
      <c r="L14" s="245"/>
      <c r="M14" s="253"/>
      <c r="N14" s="237"/>
      <c r="O14" s="312"/>
      <c r="P14" s="312"/>
      <c r="Q14" s="313"/>
      <c r="R14" s="253"/>
      <c r="S14" s="237"/>
      <c r="T14" s="241"/>
      <c r="U14" s="242"/>
      <c r="V14" s="243"/>
      <c r="W14" s="238"/>
      <c r="X14" s="232"/>
      <c r="Y14" s="263" t="s">
        <v>404</v>
      </c>
      <c r="Z14" s="263" t="s">
        <v>405</v>
      </c>
      <c r="AA14" s="263" t="s">
        <v>422</v>
      </c>
      <c r="AB14" s="297" t="s">
        <v>117</v>
      </c>
      <c r="AC14" s="347" t="s">
        <v>212</v>
      </c>
      <c r="AD14" s="347" t="s">
        <v>487</v>
      </c>
      <c r="AE14" s="347"/>
      <c r="AF14" s="352"/>
      <c r="AG14" s="352"/>
      <c r="AH14" s="352" t="s">
        <v>617</v>
      </c>
      <c r="AI14" s="352"/>
      <c r="AJ14" s="314">
        <v>12</v>
      </c>
    </row>
    <row r="15" spans="1:36" ht="73.2" customHeight="1" thickBot="1">
      <c r="A15" s="263" t="s">
        <v>108</v>
      </c>
      <c r="B15" s="303" t="s">
        <v>477</v>
      </c>
      <c r="C15" s="276" t="s">
        <v>244</v>
      </c>
      <c r="D15" s="277" t="s">
        <v>478</v>
      </c>
      <c r="E15" s="278">
        <v>45200</v>
      </c>
      <c r="F15" s="279"/>
      <c r="G15" s="279"/>
      <c r="H15" s="253" t="s">
        <v>35</v>
      </c>
      <c r="I15" s="237"/>
      <c r="J15" s="244"/>
      <c r="K15" s="244"/>
      <c r="L15" s="245"/>
      <c r="M15" s="253"/>
      <c r="N15" s="237"/>
      <c r="O15" s="312"/>
      <c r="P15" s="312"/>
      <c r="Q15" s="313"/>
      <c r="R15" s="253"/>
      <c r="S15" s="237"/>
      <c r="T15" s="241"/>
      <c r="U15" s="242"/>
      <c r="V15" s="243"/>
      <c r="W15" s="238"/>
      <c r="X15" s="232"/>
      <c r="Y15" s="263" t="s">
        <v>404</v>
      </c>
      <c r="Z15" s="263" t="s">
        <v>493</v>
      </c>
      <c r="AA15" s="263" t="s">
        <v>422</v>
      </c>
      <c r="AB15" s="297" t="s">
        <v>117</v>
      </c>
      <c r="AC15" s="347" t="s">
        <v>212</v>
      </c>
      <c r="AD15" s="347"/>
      <c r="AE15" s="347"/>
      <c r="AF15" s="352"/>
      <c r="AG15" s="352"/>
      <c r="AH15" s="352" t="s">
        <v>617</v>
      </c>
      <c r="AI15" s="352"/>
      <c r="AJ15" s="314">
        <v>13</v>
      </c>
    </row>
    <row r="16" spans="1:36" ht="81.599999999999994" customHeight="1" thickBot="1">
      <c r="A16" s="263" t="s">
        <v>109</v>
      </c>
      <c r="B16" s="303" t="s">
        <v>245</v>
      </c>
      <c r="C16" s="276" t="s">
        <v>246</v>
      </c>
      <c r="D16" s="277" t="s">
        <v>247</v>
      </c>
      <c r="E16" s="278">
        <v>45261</v>
      </c>
      <c r="F16" s="279" t="s">
        <v>524</v>
      </c>
      <c r="G16" s="279"/>
      <c r="H16" s="253" t="s">
        <v>31</v>
      </c>
      <c r="I16" s="237"/>
      <c r="J16" s="244"/>
      <c r="K16" s="241"/>
      <c r="L16" s="242"/>
      <c r="M16" s="253"/>
      <c r="N16" s="238"/>
      <c r="O16" s="312"/>
      <c r="P16" s="312"/>
      <c r="Q16" s="313"/>
      <c r="R16" s="253"/>
      <c r="S16" s="238"/>
      <c r="T16" s="241"/>
      <c r="U16" s="242"/>
      <c r="V16" s="243"/>
      <c r="W16" s="238"/>
      <c r="X16" s="233"/>
      <c r="Y16" s="263" t="s">
        <v>394</v>
      </c>
      <c r="Z16" s="263" t="s">
        <v>406</v>
      </c>
      <c r="AA16" s="263" t="s">
        <v>422</v>
      </c>
      <c r="AB16" s="292" t="s">
        <v>212</v>
      </c>
      <c r="AC16" s="347" t="s">
        <v>212</v>
      </c>
      <c r="AD16" s="347"/>
      <c r="AE16" s="347"/>
      <c r="AF16" s="352"/>
      <c r="AG16" s="352"/>
      <c r="AH16" s="352" t="s">
        <v>617</v>
      </c>
      <c r="AI16" s="352"/>
      <c r="AJ16" s="314">
        <v>14</v>
      </c>
    </row>
    <row r="17" spans="1:36" ht="73.2" customHeight="1" thickBot="1">
      <c r="A17" s="263" t="s">
        <v>211</v>
      </c>
      <c r="B17" s="303" t="s">
        <v>248</v>
      </c>
      <c r="C17" s="276" t="s">
        <v>249</v>
      </c>
      <c r="D17" s="277" t="s">
        <v>250</v>
      </c>
      <c r="E17" s="278">
        <v>45108</v>
      </c>
      <c r="F17" s="279" t="s">
        <v>529</v>
      </c>
      <c r="G17" s="279"/>
      <c r="H17" s="253" t="s">
        <v>31</v>
      </c>
      <c r="I17" s="237"/>
      <c r="J17" s="244"/>
      <c r="K17" s="245"/>
      <c r="L17" s="245"/>
      <c r="M17" s="253"/>
      <c r="N17" s="238"/>
      <c r="O17" s="244"/>
      <c r="P17" s="312"/>
      <c r="Q17" s="313"/>
      <c r="R17" s="253"/>
      <c r="S17" s="237"/>
      <c r="T17" s="244"/>
      <c r="U17" s="245"/>
      <c r="V17" s="243"/>
      <c r="W17" s="237"/>
      <c r="X17" s="233"/>
      <c r="Y17" s="263" t="s">
        <v>394</v>
      </c>
      <c r="Z17" s="263" t="s">
        <v>395</v>
      </c>
      <c r="AA17" s="263" t="s">
        <v>422</v>
      </c>
      <c r="AB17" s="292" t="s">
        <v>212</v>
      </c>
      <c r="AC17" s="347" t="s">
        <v>212</v>
      </c>
      <c r="AD17" s="347"/>
      <c r="AE17" s="347"/>
      <c r="AF17" s="352"/>
      <c r="AG17" s="352"/>
      <c r="AH17" s="352" t="s">
        <v>617</v>
      </c>
      <c r="AI17" s="352"/>
      <c r="AJ17" s="314">
        <v>15</v>
      </c>
    </row>
    <row r="18" spans="1:36" ht="73.2" customHeight="1" thickBot="1">
      <c r="A18" s="263" t="s">
        <v>211</v>
      </c>
      <c r="B18" s="303" t="s">
        <v>251</v>
      </c>
      <c r="C18" s="276" t="s">
        <v>249</v>
      </c>
      <c r="D18" s="277" t="s">
        <v>252</v>
      </c>
      <c r="E18" s="278">
        <v>45170</v>
      </c>
      <c r="F18" s="279" t="s">
        <v>600</v>
      </c>
      <c r="G18" s="279"/>
      <c r="H18" s="253" t="s">
        <v>35</v>
      </c>
      <c r="I18" s="237"/>
      <c r="J18" s="315"/>
      <c r="K18" s="316"/>
      <c r="L18" s="315"/>
      <c r="M18" s="253"/>
      <c r="N18" s="238"/>
      <c r="O18" s="312"/>
      <c r="P18" s="312"/>
      <c r="Q18" s="313"/>
      <c r="R18" s="253"/>
      <c r="S18" s="238"/>
      <c r="T18" s="241"/>
      <c r="U18" s="242"/>
      <c r="V18" s="243"/>
      <c r="W18" s="238"/>
      <c r="X18" s="233"/>
      <c r="Y18" s="263" t="s">
        <v>394</v>
      </c>
      <c r="Z18" s="263" t="s">
        <v>395</v>
      </c>
      <c r="AA18" s="263" t="s">
        <v>422</v>
      </c>
      <c r="AB18" s="292" t="s">
        <v>212</v>
      </c>
      <c r="AC18" s="347" t="s">
        <v>212</v>
      </c>
      <c r="AD18" s="347"/>
      <c r="AE18" s="347"/>
      <c r="AF18" s="352"/>
      <c r="AG18" s="352"/>
      <c r="AH18" s="352" t="s">
        <v>617</v>
      </c>
      <c r="AI18" s="352"/>
      <c r="AJ18" s="314">
        <v>16</v>
      </c>
    </row>
    <row r="19" spans="1:36" ht="73.2" customHeight="1" thickBot="1">
      <c r="A19" s="263" t="s">
        <v>114</v>
      </c>
      <c r="B19" s="303" t="s">
        <v>253</v>
      </c>
      <c r="C19" s="276" t="s">
        <v>254</v>
      </c>
      <c r="D19" s="277" t="s">
        <v>255</v>
      </c>
      <c r="E19" s="278">
        <v>45200</v>
      </c>
      <c r="F19" s="279"/>
      <c r="G19" s="279"/>
      <c r="H19" s="253" t="s">
        <v>35</v>
      </c>
      <c r="I19" s="237"/>
      <c r="J19" s="245"/>
      <c r="K19" s="244"/>
      <c r="L19" s="245"/>
      <c r="M19" s="253"/>
      <c r="N19" s="237"/>
      <c r="O19" s="244"/>
      <c r="P19" s="312"/>
      <c r="Q19" s="313"/>
      <c r="R19" s="253"/>
      <c r="S19" s="237"/>
      <c r="T19" s="244"/>
      <c r="U19" s="245"/>
      <c r="V19" s="243"/>
      <c r="W19" s="237"/>
      <c r="X19" s="233"/>
      <c r="Y19" s="263" t="s">
        <v>407</v>
      </c>
      <c r="Z19" s="305" t="s">
        <v>408</v>
      </c>
      <c r="AA19" s="263" t="s">
        <v>422</v>
      </c>
      <c r="AB19" s="344" t="s">
        <v>434</v>
      </c>
      <c r="AC19" s="347" t="s">
        <v>212</v>
      </c>
      <c r="AD19" s="347"/>
      <c r="AE19" s="347"/>
      <c r="AF19" s="352"/>
      <c r="AG19" s="352"/>
      <c r="AH19" s="352" t="s">
        <v>617</v>
      </c>
      <c r="AI19" s="352"/>
      <c r="AJ19" s="314">
        <v>17</v>
      </c>
    </row>
    <row r="20" spans="1:36" ht="73.2" customHeight="1" thickBot="1">
      <c r="A20" s="263" t="s">
        <v>111</v>
      </c>
      <c r="B20" s="303" t="s">
        <v>256</v>
      </c>
      <c r="C20" s="276" t="s">
        <v>230</v>
      </c>
      <c r="D20" s="277" t="s">
        <v>257</v>
      </c>
      <c r="E20" s="278">
        <v>45352</v>
      </c>
      <c r="F20" s="279" t="s">
        <v>546</v>
      </c>
      <c r="G20" s="279"/>
      <c r="H20" s="253" t="s">
        <v>31</v>
      </c>
      <c r="I20" s="237"/>
      <c r="J20" s="272"/>
      <c r="K20" s="244"/>
      <c r="L20" s="245"/>
      <c r="M20" s="253"/>
      <c r="N20" s="237"/>
      <c r="O20" s="313"/>
      <c r="P20" s="312"/>
      <c r="Q20" s="313"/>
      <c r="R20" s="253"/>
      <c r="S20" s="237"/>
      <c r="T20" s="241"/>
      <c r="U20" s="272"/>
      <c r="V20" s="243"/>
      <c r="W20" s="237"/>
      <c r="X20" s="233"/>
      <c r="Y20" s="263" t="s">
        <v>398</v>
      </c>
      <c r="Z20" s="263" t="s">
        <v>403</v>
      </c>
      <c r="AA20" s="263" t="s">
        <v>423</v>
      </c>
      <c r="AB20" s="296" t="s">
        <v>213</v>
      </c>
      <c r="AC20" s="347" t="s">
        <v>488</v>
      </c>
      <c r="AD20" s="347" t="s">
        <v>595</v>
      </c>
      <c r="AE20" s="347"/>
      <c r="AF20" s="352" t="s">
        <v>617</v>
      </c>
      <c r="AG20" s="352" t="s">
        <v>617</v>
      </c>
      <c r="AH20" s="352"/>
      <c r="AI20" s="352"/>
      <c r="AJ20" s="314">
        <v>18</v>
      </c>
    </row>
    <row r="21" spans="1:36" ht="122.4" customHeight="1" thickBot="1">
      <c r="A21" s="263" t="s">
        <v>110</v>
      </c>
      <c r="B21" s="303" t="s">
        <v>258</v>
      </c>
      <c r="C21" s="276" t="s">
        <v>259</v>
      </c>
      <c r="D21" s="277" t="s">
        <v>260</v>
      </c>
      <c r="E21" s="293" t="s">
        <v>261</v>
      </c>
      <c r="F21" s="279" t="s">
        <v>518</v>
      </c>
      <c r="G21" s="279"/>
      <c r="H21" s="253" t="s">
        <v>31</v>
      </c>
      <c r="I21" s="237"/>
      <c r="J21" s="245"/>
      <c r="K21" s="244"/>
      <c r="L21" s="245"/>
      <c r="M21" s="253"/>
      <c r="N21" s="237"/>
      <c r="O21" s="313"/>
      <c r="P21" s="312"/>
      <c r="Q21" s="313"/>
      <c r="R21" s="253"/>
      <c r="S21" s="237"/>
      <c r="T21" s="244"/>
      <c r="U21" s="245"/>
      <c r="V21" s="243"/>
      <c r="W21" s="237"/>
      <c r="X21" s="233"/>
      <c r="Y21" s="263" t="s">
        <v>398</v>
      </c>
      <c r="Z21" s="263" t="s">
        <v>409</v>
      </c>
      <c r="AA21" s="263" t="s">
        <v>423</v>
      </c>
      <c r="AB21" s="296" t="s">
        <v>213</v>
      </c>
      <c r="AC21" s="347" t="s">
        <v>488</v>
      </c>
      <c r="AD21" s="347" t="s">
        <v>487</v>
      </c>
      <c r="AE21" s="347" t="s">
        <v>595</v>
      </c>
      <c r="AF21" s="352" t="s">
        <v>617</v>
      </c>
      <c r="AG21" s="352" t="s">
        <v>617</v>
      </c>
      <c r="AH21" s="352"/>
      <c r="AI21" s="352" t="s">
        <v>617</v>
      </c>
      <c r="AJ21" s="314">
        <v>19</v>
      </c>
    </row>
    <row r="22" spans="1:36" ht="73.2" customHeight="1" thickBot="1">
      <c r="A22" s="263" t="s">
        <v>110</v>
      </c>
      <c r="B22" s="303" t="s">
        <v>262</v>
      </c>
      <c r="C22" s="276" t="s">
        <v>259</v>
      </c>
      <c r="D22" s="277" t="s">
        <v>263</v>
      </c>
      <c r="E22" s="293" t="s">
        <v>261</v>
      </c>
      <c r="F22" s="279" t="s">
        <v>519</v>
      </c>
      <c r="G22" s="279"/>
      <c r="H22" s="253" t="s">
        <v>31</v>
      </c>
      <c r="I22" s="237"/>
      <c r="J22" s="245"/>
      <c r="K22" s="244"/>
      <c r="L22" s="245"/>
      <c r="M22" s="253"/>
      <c r="N22" s="237"/>
      <c r="O22" s="313"/>
      <c r="P22" s="312"/>
      <c r="Q22" s="313"/>
      <c r="R22" s="253"/>
      <c r="S22" s="237"/>
      <c r="T22" s="244"/>
      <c r="U22" s="245"/>
      <c r="V22" s="243"/>
      <c r="W22" s="237"/>
      <c r="X22" s="232"/>
      <c r="Y22" s="263" t="s">
        <v>398</v>
      </c>
      <c r="Z22" s="263" t="s">
        <v>409</v>
      </c>
      <c r="AA22" s="263" t="s">
        <v>423</v>
      </c>
      <c r="AB22" s="296" t="s">
        <v>213</v>
      </c>
      <c r="AC22" s="347" t="s">
        <v>488</v>
      </c>
      <c r="AD22" s="347" t="s">
        <v>595</v>
      </c>
      <c r="AE22" s="347"/>
      <c r="AF22" s="352" t="s">
        <v>617</v>
      </c>
      <c r="AG22" s="352" t="s">
        <v>617</v>
      </c>
      <c r="AH22" s="352"/>
      <c r="AI22" s="352"/>
      <c r="AJ22" s="314">
        <v>20</v>
      </c>
    </row>
    <row r="23" spans="1:36" ht="73.2" customHeight="1" thickBot="1">
      <c r="A23" s="263" t="s">
        <v>111</v>
      </c>
      <c r="B23" s="303" t="s">
        <v>264</v>
      </c>
      <c r="C23" s="276" t="s">
        <v>265</v>
      </c>
      <c r="D23" s="277" t="s">
        <v>266</v>
      </c>
      <c r="E23" s="293" t="s">
        <v>261</v>
      </c>
      <c r="F23" s="279" t="s">
        <v>605</v>
      </c>
      <c r="G23" s="279"/>
      <c r="H23" s="253" t="s">
        <v>31</v>
      </c>
      <c r="I23" s="237"/>
      <c r="J23" s="244"/>
      <c r="K23" s="244"/>
      <c r="L23" s="245"/>
      <c r="M23" s="253"/>
      <c r="N23" s="237"/>
      <c r="O23" s="312"/>
      <c r="P23" s="312"/>
      <c r="Q23" s="313"/>
      <c r="R23" s="253"/>
      <c r="S23" s="237"/>
      <c r="T23" s="244"/>
      <c r="U23" s="245"/>
      <c r="V23" s="243"/>
      <c r="W23" s="237"/>
      <c r="X23" s="232"/>
      <c r="Y23" s="263" t="s">
        <v>398</v>
      </c>
      <c r="Z23" s="263" t="s">
        <v>403</v>
      </c>
      <c r="AA23" s="263" t="s">
        <v>423</v>
      </c>
      <c r="AB23" s="290" t="s">
        <v>118</v>
      </c>
      <c r="AC23" s="347" t="s">
        <v>488</v>
      </c>
      <c r="AD23" s="347"/>
      <c r="AE23" s="347"/>
      <c r="AF23" s="352" t="s">
        <v>617</v>
      </c>
      <c r="AG23" s="352"/>
      <c r="AH23" s="352"/>
      <c r="AI23" s="352"/>
      <c r="AJ23" s="314">
        <v>21</v>
      </c>
    </row>
    <row r="24" spans="1:36" ht="73.2" customHeight="1" thickBot="1">
      <c r="A24" s="263" t="s">
        <v>111</v>
      </c>
      <c r="B24" s="303" t="s">
        <v>267</v>
      </c>
      <c r="C24" s="276" t="s">
        <v>265</v>
      </c>
      <c r="D24" s="277" t="s">
        <v>268</v>
      </c>
      <c r="E24" s="293" t="s">
        <v>261</v>
      </c>
      <c r="F24" s="279" t="s">
        <v>547</v>
      </c>
      <c r="G24" s="279"/>
      <c r="H24" s="253" t="s">
        <v>31</v>
      </c>
      <c r="I24" s="237"/>
      <c r="J24" s="245"/>
      <c r="K24" s="244"/>
      <c r="L24" s="245"/>
      <c r="M24" s="253"/>
      <c r="N24" s="237"/>
      <c r="O24" s="313"/>
      <c r="P24" s="312"/>
      <c r="Q24" s="313"/>
      <c r="R24" s="253"/>
      <c r="S24" s="237"/>
      <c r="T24" s="244"/>
      <c r="U24" s="245"/>
      <c r="V24" s="243"/>
      <c r="W24" s="237"/>
      <c r="X24" s="233"/>
      <c r="Y24" s="263" t="s">
        <v>398</v>
      </c>
      <c r="Z24" s="263" t="s">
        <v>403</v>
      </c>
      <c r="AA24" s="263" t="s">
        <v>423</v>
      </c>
      <c r="AB24" s="290" t="s">
        <v>118</v>
      </c>
      <c r="AC24" s="347" t="s">
        <v>488</v>
      </c>
      <c r="AD24" s="347"/>
      <c r="AE24" s="347"/>
      <c r="AF24" s="352" t="s">
        <v>617</v>
      </c>
      <c r="AG24" s="352"/>
      <c r="AH24" s="352"/>
      <c r="AI24" s="352"/>
      <c r="AJ24" s="314">
        <v>22</v>
      </c>
    </row>
    <row r="25" spans="1:36" ht="73.2" customHeight="1" thickBot="1">
      <c r="A25" s="263" t="s">
        <v>111</v>
      </c>
      <c r="B25" s="303" t="s">
        <v>269</v>
      </c>
      <c r="C25" s="276" t="s">
        <v>265</v>
      </c>
      <c r="D25" s="277" t="s">
        <v>270</v>
      </c>
      <c r="E25" s="293" t="s">
        <v>261</v>
      </c>
      <c r="F25" s="279"/>
      <c r="G25" s="279"/>
      <c r="H25" s="253" t="s">
        <v>35</v>
      </c>
      <c r="I25" s="237"/>
      <c r="J25" s="244"/>
      <c r="K25" s="244"/>
      <c r="L25" s="245"/>
      <c r="M25" s="253"/>
      <c r="N25" s="237"/>
      <c r="O25" s="312"/>
      <c r="P25" s="312"/>
      <c r="Q25" s="313"/>
      <c r="R25" s="253"/>
      <c r="S25" s="237"/>
      <c r="T25" s="244"/>
      <c r="U25" s="245"/>
      <c r="V25" s="243"/>
      <c r="W25" s="237"/>
      <c r="X25" s="233"/>
      <c r="Y25" s="263" t="s">
        <v>398</v>
      </c>
      <c r="Z25" s="263" t="s">
        <v>403</v>
      </c>
      <c r="AA25" s="263" t="s">
        <v>423</v>
      </c>
      <c r="AB25" s="290" t="s">
        <v>118</v>
      </c>
      <c r="AC25" s="347" t="s">
        <v>488</v>
      </c>
      <c r="AD25" s="347"/>
      <c r="AE25" s="347"/>
      <c r="AF25" s="352" t="s">
        <v>617</v>
      </c>
      <c r="AG25" s="352"/>
      <c r="AH25" s="352"/>
      <c r="AI25" s="352"/>
      <c r="AJ25" s="314">
        <v>23</v>
      </c>
    </row>
    <row r="26" spans="1:36" ht="73.2" customHeight="1" thickBot="1">
      <c r="A26" s="263" t="s">
        <v>109</v>
      </c>
      <c r="B26" s="303" t="s">
        <v>271</v>
      </c>
      <c r="C26" s="276" t="s">
        <v>265</v>
      </c>
      <c r="D26" s="277" t="s">
        <v>272</v>
      </c>
      <c r="E26" s="293" t="s">
        <v>261</v>
      </c>
      <c r="F26" s="279"/>
      <c r="G26" s="279"/>
      <c r="H26" s="253" t="s">
        <v>35</v>
      </c>
      <c r="I26" s="237"/>
      <c r="J26" s="244"/>
      <c r="K26" s="244"/>
      <c r="L26" s="245"/>
      <c r="M26" s="253"/>
      <c r="N26" s="237"/>
      <c r="O26" s="244"/>
      <c r="P26" s="312"/>
      <c r="Q26" s="313"/>
      <c r="R26" s="253"/>
      <c r="S26" s="237"/>
      <c r="T26" s="244"/>
      <c r="U26" s="245"/>
      <c r="V26" s="243"/>
      <c r="W26" s="237"/>
      <c r="X26" s="233"/>
      <c r="Y26" s="263" t="s">
        <v>394</v>
      </c>
      <c r="Z26" s="263" t="s">
        <v>410</v>
      </c>
      <c r="AA26" s="263" t="s">
        <v>423</v>
      </c>
      <c r="AB26" s="290" t="s">
        <v>118</v>
      </c>
      <c r="AC26" s="347" t="s">
        <v>488</v>
      </c>
      <c r="AD26" s="347" t="s">
        <v>212</v>
      </c>
      <c r="AE26" s="347"/>
      <c r="AF26" s="352" t="s">
        <v>617</v>
      </c>
      <c r="AG26" s="352"/>
      <c r="AH26" s="352" t="s">
        <v>617</v>
      </c>
      <c r="AI26" s="352"/>
      <c r="AJ26" s="314">
        <v>24</v>
      </c>
    </row>
    <row r="27" spans="1:36" ht="73.2" customHeight="1" thickBot="1">
      <c r="A27" s="263" t="s">
        <v>107</v>
      </c>
      <c r="B27" s="303" t="s">
        <v>273</v>
      </c>
      <c r="C27" s="276" t="s">
        <v>265</v>
      </c>
      <c r="D27" s="295" t="s">
        <v>426</v>
      </c>
      <c r="E27" s="293" t="s">
        <v>261</v>
      </c>
      <c r="F27" s="279" t="s">
        <v>576</v>
      </c>
      <c r="G27" s="279"/>
      <c r="H27" s="253" t="s">
        <v>35</v>
      </c>
      <c r="I27" s="237"/>
      <c r="J27" s="246"/>
      <c r="K27" s="244"/>
      <c r="L27" s="245"/>
      <c r="M27" s="253"/>
      <c r="N27" s="237"/>
      <c r="O27" s="312"/>
      <c r="P27" s="312"/>
      <c r="Q27" s="313"/>
      <c r="R27" s="253"/>
      <c r="S27" s="237"/>
      <c r="T27" s="312"/>
      <c r="U27" s="245"/>
      <c r="V27" s="243"/>
      <c r="W27" s="237"/>
      <c r="X27" s="232"/>
      <c r="Y27" s="263" t="s">
        <v>399</v>
      </c>
      <c r="Z27" s="263" t="s">
        <v>416</v>
      </c>
      <c r="AA27" s="263" t="s">
        <v>423</v>
      </c>
      <c r="AB27" s="290" t="s">
        <v>118</v>
      </c>
      <c r="AC27" s="347" t="s">
        <v>488</v>
      </c>
      <c r="AD27" s="347"/>
      <c r="AE27" s="347"/>
      <c r="AF27" s="352" t="s">
        <v>617</v>
      </c>
      <c r="AG27" s="352"/>
      <c r="AH27" s="352"/>
      <c r="AI27" s="352"/>
      <c r="AJ27" s="314">
        <v>25</v>
      </c>
    </row>
    <row r="28" spans="1:36" ht="73.2" customHeight="1" thickBot="1">
      <c r="A28" s="263" t="s">
        <v>107</v>
      </c>
      <c r="B28" s="303" t="s">
        <v>274</v>
      </c>
      <c r="C28" s="276" t="s">
        <v>265</v>
      </c>
      <c r="D28" s="277" t="s">
        <v>275</v>
      </c>
      <c r="E28" s="293" t="s">
        <v>261</v>
      </c>
      <c r="F28" s="279" t="s">
        <v>576</v>
      </c>
      <c r="G28" s="279"/>
      <c r="H28" s="253" t="s">
        <v>35</v>
      </c>
      <c r="I28" s="237"/>
      <c r="J28" s="244"/>
      <c r="K28" s="244"/>
      <c r="L28" s="245"/>
      <c r="M28" s="253"/>
      <c r="N28" s="237"/>
      <c r="O28" s="312"/>
      <c r="P28" s="312"/>
      <c r="Q28" s="313"/>
      <c r="R28" s="253"/>
      <c r="S28" s="237"/>
      <c r="T28" s="244"/>
      <c r="U28" s="245"/>
      <c r="V28" s="243"/>
      <c r="W28" s="237"/>
      <c r="X28" s="233"/>
      <c r="Y28" s="263" t="s">
        <v>399</v>
      </c>
      <c r="Z28" s="263" t="s">
        <v>416</v>
      </c>
      <c r="AA28" s="263" t="s">
        <v>423</v>
      </c>
      <c r="AB28" s="290" t="s">
        <v>118</v>
      </c>
      <c r="AC28" s="347" t="s">
        <v>488</v>
      </c>
      <c r="AD28" s="347"/>
      <c r="AE28" s="347"/>
      <c r="AF28" s="352" t="s">
        <v>617</v>
      </c>
      <c r="AG28" s="352"/>
      <c r="AH28" s="352"/>
      <c r="AI28" s="352"/>
      <c r="AJ28" s="314">
        <v>26</v>
      </c>
    </row>
    <row r="29" spans="1:36" ht="73.2" customHeight="1" thickBot="1">
      <c r="A29" s="263" t="s">
        <v>112</v>
      </c>
      <c r="B29" s="303" t="s">
        <v>276</v>
      </c>
      <c r="C29" s="276" t="s">
        <v>259</v>
      </c>
      <c r="D29" s="277" t="s">
        <v>277</v>
      </c>
      <c r="E29" s="293" t="s">
        <v>261</v>
      </c>
      <c r="F29" s="279" t="s">
        <v>513</v>
      </c>
      <c r="G29" s="279"/>
      <c r="H29" s="253" t="s">
        <v>31</v>
      </c>
      <c r="I29" s="237"/>
      <c r="J29" s="245"/>
      <c r="K29" s="244"/>
      <c r="L29" s="317"/>
      <c r="M29" s="253"/>
      <c r="N29" s="237"/>
      <c r="O29" s="312"/>
      <c r="P29" s="312"/>
      <c r="Q29" s="313"/>
      <c r="R29" s="253"/>
      <c r="S29" s="237"/>
      <c r="T29" s="244"/>
      <c r="U29" s="245"/>
      <c r="V29" s="243"/>
      <c r="W29" s="237"/>
      <c r="X29" s="233"/>
      <c r="Y29" s="263" t="s">
        <v>399</v>
      </c>
      <c r="Z29" s="263" t="s">
        <v>411</v>
      </c>
      <c r="AA29" s="263" t="s">
        <v>423</v>
      </c>
      <c r="AB29" s="290" t="s">
        <v>118</v>
      </c>
      <c r="AC29" s="347" t="s">
        <v>488</v>
      </c>
      <c r="AD29" s="347"/>
      <c r="AE29" s="347"/>
      <c r="AF29" s="352" t="s">
        <v>617</v>
      </c>
      <c r="AG29" s="352"/>
      <c r="AH29" s="352"/>
      <c r="AI29" s="352"/>
      <c r="AJ29" s="314">
        <v>27</v>
      </c>
    </row>
    <row r="30" spans="1:36" ht="172.8" customHeight="1" thickBot="1">
      <c r="A30" s="263" t="s">
        <v>112</v>
      </c>
      <c r="B30" s="303" t="s">
        <v>278</v>
      </c>
      <c r="C30" s="276" t="s">
        <v>259</v>
      </c>
      <c r="D30" s="277" t="s">
        <v>279</v>
      </c>
      <c r="E30" s="293" t="s">
        <v>261</v>
      </c>
      <c r="F30" s="279" t="s">
        <v>614</v>
      </c>
      <c r="G30" s="279"/>
      <c r="H30" s="253" t="s">
        <v>32</v>
      </c>
      <c r="I30" s="237" t="s">
        <v>496</v>
      </c>
      <c r="J30" s="245"/>
      <c r="K30" s="244"/>
      <c r="L30" s="245"/>
      <c r="M30" s="253"/>
      <c r="N30" s="237"/>
      <c r="O30" s="312"/>
      <c r="P30" s="312"/>
      <c r="Q30" s="313"/>
      <c r="R30" s="253"/>
      <c r="S30" s="237"/>
      <c r="T30" s="244"/>
      <c r="U30" s="245"/>
      <c r="V30" s="243"/>
      <c r="W30" s="237"/>
      <c r="X30" s="232"/>
      <c r="Y30" s="263" t="s">
        <v>399</v>
      </c>
      <c r="Z30" s="263" t="s">
        <v>411</v>
      </c>
      <c r="AA30" s="263" t="s">
        <v>423</v>
      </c>
      <c r="AB30" s="290" t="s">
        <v>118</v>
      </c>
      <c r="AC30" s="347" t="s">
        <v>488</v>
      </c>
      <c r="AD30" s="347"/>
      <c r="AE30" s="347"/>
      <c r="AF30" s="352" t="s">
        <v>617</v>
      </c>
      <c r="AG30" s="352"/>
      <c r="AH30" s="352"/>
      <c r="AI30" s="352"/>
      <c r="AJ30" s="314">
        <v>28</v>
      </c>
    </row>
    <row r="31" spans="1:36" ht="73.2" customHeight="1" thickBot="1">
      <c r="A31" s="263" t="s">
        <v>107</v>
      </c>
      <c r="B31" s="303" t="s">
        <v>280</v>
      </c>
      <c r="C31" s="276" t="s">
        <v>281</v>
      </c>
      <c r="D31" s="277" t="s">
        <v>282</v>
      </c>
      <c r="E31" s="293">
        <v>45352</v>
      </c>
      <c r="F31" s="279" t="s">
        <v>589</v>
      </c>
      <c r="G31" s="279"/>
      <c r="H31" s="253" t="s">
        <v>35</v>
      </c>
      <c r="I31" s="237"/>
      <c r="J31" s="247"/>
      <c r="K31" s="244"/>
      <c r="L31" s="245"/>
      <c r="M31" s="253"/>
      <c r="N31" s="237"/>
      <c r="O31" s="241"/>
      <c r="P31" s="312"/>
      <c r="Q31" s="313"/>
      <c r="R31" s="253"/>
      <c r="S31" s="237"/>
      <c r="T31" s="244"/>
      <c r="U31" s="245"/>
      <c r="V31" s="243"/>
      <c r="W31" s="237"/>
      <c r="X31" s="232"/>
      <c r="Y31" s="263" t="s">
        <v>412</v>
      </c>
      <c r="Z31" s="263" t="s">
        <v>413</v>
      </c>
      <c r="AA31" s="263" t="s">
        <v>424</v>
      </c>
      <c r="AB31" s="297" t="s">
        <v>117</v>
      </c>
      <c r="AC31" s="347" t="s">
        <v>212</v>
      </c>
      <c r="AD31" s="347"/>
      <c r="AE31" s="347"/>
      <c r="AF31" s="352"/>
      <c r="AG31" s="352"/>
      <c r="AH31" s="352" t="s">
        <v>617</v>
      </c>
      <c r="AI31" s="352"/>
      <c r="AJ31" s="314">
        <v>29</v>
      </c>
    </row>
    <row r="32" spans="1:36" ht="93" customHeight="1" thickBot="1">
      <c r="A32" s="263" t="s">
        <v>211</v>
      </c>
      <c r="B32" s="303" t="s">
        <v>283</v>
      </c>
      <c r="C32" s="276" t="s">
        <v>281</v>
      </c>
      <c r="D32" s="277" t="s">
        <v>284</v>
      </c>
      <c r="E32" s="278">
        <v>45108</v>
      </c>
      <c r="F32" s="279" t="s">
        <v>530</v>
      </c>
      <c r="G32" s="279"/>
      <c r="H32" s="253" t="s">
        <v>31</v>
      </c>
      <c r="I32" s="237"/>
      <c r="J32" s="272"/>
      <c r="K32" s="241"/>
      <c r="L32" s="242"/>
      <c r="M32" s="253"/>
      <c r="N32" s="238"/>
      <c r="O32" s="242"/>
      <c r="P32" s="312"/>
      <c r="Q32" s="313"/>
      <c r="R32" s="253"/>
      <c r="S32" s="238"/>
      <c r="T32" s="259"/>
      <c r="U32" s="242"/>
      <c r="V32" s="243"/>
      <c r="W32" s="238"/>
      <c r="X32" s="233"/>
      <c r="Y32" s="263" t="s">
        <v>394</v>
      </c>
      <c r="Z32" s="263" t="s">
        <v>395</v>
      </c>
      <c r="AA32" s="263" t="s">
        <v>424</v>
      </c>
      <c r="AB32" s="297" t="s">
        <v>117</v>
      </c>
      <c r="AC32" s="347" t="s">
        <v>212</v>
      </c>
      <c r="AD32" s="347"/>
      <c r="AE32" s="347"/>
      <c r="AF32" s="352"/>
      <c r="AG32" s="352"/>
      <c r="AH32" s="352" t="s">
        <v>617</v>
      </c>
      <c r="AI32" s="352"/>
      <c r="AJ32" s="314">
        <v>30</v>
      </c>
    </row>
    <row r="33" spans="1:36" ht="73.2" customHeight="1" thickBot="1">
      <c r="A33" s="263" t="s">
        <v>211</v>
      </c>
      <c r="B33" s="303" t="s">
        <v>285</v>
      </c>
      <c r="C33" s="276" t="s">
        <v>281</v>
      </c>
      <c r="D33" s="277" t="s">
        <v>286</v>
      </c>
      <c r="E33" s="278">
        <v>45108</v>
      </c>
      <c r="F33" s="279" t="s">
        <v>531</v>
      </c>
      <c r="G33" s="279"/>
      <c r="H33" s="253" t="s">
        <v>31</v>
      </c>
      <c r="I33" s="237"/>
      <c r="J33" s="241"/>
      <c r="K33" s="241"/>
      <c r="L33" s="242"/>
      <c r="M33" s="253"/>
      <c r="N33" s="238"/>
      <c r="O33" s="312"/>
      <c r="P33" s="312"/>
      <c r="Q33" s="313"/>
      <c r="R33" s="253"/>
      <c r="S33" s="238"/>
      <c r="T33" s="241"/>
      <c r="U33" s="242"/>
      <c r="V33" s="243"/>
      <c r="W33" s="238"/>
      <c r="X33" s="232"/>
      <c r="Y33" s="263" t="s">
        <v>394</v>
      </c>
      <c r="Z33" s="263" t="s">
        <v>395</v>
      </c>
      <c r="AA33" s="263" t="s">
        <v>424</v>
      </c>
      <c r="AB33" s="297" t="s">
        <v>117</v>
      </c>
      <c r="AC33" s="347" t="s">
        <v>212</v>
      </c>
      <c r="AD33" s="347"/>
      <c r="AE33" s="347"/>
      <c r="AF33" s="352"/>
      <c r="AG33" s="352"/>
      <c r="AH33" s="352" t="s">
        <v>617</v>
      </c>
      <c r="AI33" s="352"/>
      <c r="AJ33" s="314">
        <v>31</v>
      </c>
    </row>
    <row r="34" spans="1:36" ht="94.2" customHeight="1" thickBot="1">
      <c r="A34" s="263" t="s">
        <v>211</v>
      </c>
      <c r="B34" s="303" t="s">
        <v>287</v>
      </c>
      <c r="C34" s="276" t="s">
        <v>281</v>
      </c>
      <c r="D34" s="277" t="s">
        <v>288</v>
      </c>
      <c r="E34" s="278">
        <v>45170</v>
      </c>
      <c r="F34" s="279"/>
      <c r="G34" s="279"/>
      <c r="H34" s="253" t="s">
        <v>35</v>
      </c>
      <c r="I34" s="237"/>
      <c r="J34" s="245"/>
      <c r="K34" s="244"/>
      <c r="L34" s="245"/>
      <c r="M34" s="253"/>
      <c r="N34" s="237"/>
      <c r="O34" s="312"/>
      <c r="P34" s="312"/>
      <c r="Q34" s="313"/>
      <c r="R34" s="253"/>
      <c r="S34" s="237"/>
      <c r="T34" s="244"/>
      <c r="U34" s="245"/>
      <c r="V34" s="243"/>
      <c r="W34" s="248"/>
      <c r="X34" s="233"/>
      <c r="Y34" s="263" t="s">
        <v>394</v>
      </c>
      <c r="Z34" s="263" t="s">
        <v>395</v>
      </c>
      <c r="AA34" s="263" t="s">
        <v>424</v>
      </c>
      <c r="AB34" s="292" t="s">
        <v>212</v>
      </c>
      <c r="AC34" s="347" t="s">
        <v>212</v>
      </c>
      <c r="AD34" s="347"/>
      <c r="AE34" s="347"/>
      <c r="AF34" s="352"/>
      <c r="AG34" s="352"/>
      <c r="AH34" s="352" t="s">
        <v>617</v>
      </c>
      <c r="AI34" s="352"/>
      <c r="AJ34" s="314">
        <v>32</v>
      </c>
    </row>
    <row r="35" spans="1:36" ht="109.2" customHeight="1" thickBot="1">
      <c r="A35" s="263" t="s">
        <v>108</v>
      </c>
      <c r="B35" s="303" t="s">
        <v>289</v>
      </c>
      <c r="C35" s="276" t="s">
        <v>281</v>
      </c>
      <c r="D35" s="277" t="s">
        <v>290</v>
      </c>
      <c r="E35" s="278" t="s">
        <v>291</v>
      </c>
      <c r="F35" s="279" t="s">
        <v>499</v>
      </c>
      <c r="G35" s="279"/>
      <c r="H35" s="253" t="s">
        <v>22</v>
      </c>
      <c r="I35" s="237"/>
      <c r="J35" s="244"/>
      <c r="K35" s="244"/>
      <c r="L35" s="245"/>
      <c r="M35" s="253"/>
      <c r="N35" s="237"/>
      <c r="O35" s="312"/>
      <c r="P35" s="312"/>
      <c r="Q35" s="313"/>
      <c r="R35" s="253"/>
      <c r="S35" s="237"/>
      <c r="T35" s="244"/>
      <c r="U35" s="245"/>
      <c r="V35" s="243"/>
      <c r="W35" s="237"/>
      <c r="X35" s="232"/>
      <c r="Y35" s="263" t="s">
        <v>398</v>
      </c>
      <c r="Z35" s="263"/>
      <c r="AA35" s="263" t="s">
        <v>424</v>
      </c>
      <c r="AB35" s="294" t="s">
        <v>434</v>
      </c>
      <c r="AC35" s="347" t="s">
        <v>212</v>
      </c>
      <c r="AD35" s="347"/>
      <c r="AE35" s="347"/>
      <c r="AF35" s="352"/>
      <c r="AG35" s="352" t="s">
        <v>617</v>
      </c>
      <c r="AH35" s="352"/>
      <c r="AI35" s="352"/>
      <c r="AJ35" s="314">
        <v>33</v>
      </c>
    </row>
    <row r="36" spans="1:36" ht="94.2" customHeight="1" thickBot="1">
      <c r="A36" s="263" t="s">
        <v>113</v>
      </c>
      <c r="B36" s="303" t="s">
        <v>292</v>
      </c>
      <c r="C36" s="276" t="s">
        <v>293</v>
      </c>
      <c r="D36" s="277" t="s">
        <v>557</v>
      </c>
      <c r="E36" s="293" t="s">
        <v>294</v>
      </c>
      <c r="F36" s="279"/>
      <c r="G36" s="279"/>
      <c r="H36" s="253" t="s">
        <v>35</v>
      </c>
      <c r="I36" s="237"/>
      <c r="J36" s="245"/>
      <c r="K36" s="244"/>
      <c r="L36" s="245"/>
      <c r="M36" s="253"/>
      <c r="N36" s="237"/>
      <c r="O36" s="312"/>
      <c r="P36" s="312"/>
      <c r="Q36" s="313"/>
      <c r="R36" s="253"/>
      <c r="S36" s="237"/>
      <c r="T36" s="244"/>
      <c r="U36" s="245"/>
      <c r="V36" s="243"/>
      <c r="W36" s="237"/>
      <c r="X36" s="232"/>
      <c r="Y36" s="263" t="s">
        <v>394</v>
      </c>
      <c r="Z36" s="263" t="s">
        <v>400</v>
      </c>
      <c r="AA36" s="263" t="s">
        <v>425</v>
      </c>
      <c r="AB36" s="296" t="s">
        <v>213</v>
      </c>
      <c r="AC36" s="347" t="s">
        <v>595</v>
      </c>
      <c r="AD36" s="347"/>
      <c r="AE36" s="347"/>
      <c r="AF36" s="352"/>
      <c r="AG36" s="352" t="s">
        <v>617</v>
      </c>
      <c r="AH36" s="352"/>
      <c r="AI36" s="352"/>
      <c r="AJ36" s="314">
        <v>34</v>
      </c>
    </row>
    <row r="37" spans="1:36" ht="73.2" customHeight="1" thickBot="1">
      <c r="A37" s="263" t="s">
        <v>113</v>
      </c>
      <c r="B37" s="303" t="s">
        <v>295</v>
      </c>
      <c r="C37" s="276" t="s">
        <v>293</v>
      </c>
      <c r="D37" s="277" t="s">
        <v>296</v>
      </c>
      <c r="E37" s="293">
        <v>45352</v>
      </c>
      <c r="F37" s="279"/>
      <c r="G37" s="279"/>
      <c r="H37" s="253" t="s">
        <v>35</v>
      </c>
      <c r="I37" s="237"/>
      <c r="J37" s="246"/>
      <c r="K37" s="244"/>
      <c r="L37" s="245"/>
      <c r="M37" s="253"/>
      <c r="N37" s="237"/>
      <c r="O37" s="312"/>
      <c r="P37" s="312"/>
      <c r="Q37" s="313"/>
      <c r="R37" s="253"/>
      <c r="S37" s="237"/>
      <c r="T37" s="244"/>
      <c r="U37" s="245"/>
      <c r="V37" s="243"/>
      <c r="W37" s="237"/>
      <c r="X37" s="233"/>
      <c r="Y37" s="263" t="s">
        <v>394</v>
      </c>
      <c r="Z37" s="263" t="s">
        <v>400</v>
      </c>
      <c r="AA37" s="263" t="s">
        <v>425</v>
      </c>
      <c r="AB37" s="296" t="s">
        <v>213</v>
      </c>
      <c r="AC37" s="347" t="s">
        <v>595</v>
      </c>
      <c r="AD37" s="347"/>
      <c r="AE37" s="347"/>
      <c r="AF37" s="352"/>
      <c r="AG37" s="352" t="s">
        <v>617</v>
      </c>
      <c r="AH37" s="352"/>
      <c r="AI37" s="352"/>
      <c r="AJ37" s="314">
        <v>35</v>
      </c>
    </row>
    <row r="38" spans="1:36" ht="73.2" customHeight="1" thickBot="1">
      <c r="A38" s="263" t="s">
        <v>113</v>
      </c>
      <c r="B38" s="303" t="s">
        <v>297</v>
      </c>
      <c r="C38" s="276" t="s">
        <v>293</v>
      </c>
      <c r="D38" s="277" t="s">
        <v>298</v>
      </c>
      <c r="E38" s="278">
        <v>45108</v>
      </c>
      <c r="F38" s="279" t="s">
        <v>571</v>
      </c>
      <c r="G38" s="279"/>
      <c r="H38" s="253" t="s">
        <v>31</v>
      </c>
      <c r="I38" s="248" t="s">
        <v>570</v>
      </c>
      <c r="J38" s="245"/>
      <c r="K38" s="244"/>
      <c r="L38" s="245"/>
      <c r="M38" s="253"/>
      <c r="N38" s="237"/>
      <c r="O38" s="312"/>
      <c r="P38" s="312"/>
      <c r="Q38" s="313"/>
      <c r="R38" s="253"/>
      <c r="S38" s="237"/>
      <c r="T38" s="244"/>
      <c r="U38" s="245"/>
      <c r="V38" s="243"/>
      <c r="W38" s="237"/>
      <c r="X38" s="233"/>
      <c r="Y38" s="263" t="s">
        <v>394</v>
      </c>
      <c r="Z38" s="263" t="s">
        <v>400</v>
      </c>
      <c r="AA38" s="263" t="s">
        <v>425</v>
      </c>
      <c r="AB38" s="296" t="s">
        <v>213</v>
      </c>
      <c r="AC38" s="347" t="s">
        <v>595</v>
      </c>
      <c r="AD38" s="347"/>
      <c r="AE38" s="347"/>
      <c r="AF38" s="352"/>
      <c r="AG38" s="352" t="s">
        <v>617</v>
      </c>
      <c r="AH38" s="352"/>
      <c r="AI38" s="352"/>
      <c r="AJ38" s="314">
        <v>36</v>
      </c>
    </row>
    <row r="39" spans="1:36" ht="73.2" customHeight="1" thickBot="1">
      <c r="A39" s="263" t="s">
        <v>110</v>
      </c>
      <c r="B39" s="303" t="s">
        <v>299</v>
      </c>
      <c r="C39" s="276" t="s">
        <v>300</v>
      </c>
      <c r="D39" s="277" t="s">
        <v>301</v>
      </c>
      <c r="E39" s="278">
        <v>45170</v>
      </c>
      <c r="F39" s="279" t="s">
        <v>520</v>
      </c>
      <c r="G39" s="279"/>
      <c r="H39" s="253" t="s">
        <v>31</v>
      </c>
      <c r="I39" s="237"/>
      <c r="J39" s="244"/>
      <c r="K39" s="244"/>
      <c r="L39" s="245"/>
      <c r="M39" s="253"/>
      <c r="N39" s="238"/>
      <c r="O39" s="312"/>
      <c r="P39" s="312"/>
      <c r="Q39" s="313"/>
      <c r="R39" s="253"/>
      <c r="S39" s="237"/>
      <c r="T39" s="244"/>
      <c r="U39" s="245"/>
      <c r="V39" s="243"/>
      <c r="W39" s="237"/>
      <c r="X39" s="233"/>
      <c r="Y39" s="263" t="s">
        <v>398</v>
      </c>
      <c r="Z39" s="263" t="s">
        <v>414</v>
      </c>
      <c r="AA39" s="263" t="s">
        <v>425</v>
      </c>
      <c r="AB39" s="296" t="s">
        <v>213</v>
      </c>
      <c r="AC39" s="347" t="s">
        <v>488</v>
      </c>
      <c r="AD39" s="347"/>
      <c r="AE39" s="347"/>
      <c r="AF39" s="352" t="s">
        <v>617</v>
      </c>
      <c r="AG39" s="352"/>
      <c r="AH39" s="352"/>
      <c r="AI39" s="352"/>
      <c r="AJ39" s="314">
        <v>37</v>
      </c>
    </row>
    <row r="40" spans="1:36" ht="73.2" customHeight="1" thickBot="1">
      <c r="A40" s="263" t="s">
        <v>108</v>
      </c>
      <c r="B40" s="303" t="s">
        <v>302</v>
      </c>
      <c r="C40" s="276" t="s">
        <v>303</v>
      </c>
      <c r="D40" s="277" t="s">
        <v>304</v>
      </c>
      <c r="E40" s="278">
        <v>45047</v>
      </c>
      <c r="F40" s="279" t="s">
        <v>500</v>
      </c>
      <c r="G40" s="279"/>
      <c r="H40" s="253" t="s">
        <v>22</v>
      </c>
      <c r="I40" s="237"/>
      <c r="J40" s="244"/>
      <c r="K40" s="244"/>
      <c r="L40" s="245"/>
      <c r="M40" s="253"/>
      <c r="N40" s="237"/>
      <c r="O40" s="312"/>
      <c r="P40" s="312"/>
      <c r="Q40" s="313"/>
      <c r="R40" s="253"/>
      <c r="S40" s="237"/>
      <c r="T40" s="244"/>
      <c r="U40" s="245"/>
      <c r="V40" s="243"/>
      <c r="W40" s="237"/>
      <c r="X40" s="232"/>
      <c r="Y40" s="263" t="s">
        <v>407</v>
      </c>
      <c r="Z40" s="263" t="s">
        <v>397</v>
      </c>
      <c r="AA40" s="263" t="s">
        <v>425</v>
      </c>
      <c r="AB40" s="294" t="s">
        <v>434</v>
      </c>
      <c r="AC40" s="347" t="s">
        <v>595</v>
      </c>
      <c r="AD40" s="347"/>
      <c r="AE40" s="347"/>
      <c r="AF40" s="352"/>
      <c r="AG40" s="352" t="s">
        <v>617</v>
      </c>
      <c r="AH40" s="352"/>
      <c r="AI40" s="352"/>
      <c r="AJ40" s="314">
        <v>38</v>
      </c>
    </row>
    <row r="41" spans="1:36" ht="73.2" customHeight="1" thickBot="1">
      <c r="A41" s="263" t="s">
        <v>110</v>
      </c>
      <c r="B41" s="303" t="s">
        <v>305</v>
      </c>
      <c r="C41" s="276" t="s">
        <v>171</v>
      </c>
      <c r="D41" s="277" t="s">
        <v>172</v>
      </c>
      <c r="E41" s="293">
        <v>45108</v>
      </c>
      <c r="F41" s="279" t="s">
        <v>521</v>
      </c>
      <c r="G41" s="279"/>
      <c r="H41" s="253" t="s">
        <v>32</v>
      </c>
      <c r="I41" s="237" t="s">
        <v>588</v>
      </c>
      <c r="J41" s="244"/>
      <c r="K41" s="244"/>
      <c r="L41" s="245"/>
      <c r="M41" s="253"/>
      <c r="N41" s="237"/>
      <c r="O41" s="312"/>
      <c r="P41" s="312"/>
      <c r="Q41" s="313"/>
      <c r="R41" s="253"/>
      <c r="S41" s="237"/>
      <c r="T41" s="244"/>
      <c r="U41" s="245"/>
      <c r="V41" s="243"/>
      <c r="W41" s="237"/>
      <c r="X41" s="232"/>
      <c r="Y41" s="263" t="s">
        <v>398</v>
      </c>
      <c r="Z41" s="263" t="s">
        <v>415</v>
      </c>
      <c r="AA41" s="263"/>
      <c r="AB41" s="296" t="s">
        <v>213</v>
      </c>
      <c r="AC41" s="347" t="s">
        <v>487</v>
      </c>
      <c r="AD41" s="347"/>
      <c r="AE41" s="347"/>
      <c r="AF41" s="352"/>
      <c r="AG41" s="352"/>
      <c r="AH41" s="352"/>
      <c r="AI41" s="352" t="s">
        <v>617</v>
      </c>
      <c r="AJ41" s="314">
        <v>39</v>
      </c>
    </row>
    <row r="42" spans="1:36" ht="73.2" customHeight="1" thickBot="1">
      <c r="A42" s="263" t="s">
        <v>111</v>
      </c>
      <c r="B42" s="303" t="s">
        <v>306</v>
      </c>
      <c r="C42" s="276" t="s">
        <v>167</v>
      </c>
      <c r="D42" s="277" t="s">
        <v>168</v>
      </c>
      <c r="E42" s="278">
        <v>45352</v>
      </c>
      <c r="F42" s="279"/>
      <c r="G42" s="279"/>
      <c r="H42" s="253" t="s">
        <v>35</v>
      </c>
      <c r="I42" s="237"/>
      <c r="J42" s="244"/>
      <c r="K42" s="244"/>
      <c r="L42" s="245"/>
      <c r="M42" s="253"/>
      <c r="N42" s="237"/>
      <c r="O42" s="312"/>
      <c r="P42" s="312"/>
      <c r="Q42" s="313"/>
      <c r="R42" s="253"/>
      <c r="S42" s="237"/>
      <c r="T42" s="244"/>
      <c r="U42" s="245"/>
      <c r="V42" s="243"/>
      <c r="W42" s="237"/>
      <c r="X42" s="233"/>
      <c r="Y42" s="263" t="s">
        <v>398</v>
      </c>
      <c r="Z42" s="263" t="s">
        <v>403</v>
      </c>
      <c r="AA42" s="263"/>
      <c r="AB42" s="296" t="s">
        <v>213</v>
      </c>
      <c r="AC42" s="347" t="s">
        <v>488</v>
      </c>
      <c r="AD42" s="347" t="s">
        <v>595</v>
      </c>
      <c r="AE42" s="347"/>
      <c r="AF42" s="352" t="s">
        <v>617</v>
      </c>
      <c r="AG42" s="352" t="s">
        <v>617</v>
      </c>
      <c r="AH42" s="352"/>
      <c r="AI42" s="352"/>
      <c r="AJ42" s="314">
        <v>40</v>
      </c>
    </row>
    <row r="43" spans="1:36" ht="73.2" customHeight="1" thickBot="1">
      <c r="A43" s="263" t="s">
        <v>107</v>
      </c>
      <c r="B43" s="303" t="s">
        <v>307</v>
      </c>
      <c r="C43" s="276" t="s">
        <v>308</v>
      </c>
      <c r="D43" s="277" t="s">
        <v>142</v>
      </c>
      <c r="E43" s="278">
        <v>45108</v>
      </c>
      <c r="F43" s="279" t="s">
        <v>584</v>
      </c>
      <c r="G43" s="279"/>
      <c r="H43" s="253" t="s">
        <v>22</v>
      </c>
      <c r="I43" s="237"/>
      <c r="J43" s="244"/>
      <c r="K43" s="244"/>
      <c r="L43" s="245"/>
      <c r="M43" s="253"/>
      <c r="N43" s="237"/>
      <c r="O43" s="312"/>
      <c r="P43" s="312"/>
      <c r="Q43" s="313"/>
      <c r="R43" s="253"/>
      <c r="S43" s="237"/>
      <c r="T43" s="244"/>
      <c r="U43" s="245"/>
      <c r="V43" s="243"/>
      <c r="W43" s="237"/>
      <c r="X43" s="232"/>
      <c r="Y43" s="263" t="s">
        <v>399</v>
      </c>
      <c r="Z43" s="263" t="s">
        <v>416</v>
      </c>
      <c r="AA43" s="263"/>
      <c r="AB43" s="296" t="s">
        <v>213</v>
      </c>
      <c r="AC43" s="348" t="s">
        <v>212</v>
      </c>
      <c r="AD43" s="347"/>
      <c r="AE43" s="347"/>
      <c r="AF43" s="352"/>
      <c r="AG43" s="352"/>
      <c r="AH43" s="352" t="s">
        <v>617</v>
      </c>
      <c r="AI43" s="352"/>
      <c r="AJ43" s="314">
        <v>41</v>
      </c>
    </row>
    <row r="44" spans="1:36" ht="73.2" customHeight="1" thickBot="1">
      <c r="A44" s="263" t="s">
        <v>107</v>
      </c>
      <c r="B44" s="303" t="s">
        <v>309</v>
      </c>
      <c r="C44" s="276" t="s">
        <v>308</v>
      </c>
      <c r="D44" s="277" t="s">
        <v>310</v>
      </c>
      <c r="E44" s="278">
        <v>45352</v>
      </c>
      <c r="F44" s="279" t="s">
        <v>577</v>
      </c>
      <c r="G44" s="279"/>
      <c r="H44" s="253" t="s">
        <v>31</v>
      </c>
      <c r="I44" s="237"/>
      <c r="J44" s="244"/>
      <c r="K44" s="244"/>
      <c r="L44" s="245"/>
      <c r="M44" s="253"/>
      <c r="N44" s="237"/>
      <c r="O44" s="312"/>
      <c r="P44" s="312"/>
      <c r="Q44" s="313"/>
      <c r="R44" s="253"/>
      <c r="S44" s="237"/>
      <c r="T44" s="244"/>
      <c r="U44" s="245"/>
      <c r="V44" s="243"/>
      <c r="W44" s="237"/>
      <c r="X44" s="233"/>
      <c r="Y44" s="263" t="s">
        <v>399</v>
      </c>
      <c r="Z44" s="263" t="s">
        <v>416</v>
      </c>
      <c r="AA44" s="263"/>
      <c r="AB44" s="296" t="s">
        <v>213</v>
      </c>
      <c r="AC44" s="347" t="s">
        <v>212</v>
      </c>
      <c r="AD44" s="347"/>
      <c r="AE44" s="347"/>
      <c r="AF44" s="352"/>
      <c r="AG44" s="352"/>
      <c r="AH44" s="352" t="s">
        <v>617</v>
      </c>
      <c r="AI44" s="352"/>
      <c r="AJ44" s="314">
        <v>42</v>
      </c>
    </row>
    <row r="45" spans="1:36" ht="109.2" customHeight="1" thickBot="1">
      <c r="A45" s="263" t="s">
        <v>107</v>
      </c>
      <c r="B45" s="303" t="s">
        <v>311</v>
      </c>
      <c r="C45" s="276" t="s">
        <v>308</v>
      </c>
      <c r="D45" s="277" t="s">
        <v>141</v>
      </c>
      <c r="E45" s="278">
        <v>45078</v>
      </c>
      <c r="F45" s="279" t="s">
        <v>578</v>
      </c>
      <c r="G45" s="281"/>
      <c r="H45" s="253" t="s">
        <v>22</v>
      </c>
      <c r="I45" s="237"/>
      <c r="J45" s="318"/>
      <c r="K45" s="245"/>
      <c r="L45" s="245"/>
      <c r="M45" s="253"/>
      <c r="N45" s="248"/>
      <c r="O45" s="312"/>
      <c r="P45" s="312"/>
      <c r="Q45" s="279"/>
      <c r="R45" s="253"/>
      <c r="S45" s="237"/>
      <c r="T45" s="251"/>
      <c r="U45" s="254"/>
      <c r="V45" s="243"/>
      <c r="W45" s="248"/>
      <c r="X45" s="233"/>
      <c r="Y45" s="263" t="s">
        <v>399</v>
      </c>
      <c r="Z45" s="263" t="s">
        <v>416</v>
      </c>
      <c r="AA45" s="263"/>
      <c r="AB45" s="296" t="s">
        <v>213</v>
      </c>
      <c r="AC45" s="347" t="s">
        <v>212</v>
      </c>
      <c r="AD45" s="347"/>
      <c r="AE45" s="347"/>
      <c r="AF45" s="352"/>
      <c r="AG45" s="352"/>
      <c r="AH45" s="352" t="s">
        <v>617</v>
      </c>
      <c r="AI45" s="352"/>
      <c r="AJ45" s="314">
        <v>43</v>
      </c>
    </row>
    <row r="46" spans="1:36" ht="96" customHeight="1" thickBot="1">
      <c r="A46" s="263" t="s">
        <v>111</v>
      </c>
      <c r="B46" s="303" t="s">
        <v>312</v>
      </c>
      <c r="C46" s="276" t="s">
        <v>308</v>
      </c>
      <c r="D46" s="277" t="s">
        <v>169</v>
      </c>
      <c r="E46" s="278">
        <v>45170</v>
      </c>
      <c r="F46" s="279" t="s">
        <v>548</v>
      </c>
      <c r="G46" s="279"/>
      <c r="H46" s="253" t="s">
        <v>31</v>
      </c>
      <c r="I46" s="237"/>
      <c r="J46" s="319"/>
      <c r="K46" s="320"/>
      <c r="L46" s="320"/>
      <c r="M46" s="253"/>
      <c r="N46" s="237"/>
      <c r="O46" s="319"/>
      <c r="P46" s="321"/>
      <c r="Q46" s="320"/>
      <c r="R46" s="253"/>
      <c r="S46" s="237"/>
      <c r="T46" s="250"/>
      <c r="U46" s="252"/>
      <c r="V46" s="243"/>
      <c r="W46" s="248"/>
      <c r="X46" s="233"/>
      <c r="Y46" s="263" t="s">
        <v>398</v>
      </c>
      <c r="Z46" s="263" t="s">
        <v>403</v>
      </c>
      <c r="AA46" s="263"/>
      <c r="AB46" s="296" t="s">
        <v>213</v>
      </c>
      <c r="AC46" s="347" t="s">
        <v>595</v>
      </c>
      <c r="AD46" s="347"/>
      <c r="AE46" s="347"/>
      <c r="AF46" s="352"/>
      <c r="AG46" s="352" t="s">
        <v>617</v>
      </c>
      <c r="AH46" s="352"/>
      <c r="AI46" s="352"/>
      <c r="AJ46" s="314">
        <v>44</v>
      </c>
    </row>
    <row r="47" spans="1:36" ht="73.2" customHeight="1" thickBot="1">
      <c r="A47" s="263" t="s">
        <v>113</v>
      </c>
      <c r="B47" s="303" t="s">
        <v>313</v>
      </c>
      <c r="C47" s="276" t="s">
        <v>8</v>
      </c>
      <c r="D47" s="277" t="s">
        <v>170</v>
      </c>
      <c r="E47" s="278">
        <v>45261</v>
      </c>
      <c r="F47" s="279" t="s">
        <v>558</v>
      </c>
      <c r="G47" s="279"/>
      <c r="H47" s="253" t="s">
        <v>31</v>
      </c>
      <c r="I47" s="237"/>
      <c r="J47" s="322"/>
      <c r="K47" s="320"/>
      <c r="L47" s="320"/>
      <c r="M47" s="253"/>
      <c r="N47" s="237"/>
      <c r="O47" s="319"/>
      <c r="P47" s="340"/>
      <c r="Q47" s="341"/>
      <c r="R47" s="253"/>
      <c r="S47" s="237"/>
      <c r="T47" s="250"/>
      <c r="U47" s="252"/>
      <c r="V47" s="243"/>
      <c r="W47" s="248"/>
      <c r="X47" s="233"/>
      <c r="Y47" s="263" t="s">
        <v>394</v>
      </c>
      <c r="Z47" s="263" t="s">
        <v>400</v>
      </c>
      <c r="AA47" s="263"/>
      <c r="AB47" s="296" t="s">
        <v>213</v>
      </c>
      <c r="AC47" s="347" t="s">
        <v>212</v>
      </c>
      <c r="AD47" s="347" t="s">
        <v>595</v>
      </c>
      <c r="AE47" s="347"/>
      <c r="AF47" s="352"/>
      <c r="AG47" s="352" t="s">
        <v>617</v>
      </c>
      <c r="AH47" s="352" t="s">
        <v>617</v>
      </c>
      <c r="AI47" s="352"/>
      <c r="AJ47" s="314">
        <v>45</v>
      </c>
    </row>
    <row r="48" spans="1:36" ht="73.2" customHeight="1" thickBot="1">
      <c r="A48" s="263" t="s">
        <v>113</v>
      </c>
      <c r="B48" s="303" t="s">
        <v>314</v>
      </c>
      <c r="C48" s="276" t="s">
        <v>143</v>
      </c>
      <c r="D48" s="277" t="s">
        <v>100</v>
      </c>
      <c r="E48" s="278">
        <v>45231</v>
      </c>
      <c r="F48" s="279" t="s">
        <v>559</v>
      </c>
      <c r="G48" s="279"/>
      <c r="H48" s="253" t="s">
        <v>31</v>
      </c>
      <c r="I48" s="237"/>
      <c r="J48" s="319"/>
      <c r="K48" s="320"/>
      <c r="L48" s="320"/>
      <c r="M48" s="253"/>
      <c r="N48" s="237"/>
      <c r="O48" s="323"/>
      <c r="P48" s="321"/>
      <c r="Q48" s="320"/>
      <c r="R48" s="253"/>
      <c r="S48" s="238"/>
      <c r="T48" s="250"/>
      <c r="U48" s="252"/>
      <c r="V48" s="243"/>
      <c r="W48" s="238"/>
      <c r="X48" s="233"/>
      <c r="Y48" s="263" t="s">
        <v>394</v>
      </c>
      <c r="Z48" s="263" t="s">
        <v>400</v>
      </c>
      <c r="AA48" s="263"/>
      <c r="AB48" s="296" t="s">
        <v>213</v>
      </c>
      <c r="AC48" s="348" t="s">
        <v>487</v>
      </c>
      <c r="AD48" s="347" t="s">
        <v>212</v>
      </c>
      <c r="AE48" s="347"/>
      <c r="AF48" s="352"/>
      <c r="AG48" s="352"/>
      <c r="AH48" s="352" t="s">
        <v>617</v>
      </c>
      <c r="AI48" s="352" t="s">
        <v>617</v>
      </c>
      <c r="AJ48" s="314">
        <v>46</v>
      </c>
    </row>
    <row r="49" spans="1:36" ht="73.2" customHeight="1" thickBot="1">
      <c r="A49" s="263" t="s">
        <v>113</v>
      </c>
      <c r="B49" s="303" t="s">
        <v>315</v>
      </c>
      <c r="C49" s="276" t="s">
        <v>143</v>
      </c>
      <c r="D49" s="277" t="s">
        <v>101</v>
      </c>
      <c r="E49" s="278">
        <v>45323</v>
      </c>
      <c r="F49" s="279"/>
      <c r="G49" s="279"/>
      <c r="H49" s="253" t="s">
        <v>35</v>
      </c>
      <c r="I49" s="237"/>
      <c r="J49" s="247"/>
      <c r="K49" s="317"/>
      <c r="L49" s="317"/>
      <c r="M49" s="253"/>
      <c r="N49" s="237"/>
      <c r="O49" s="324"/>
      <c r="P49" s="312"/>
      <c r="Q49" s="313"/>
      <c r="R49" s="253"/>
      <c r="S49" s="237"/>
      <c r="T49" s="257"/>
      <c r="U49" s="255"/>
      <c r="V49" s="243"/>
      <c r="W49" s="237"/>
      <c r="X49" s="232"/>
      <c r="Y49" s="263" t="s">
        <v>394</v>
      </c>
      <c r="Z49" s="263" t="s">
        <v>400</v>
      </c>
      <c r="AA49" s="263"/>
      <c r="AB49" s="296" t="s">
        <v>213</v>
      </c>
      <c r="AC49" s="347" t="s">
        <v>212</v>
      </c>
      <c r="AD49" s="347" t="s">
        <v>487</v>
      </c>
      <c r="AE49" s="347"/>
      <c r="AF49" s="352"/>
      <c r="AG49" s="352"/>
      <c r="AH49" s="352" t="s">
        <v>617</v>
      </c>
      <c r="AI49" s="352" t="s">
        <v>617</v>
      </c>
      <c r="AJ49" s="314">
        <v>47</v>
      </c>
    </row>
    <row r="50" spans="1:36" ht="85.2" customHeight="1" thickBot="1">
      <c r="A50" s="263" t="s">
        <v>113</v>
      </c>
      <c r="B50" s="303" t="s">
        <v>316</v>
      </c>
      <c r="C50" s="276" t="s">
        <v>8</v>
      </c>
      <c r="D50" s="277" t="s">
        <v>80</v>
      </c>
      <c r="E50" s="278" t="s">
        <v>144</v>
      </c>
      <c r="F50" s="279" t="s">
        <v>551</v>
      </c>
      <c r="G50" s="279" t="s">
        <v>552</v>
      </c>
      <c r="H50" s="253" t="s">
        <v>31</v>
      </c>
      <c r="I50" s="237"/>
      <c r="J50" s="244"/>
      <c r="K50" s="244"/>
      <c r="L50" s="245"/>
      <c r="M50" s="253"/>
      <c r="N50" s="237"/>
      <c r="O50" s="312"/>
      <c r="P50" s="312"/>
      <c r="Q50" s="313"/>
      <c r="R50" s="253"/>
      <c r="S50" s="237"/>
      <c r="T50" s="244"/>
      <c r="U50" s="245"/>
      <c r="V50" s="243"/>
      <c r="W50" s="237"/>
      <c r="X50" s="233"/>
      <c r="Y50" s="263" t="s">
        <v>394</v>
      </c>
      <c r="Z50" s="263" t="s">
        <v>400</v>
      </c>
      <c r="AA50" s="263"/>
      <c r="AB50" s="296" t="s">
        <v>213</v>
      </c>
      <c r="AC50" s="347" t="s">
        <v>595</v>
      </c>
      <c r="AD50" s="347" t="s">
        <v>487</v>
      </c>
      <c r="AE50" s="347"/>
      <c r="AF50" s="352"/>
      <c r="AG50" s="352" t="s">
        <v>617</v>
      </c>
      <c r="AH50" s="352"/>
      <c r="AI50" s="352" t="s">
        <v>617</v>
      </c>
      <c r="AJ50" s="314">
        <v>48</v>
      </c>
    </row>
    <row r="51" spans="1:36" ht="73.2" customHeight="1" thickBot="1">
      <c r="A51" s="263" t="s">
        <v>113</v>
      </c>
      <c r="B51" s="303" t="s">
        <v>317</v>
      </c>
      <c r="C51" s="276" t="s">
        <v>8</v>
      </c>
      <c r="D51" s="277" t="s">
        <v>92</v>
      </c>
      <c r="E51" s="278" t="s">
        <v>144</v>
      </c>
      <c r="F51" s="279" t="s">
        <v>555</v>
      </c>
      <c r="G51" s="279" t="s">
        <v>554</v>
      </c>
      <c r="H51" s="253" t="s">
        <v>31</v>
      </c>
      <c r="I51" s="237" t="s">
        <v>553</v>
      </c>
      <c r="J51" s="244"/>
      <c r="K51" s="245"/>
      <c r="L51" s="245"/>
      <c r="M51" s="253"/>
      <c r="N51" s="237"/>
      <c r="O51" s="312"/>
      <c r="P51" s="312"/>
      <c r="Q51" s="313"/>
      <c r="R51" s="253"/>
      <c r="S51" s="237"/>
      <c r="T51" s="244"/>
      <c r="U51" s="245"/>
      <c r="V51" s="243"/>
      <c r="W51" s="237"/>
      <c r="X51" s="233"/>
      <c r="Y51" s="263" t="s">
        <v>394</v>
      </c>
      <c r="Z51" s="263" t="s">
        <v>400</v>
      </c>
      <c r="AA51" s="263"/>
      <c r="AB51" s="296" t="s">
        <v>213</v>
      </c>
      <c r="AC51" s="347" t="s">
        <v>595</v>
      </c>
      <c r="AD51" s="347" t="s">
        <v>487</v>
      </c>
      <c r="AE51" s="347"/>
      <c r="AF51" s="352"/>
      <c r="AG51" s="352" t="s">
        <v>617</v>
      </c>
      <c r="AH51" s="352"/>
      <c r="AI51" s="352" t="s">
        <v>617</v>
      </c>
      <c r="AJ51" s="314">
        <v>49</v>
      </c>
    </row>
    <row r="52" spans="1:36" ht="67.95" customHeight="1" thickBot="1">
      <c r="A52" s="263" t="s">
        <v>111</v>
      </c>
      <c r="B52" s="303" t="s">
        <v>318</v>
      </c>
      <c r="C52" s="276" t="s">
        <v>173</v>
      </c>
      <c r="D52" s="277" t="s">
        <v>210</v>
      </c>
      <c r="E52" s="278" t="s">
        <v>144</v>
      </c>
      <c r="F52" s="282"/>
      <c r="G52" s="279"/>
      <c r="H52" s="253" t="s">
        <v>35</v>
      </c>
      <c r="I52" s="283"/>
      <c r="J52" s="244"/>
      <c r="K52" s="244"/>
      <c r="L52" s="245"/>
      <c r="M52" s="253"/>
      <c r="N52" s="237"/>
      <c r="O52" s="312"/>
      <c r="P52" s="312"/>
      <c r="Q52" s="313"/>
      <c r="R52" s="253"/>
      <c r="S52" s="237"/>
      <c r="T52" s="244"/>
      <c r="U52" s="245"/>
      <c r="V52" s="243"/>
      <c r="W52" s="237"/>
      <c r="X52" s="232"/>
      <c r="Y52" s="263" t="s">
        <v>398</v>
      </c>
      <c r="Z52" s="263" t="s">
        <v>403</v>
      </c>
      <c r="AA52" s="263"/>
      <c r="AB52" s="296" t="s">
        <v>213</v>
      </c>
      <c r="AC52" s="347" t="s">
        <v>595</v>
      </c>
      <c r="AD52" s="347" t="s">
        <v>487</v>
      </c>
      <c r="AE52" s="347"/>
      <c r="AF52" s="352"/>
      <c r="AG52" s="352" t="s">
        <v>617</v>
      </c>
      <c r="AH52" s="352"/>
      <c r="AI52" s="352" t="s">
        <v>617</v>
      </c>
      <c r="AJ52" s="314">
        <v>50</v>
      </c>
    </row>
    <row r="53" spans="1:36" ht="73.2" customHeight="1" thickBot="1">
      <c r="A53" s="263" t="s">
        <v>111</v>
      </c>
      <c r="B53" s="303" t="s">
        <v>319</v>
      </c>
      <c r="C53" s="276" t="s">
        <v>97</v>
      </c>
      <c r="D53" s="277" t="s">
        <v>163</v>
      </c>
      <c r="E53" s="278">
        <v>45139</v>
      </c>
      <c r="F53" s="279" t="s">
        <v>591</v>
      </c>
      <c r="G53" s="279"/>
      <c r="H53" s="253" t="s">
        <v>31</v>
      </c>
      <c r="I53" s="237"/>
      <c r="J53" s="244"/>
      <c r="K53" s="244"/>
      <c r="L53" s="245"/>
      <c r="M53" s="253"/>
      <c r="N53" s="237"/>
      <c r="O53" s="325"/>
      <c r="P53" s="312"/>
      <c r="Q53" s="313"/>
      <c r="R53" s="253"/>
      <c r="S53" s="237"/>
      <c r="T53" s="244"/>
      <c r="U53" s="245"/>
      <c r="V53" s="243"/>
      <c r="W53" s="237"/>
      <c r="X53" s="232"/>
      <c r="Y53" s="263" t="s">
        <v>398</v>
      </c>
      <c r="Z53" s="263" t="s">
        <v>403</v>
      </c>
      <c r="AA53" s="263"/>
      <c r="AB53" s="290" t="s">
        <v>118</v>
      </c>
      <c r="AC53" s="347" t="s">
        <v>488</v>
      </c>
      <c r="AD53" s="347"/>
      <c r="AE53" s="347"/>
      <c r="AF53" s="352" t="s">
        <v>617</v>
      </c>
      <c r="AG53" s="352"/>
      <c r="AH53" s="352"/>
      <c r="AI53" s="352"/>
      <c r="AJ53" s="314">
        <v>51</v>
      </c>
    </row>
    <row r="54" spans="1:36" ht="73.2" customHeight="1" thickBot="1">
      <c r="A54" s="263" t="s">
        <v>111</v>
      </c>
      <c r="B54" s="303" t="s">
        <v>320</v>
      </c>
      <c r="C54" s="276" t="s">
        <v>97</v>
      </c>
      <c r="D54" s="277" t="s">
        <v>165</v>
      </c>
      <c r="E54" s="278">
        <v>45352</v>
      </c>
      <c r="F54" s="279" t="s">
        <v>592</v>
      </c>
      <c r="G54" s="279"/>
      <c r="H54" s="253" t="s">
        <v>31</v>
      </c>
      <c r="I54" s="237"/>
      <c r="J54" s="244"/>
      <c r="K54" s="244"/>
      <c r="L54" s="245"/>
      <c r="M54" s="253"/>
      <c r="N54" s="237"/>
      <c r="O54" s="312"/>
      <c r="P54" s="312"/>
      <c r="Q54" s="313"/>
      <c r="R54" s="253"/>
      <c r="S54" s="237"/>
      <c r="T54" s="244"/>
      <c r="U54" s="245"/>
      <c r="V54" s="243"/>
      <c r="W54" s="237"/>
      <c r="X54" s="232"/>
      <c r="Y54" s="263" t="s">
        <v>398</v>
      </c>
      <c r="Z54" s="263" t="s">
        <v>403</v>
      </c>
      <c r="AA54" s="263"/>
      <c r="AB54" s="290" t="s">
        <v>118</v>
      </c>
      <c r="AC54" s="347" t="s">
        <v>488</v>
      </c>
      <c r="AD54" s="347"/>
      <c r="AE54" s="347"/>
      <c r="AF54" s="352" t="s">
        <v>617</v>
      </c>
      <c r="AG54" s="352"/>
      <c r="AH54" s="352"/>
      <c r="AI54" s="352"/>
      <c r="AJ54" s="314">
        <v>52</v>
      </c>
    </row>
    <row r="55" spans="1:36" ht="73.2" customHeight="1" thickBot="1">
      <c r="A55" s="263" t="s">
        <v>111</v>
      </c>
      <c r="B55" s="303" t="s">
        <v>321</v>
      </c>
      <c r="C55" s="276" t="s">
        <v>97</v>
      </c>
      <c r="D55" s="277" t="s">
        <v>214</v>
      </c>
      <c r="E55" s="278" t="s">
        <v>166</v>
      </c>
      <c r="F55" s="279"/>
      <c r="G55" s="279"/>
      <c r="H55" s="253" t="s">
        <v>35</v>
      </c>
      <c r="I55" s="283"/>
      <c r="J55" s="247"/>
      <c r="K55" s="244"/>
      <c r="L55" s="245"/>
      <c r="M55" s="253"/>
      <c r="N55" s="237"/>
      <c r="O55" s="241"/>
      <c r="P55" s="312"/>
      <c r="Q55" s="313"/>
      <c r="R55" s="253"/>
      <c r="S55" s="237"/>
      <c r="T55" s="244"/>
      <c r="U55" s="245"/>
      <c r="V55" s="243"/>
      <c r="W55" s="237"/>
      <c r="X55" s="232"/>
      <c r="Y55" s="263" t="s">
        <v>398</v>
      </c>
      <c r="Z55" s="263" t="s">
        <v>403</v>
      </c>
      <c r="AA55" s="263"/>
      <c r="AB55" s="290" t="s">
        <v>118</v>
      </c>
      <c r="AC55" s="347" t="s">
        <v>488</v>
      </c>
      <c r="AD55" s="347"/>
      <c r="AE55" s="347"/>
      <c r="AF55" s="352" t="s">
        <v>617</v>
      </c>
      <c r="AG55" s="352"/>
      <c r="AH55" s="352"/>
      <c r="AI55" s="352"/>
      <c r="AJ55" s="314">
        <v>53</v>
      </c>
    </row>
    <row r="56" spans="1:36" ht="102" customHeight="1" thickBot="1">
      <c r="A56" s="263" t="s">
        <v>107</v>
      </c>
      <c r="B56" s="303" t="s">
        <v>322</v>
      </c>
      <c r="C56" s="276" t="s">
        <v>97</v>
      </c>
      <c r="D56" s="277" t="s">
        <v>140</v>
      </c>
      <c r="E56" s="278">
        <v>45352</v>
      </c>
      <c r="F56" s="279" t="s">
        <v>579</v>
      </c>
      <c r="G56" s="279"/>
      <c r="H56" s="253" t="s">
        <v>35</v>
      </c>
      <c r="I56" s="237"/>
      <c r="J56" s="242"/>
      <c r="K56" s="241"/>
      <c r="L56" s="242"/>
      <c r="M56" s="253"/>
      <c r="N56" s="238"/>
      <c r="O56" s="312"/>
      <c r="P56" s="312"/>
      <c r="Q56" s="313"/>
      <c r="R56" s="253"/>
      <c r="S56" s="238"/>
      <c r="T56" s="241"/>
      <c r="U56" s="242"/>
      <c r="V56" s="243"/>
      <c r="W56" s="238"/>
      <c r="X56" s="233"/>
      <c r="Y56" s="263" t="s">
        <v>399</v>
      </c>
      <c r="Z56" s="263" t="s">
        <v>416</v>
      </c>
      <c r="AA56" s="263"/>
      <c r="AB56" s="290" t="s">
        <v>118</v>
      </c>
      <c r="AC56" s="347" t="s">
        <v>488</v>
      </c>
      <c r="AD56" s="347"/>
      <c r="AE56" s="347"/>
      <c r="AF56" s="352" t="s">
        <v>617</v>
      </c>
      <c r="AG56" s="352"/>
      <c r="AH56" s="352"/>
      <c r="AI56" s="352"/>
      <c r="AJ56" s="314">
        <v>54</v>
      </c>
    </row>
    <row r="57" spans="1:36" ht="73.2" customHeight="1" thickBot="1">
      <c r="A57" s="263" t="s">
        <v>111</v>
      </c>
      <c r="B57" s="304" t="s">
        <v>323</v>
      </c>
      <c r="C57" s="276" t="s">
        <v>97</v>
      </c>
      <c r="D57" s="277" t="s">
        <v>164</v>
      </c>
      <c r="E57" s="278">
        <v>45231</v>
      </c>
      <c r="F57" s="279" t="s">
        <v>548</v>
      </c>
      <c r="G57" s="279"/>
      <c r="H57" s="253" t="s">
        <v>31</v>
      </c>
      <c r="I57" s="237"/>
      <c r="J57" s="242"/>
      <c r="K57" s="241"/>
      <c r="L57" s="242"/>
      <c r="M57" s="253"/>
      <c r="N57" s="238"/>
      <c r="O57" s="312"/>
      <c r="P57" s="312"/>
      <c r="Q57" s="313"/>
      <c r="R57" s="253"/>
      <c r="S57" s="238"/>
      <c r="T57" s="241"/>
      <c r="U57" s="242"/>
      <c r="V57" s="243"/>
      <c r="W57" s="238"/>
      <c r="X57" s="232"/>
      <c r="Y57" s="263" t="s">
        <v>398</v>
      </c>
      <c r="Z57" s="263" t="s">
        <v>403</v>
      </c>
      <c r="AA57" s="263"/>
      <c r="AB57" s="290" t="s">
        <v>118</v>
      </c>
      <c r="AC57" s="347" t="s">
        <v>488</v>
      </c>
      <c r="AD57" s="347"/>
      <c r="AE57" s="347"/>
      <c r="AF57" s="352" t="s">
        <v>617</v>
      </c>
      <c r="AG57" s="352"/>
      <c r="AH57" s="352"/>
      <c r="AI57" s="352"/>
      <c r="AJ57" s="314">
        <v>55</v>
      </c>
    </row>
    <row r="58" spans="1:36" ht="73.2" customHeight="1" thickBot="1">
      <c r="A58" s="263" t="s">
        <v>107</v>
      </c>
      <c r="B58" s="303" t="s">
        <v>324</v>
      </c>
      <c r="C58" s="276" t="s">
        <v>97</v>
      </c>
      <c r="D58" s="277" t="s">
        <v>160</v>
      </c>
      <c r="E58" s="278">
        <v>45170</v>
      </c>
      <c r="F58" s="279" t="s">
        <v>580</v>
      </c>
      <c r="G58" s="279"/>
      <c r="H58" s="253" t="s">
        <v>35</v>
      </c>
      <c r="I58" s="237"/>
      <c r="J58" s="241"/>
      <c r="K58" s="241"/>
      <c r="L58" s="242"/>
      <c r="M58" s="253"/>
      <c r="N58" s="238"/>
      <c r="O58" s="241"/>
      <c r="P58" s="312"/>
      <c r="Q58" s="313"/>
      <c r="R58" s="253"/>
      <c r="S58" s="238"/>
      <c r="T58" s="241"/>
      <c r="U58" s="242"/>
      <c r="V58" s="243"/>
      <c r="W58" s="238"/>
      <c r="X58" s="233"/>
      <c r="Y58" s="263" t="s">
        <v>399</v>
      </c>
      <c r="Z58" s="263" t="s">
        <v>416</v>
      </c>
      <c r="AA58" s="263"/>
      <c r="AB58" s="290" t="s">
        <v>118</v>
      </c>
      <c r="AC58" s="347" t="s">
        <v>488</v>
      </c>
      <c r="AD58" s="347" t="s">
        <v>212</v>
      </c>
      <c r="AE58" s="347"/>
      <c r="AF58" s="352" t="s">
        <v>617</v>
      </c>
      <c r="AG58" s="352"/>
      <c r="AH58" s="352" t="s">
        <v>617</v>
      </c>
      <c r="AI58" s="352"/>
      <c r="AJ58" s="314">
        <v>56</v>
      </c>
    </row>
    <row r="59" spans="1:36" ht="73.2" customHeight="1" thickBot="1">
      <c r="A59" s="263" t="s">
        <v>107</v>
      </c>
      <c r="B59" s="303" t="s">
        <v>325</v>
      </c>
      <c r="C59" s="276" t="s">
        <v>97</v>
      </c>
      <c r="D59" s="277" t="s">
        <v>161</v>
      </c>
      <c r="E59" s="278">
        <v>45170</v>
      </c>
      <c r="F59" s="279" t="s">
        <v>581</v>
      </c>
      <c r="G59" s="279"/>
      <c r="H59" s="253" t="s">
        <v>22</v>
      </c>
      <c r="I59" s="237"/>
      <c r="J59" s="247"/>
      <c r="K59" s="244"/>
      <c r="L59" s="245"/>
      <c r="M59" s="253"/>
      <c r="N59" s="238"/>
      <c r="O59" s="312"/>
      <c r="P59" s="312"/>
      <c r="Q59" s="313"/>
      <c r="R59" s="253"/>
      <c r="S59" s="238"/>
      <c r="T59" s="241"/>
      <c r="U59" s="242"/>
      <c r="V59" s="243"/>
      <c r="W59" s="238"/>
      <c r="X59" s="233"/>
      <c r="Y59" s="263" t="s">
        <v>399</v>
      </c>
      <c r="Z59" s="263" t="s">
        <v>416</v>
      </c>
      <c r="AA59" s="263"/>
      <c r="AB59" s="290" t="s">
        <v>118</v>
      </c>
      <c r="AC59" s="347" t="s">
        <v>488</v>
      </c>
      <c r="AD59" s="347" t="s">
        <v>212</v>
      </c>
      <c r="AE59" s="347"/>
      <c r="AF59" s="352" t="s">
        <v>617</v>
      </c>
      <c r="AG59" s="352"/>
      <c r="AH59" s="352" t="s">
        <v>617</v>
      </c>
      <c r="AI59" s="352"/>
      <c r="AJ59" s="314">
        <v>57</v>
      </c>
    </row>
    <row r="60" spans="1:36" ht="73.2" customHeight="1" thickBot="1">
      <c r="A60" s="263" t="s">
        <v>107</v>
      </c>
      <c r="B60" s="303" t="s">
        <v>326</v>
      </c>
      <c r="C60" s="276" t="s">
        <v>97</v>
      </c>
      <c r="D60" s="277" t="s">
        <v>162</v>
      </c>
      <c r="E60" s="278">
        <v>45200</v>
      </c>
      <c r="F60" s="279" t="s">
        <v>580</v>
      </c>
      <c r="G60" s="279"/>
      <c r="H60" s="253" t="s">
        <v>35</v>
      </c>
      <c r="I60" s="237"/>
      <c r="J60" s="241"/>
      <c r="K60" s="241"/>
      <c r="L60" s="242"/>
      <c r="M60" s="253"/>
      <c r="N60" s="238"/>
      <c r="O60" s="312"/>
      <c r="P60" s="312"/>
      <c r="Q60" s="313"/>
      <c r="R60" s="253"/>
      <c r="S60" s="238"/>
      <c r="T60" s="246"/>
      <c r="U60" s="242"/>
      <c r="V60" s="243"/>
      <c r="W60" s="238"/>
      <c r="X60" s="232"/>
      <c r="Y60" s="263" t="s">
        <v>399</v>
      </c>
      <c r="Z60" s="263" t="s">
        <v>416</v>
      </c>
      <c r="AA60" s="263"/>
      <c r="AB60" s="290" t="s">
        <v>118</v>
      </c>
      <c r="AC60" s="347" t="s">
        <v>488</v>
      </c>
      <c r="AD60" s="347"/>
      <c r="AE60" s="347"/>
      <c r="AF60" s="352" t="s">
        <v>617</v>
      </c>
      <c r="AG60" s="352"/>
      <c r="AH60" s="352"/>
      <c r="AI60" s="352"/>
      <c r="AJ60" s="314">
        <v>58</v>
      </c>
    </row>
    <row r="61" spans="1:36" ht="73.2" customHeight="1" thickBot="1">
      <c r="A61" s="263" t="s">
        <v>107</v>
      </c>
      <c r="B61" s="303" t="s">
        <v>327</v>
      </c>
      <c r="C61" s="276" t="s">
        <v>97</v>
      </c>
      <c r="D61" s="277" t="s">
        <v>186</v>
      </c>
      <c r="E61" s="278">
        <v>45261</v>
      </c>
      <c r="F61" s="279" t="s">
        <v>585</v>
      </c>
      <c r="G61" s="279"/>
      <c r="H61" s="253" t="s">
        <v>31</v>
      </c>
      <c r="I61" s="237"/>
      <c r="J61" s="241"/>
      <c r="K61" s="241"/>
      <c r="L61" s="242"/>
      <c r="M61" s="253"/>
      <c r="N61" s="238"/>
      <c r="O61" s="312"/>
      <c r="P61" s="312"/>
      <c r="Q61" s="313"/>
      <c r="R61" s="253"/>
      <c r="S61" s="238"/>
      <c r="T61" s="241"/>
      <c r="U61" s="242"/>
      <c r="V61" s="243"/>
      <c r="W61" s="238"/>
      <c r="X61" s="233"/>
      <c r="Y61" s="263" t="s">
        <v>399</v>
      </c>
      <c r="Z61" s="263" t="s">
        <v>416</v>
      </c>
      <c r="AA61" s="263"/>
      <c r="AB61" s="290" t="s">
        <v>118</v>
      </c>
      <c r="AC61" s="347" t="s">
        <v>488</v>
      </c>
      <c r="AD61" s="347"/>
      <c r="AE61" s="347"/>
      <c r="AF61" s="352" t="s">
        <v>617</v>
      </c>
      <c r="AG61" s="352"/>
      <c r="AH61" s="352"/>
      <c r="AI61" s="352"/>
      <c r="AJ61" s="314">
        <v>59</v>
      </c>
    </row>
    <row r="62" spans="1:36" ht="73.2" customHeight="1" thickBot="1">
      <c r="A62" s="263" t="s">
        <v>107</v>
      </c>
      <c r="B62" s="303" t="s">
        <v>328</v>
      </c>
      <c r="C62" s="276" t="s">
        <v>137</v>
      </c>
      <c r="D62" s="277" t="s">
        <v>138</v>
      </c>
      <c r="E62" s="278">
        <v>45352</v>
      </c>
      <c r="F62" s="279"/>
      <c r="G62" s="279"/>
      <c r="H62" s="253" t="s">
        <v>35</v>
      </c>
      <c r="I62" s="237"/>
      <c r="J62" s="241"/>
      <c r="K62" s="241"/>
      <c r="L62" s="242"/>
      <c r="M62" s="253"/>
      <c r="N62" s="238"/>
      <c r="O62" s="312"/>
      <c r="P62" s="312"/>
      <c r="Q62" s="313"/>
      <c r="R62" s="253"/>
      <c r="S62" s="238"/>
      <c r="T62" s="241"/>
      <c r="U62" s="242"/>
      <c r="V62" s="243"/>
      <c r="W62" s="238"/>
      <c r="X62" s="232"/>
      <c r="Y62" s="263" t="s">
        <v>399</v>
      </c>
      <c r="Z62" s="263" t="s">
        <v>416</v>
      </c>
      <c r="AA62" s="263"/>
      <c r="AB62" s="290" t="s">
        <v>118</v>
      </c>
      <c r="AC62" s="347" t="s">
        <v>488</v>
      </c>
      <c r="AD62" s="347"/>
      <c r="AE62" s="347"/>
      <c r="AF62" s="352" t="s">
        <v>617</v>
      </c>
      <c r="AG62" s="352"/>
      <c r="AH62" s="352"/>
      <c r="AI62" s="352"/>
      <c r="AJ62" s="314">
        <v>60</v>
      </c>
    </row>
    <row r="63" spans="1:36" ht="73.2" customHeight="1" thickBot="1">
      <c r="A63" s="263" t="s">
        <v>107</v>
      </c>
      <c r="B63" s="303" t="s">
        <v>329</v>
      </c>
      <c r="C63" s="276" t="s">
        <v>137</v>
      </c>
      <c r="D63" s="277" t="s">
        <v>139</v>
      </c>
      <c r="E63" s="278">
        <v>45352</v>
      </c>
      <c r="F63" s="279" t="s">
        <v>586</v>
      </c>
      <c r="G63" s="279"/>
      <c r="H63" s="253" t="s">
        <v>31</v>
      </c>
      <c r="I63" s="237"/>
      <c r="J63" s="241"/>
      <c r="K63" s="241"/>
      <c r="L63" s="242"/>
      <c r="M63" s="253"/>
      <c r="N63" s="326"/>
      <c r="O63" s="312"/>
      <c r="P63" s="312"/>
      <c r="Q63" s="313"/>
      <c r="R63" s="253"/>
      <c r="S63" s="238"/>
      <c r="T63" s="246"/>
      <c r="U63" s="242"/>
      <c r="V63" s="243"/>
      <c r="W63" s="238"/>
      <c r="X63" s="233"/>
      <c r="Y63" s="263" t="s">
        <v>399</v>
      </c>
      <c r="Z63" s="263" t="s">
        <v>416</v>
      </c>
      <c r="AA63" s="263"/>
      <c r="AB63" s="290" t="s">
        <v>118</v>
      </c>
      <c r="AC63" s="347" t="s">
        <v>488</v>
      </c>
      <c r="AD63" s="347" t="s">
        <v>595</v>
      </c>
      <c r="AE63" s="347"/>
      <c r="AF63" s="352" t="s">
        <v>617</v>
      </c>
      <c r="AG63" s="352" t="s">
        <v>617</v>
      </c>
      <c r="AH63" s="352"/>
      <c r="AI63" s="352"/>
      <c r="AJ63" s="314">
        <v>61</v>
      </c>
    </row>
    <row r="64" spans="1:36" ht="73.2" customHeight="1" thickBot="1">
      <c r="A64" s="263" t="s">
        <v>107</v>
      </c>
      <c r="B64" s="303" t="s">
        <v>330</v>
      </c>
      <c r="C64" s="276" t="s">
        <v>137</v>
      </c>
      <c r="D64" s="277" t="s">
        <v>185</v>
      </c>
      <c r="E64" s="298" t="s">
        <v>331</v>
      </c>
      <c r="F64" s="279" t="s">
        <v>582</v>
      </c>
      <c r="G64" s="279"/>
      <c r="H64" s="253" t="s">
        <v>31</v>
      </c>
      <c r="I64" s="237"/>
      <c r="J64" s="244"/>
      <c r="K64" s="256"/>
      <c r="L64" s="317"/>
      <c r="M64" s="253"/>
      <c r="N64" s="237"/>
      <c r="O64" s="244"/>
      <c r="P64" s="312"/>
      <c r="Q64" s="313"/>
      <c r="R64" s="253"/>
      <c r="S64" s="237"/>
      <c r="T64" s="256"/>
      <c r="U64" s="255"/>
      <c r="V64" s="243"/>
      <c r="W64" s="237"/>
      <c r="X64" s="233"/>
      <c r="Y64" s="263" t="s">
        <v>399</v>
      </c>
      <c r="Z64" s="263" t="s">
        <v>416</v>
      </c>
      <c r="AA64" s="263"/>
      <c r="AB64" s="290" t="s">
        <v>118</v>
      </c>
      <c r="AC64" s="347" t="s">
        <v>487</v>
      </c>
      <c r="AD64" s="347" t="s">
        <v>488</v>
      </c>
      <c r="AE64" s="347"/>
      <c r="AF64" s="352" t="s">
        <v>617</v>
      </c>
      <c r="AG64" s="352"/>
      <c r="AH64" s="352"/>
      <c r="AI64" s="352" t="s">
        <v>617</v>
      </c>
      <c r="AJ64" s="314">
        <v>62</v>
      </c>
    </row>
    <row r="65" spans="1:37" ht="69" customHeight="1" thickBot="1">
      <c r="A65" s="263" t="s">
        <v>112</v>
      </c>
      <c r="B65" s="303" t="s">
        <v>468</v>
      </c>
      <c r="C65" s="276" t="s">
        <v>99</v>
      </c>
      <c r="D65" s="277" t="s">
        <v>472</v>
      </c>
      <c r="E65" s="278" t="s">
        <v>144</v>
      </c>
      <c r="F65" s="279" t="s">
        <v>495</v>
      </c>
      <c r="G65" s="279"/>
      <c r="H65" s="253" t="s">
        <v>35</v>
      </c>
      <c r="I65" s="237"/>
      <c r="J65" s="244"/>
      <c r="K65" s="241"/>
      <c r="L65" s="242"/>
      <c r="M65" s="253"/>
      <c r="N65" s="238"/>
      <c r="O65" s="312"/>
      <c r="P65" s="312"/>
      <c r="Q65" s="313"/>
      <c r="R65" s="253"/>
      <c r="S65" s="238"/>
      <c r="T65" s="241"/>
      <c r="U65" s="242"/>
      <c r="V65" s="243"/>
      <c r="W65" s="238"/>
      <c r="X65" s="233"/>
      <c r="Y65" s="263" t="s">
        <v>399</v>
      </c>
      <c r="Z65" s="263" t="s">
        <v>411</v>
      </c>
      <c r="AA65" s="263"/>
      <c r="AB65" s="290" t="s">
        <v>118</v>
      </c>
      <c r="AC65" s="347" t="s">
        <v>488</v>
      </c>
      <c r="AD65" s="347"/>
      <c r="AE65" s="347"/>
      <c r="AF65" s="352" t="s">
        <v>617</v>
      </c>
      <c r="AG65" s="352"/>
      <c r="AH65" s="352"/>
      <c r="AI65" s="352"/>
      <c r="AJ65" s="314">
        <v>63</v>
      </c>
    </row>
    <row r="66" spans="1:37" ht="69" customHeight="1" thickBot="1">
      <c r="A66" s="263" t="s">
        <v>112</v>
      </c>
      <c r="B66" s="303" t="s">
        <v>469</v>
      </c>
      <c r="C66" s="276" t="s">
        <v>99</v>
      </c>
      <c r="D66" s="277" t="s">
        <v>473</v>
      </c>
      <c r="E66" s="278" t="s">
        <v>144</v>
      </c>
      <c r="F66" s="279" t="s">
        <v>495</v>
      </c>
      <c r="G66" s="279"/>
      <c r="H66" s="253" t="s">
        <v>35</v>
      </c>
      <c r="I66" s="237"/>
      <c r="J66" s="244"/>
      <c r="K66" s="241"/>
      <c r="L66" s="242"/>
      <c r="M66" s="253"/>
      <c r="N66" s="238"/>
      <c r="O66" s="312"/>
      <c r="P66" s="312"/>
      <c r="Q66" s="313"/>
      <c r="R66" s="253"/>
      <c r="S66" s="238"/>
      <c r="T66" s="241"/>
      <c r="U66" s="242"/>
      <c r="V66" s="243"/>
      <c r="W66" s="238"/>
      <c r="X66" s="233"/>
      <c r="Y66" s="263" t="s">
        <v>399</v>
      </c>
      <c r="Z66" s="263" t="s">
        <v>411</v>
      </c>
      <c r="AA66" s="263"/>
      <c r="AB66" s="290" t="s">
        <v>118</v>
      </c>
      <c r="AC66" s="347" t="s">
        <v>488</v>
      </c>
      <c r="AD66" s="347"/>
      <c r="AE66" s="347"/>
      <c r="AF66" s="352" t="s">
        <v>617</v>
      </c>
      <c r="AG66" s="352"/>
      <c r="AH66" s="352"/>
      <c r="AI66" s="352"/>
      <c r="AJ66" s="314">
        <v>64</v>
      </c>
    </row>
    <row r="67" spans="1:37" ht="69" customHeight="1" thickBot="1">
      <c r="A67" s="263" t="s">
        <v>112</v>
      </c>
      <c r="B67" s="303" t="s">
        <v>470</v>
      </c>
      <c r="C67" s="276" t="s">
        <v>99</v>
      </c>
      <c r="D67" s="277" t="s">
        <v>474</v>
      </c>
      <c r="E67" s="278" t="s">
        <v>144</v>
      </c>
      <c r="F67" s="279" t="s">
        <v>495</v>
      </c>
      <c r="G67" s="279"/>
      <c r="H67" s="253" t="s">
        <v>35</v>
      </c>
      <c r="I67" s="237"/>
      <c r="J67" s="244"/>
      <c r="K67" s="241"/>
      <c r="L67" s="242"/>
      <c r="M67" s="253"/>
      <c r="N67" s="238"/>
      <c r="O67" s="312"/>
      <c r="P67" s="312"/>
      <c r="Q67" s="313"/>
      <c r="R67" s="253"/>
      <c r="S67" s="238"/>
      <c r="T67" s="241"/>
      <c r="U67" s="242"/>
      <c r="V67" s="243"/>
      <c r="W67" s="238"/>
      <c r="X67" s="233"/>
      <c r="Y67" s="263" t="s">
        <v>399</v>
      </c>
      <c r="Z67" s="263" t="s">
        <v>411</v>
      </c>
      <c r="AA67" s="263"/>
      <c r="AB67" s="290" t="s">
        <v>118</v>
      </c>
      <c r="AC67" s="347" t="s">
        <v>488</v>
      </c>
      <c r="AD67" s="347"/>
      <c r="AE67" s="347"/>
      <c r="AF67" s="352" t="s">
        <v>617</v>
      </c>
      <c r="AG67" s="352"/>
      <c r="AH67" s="352"/>
      <c r="AI67" s="352"/>
      <c r="AJ67" s="314">
        <v>65</v>
      </c>
    </row>
    <row r="68" spans="1:37" ht="96.6" customHeight="1" thickBot="1">
      <c r="A68" s="263" t="s">
        <v>112</v>
      </c>
      <c r="B68" s="303" t="s">
        <v>471</v>
      </c>
      <c r="C68" s="276" t="s">
        <v>99</v>
      </c>
      <c r="D68" s="277" t="s">
        <v>475</v>
      </c>
      <c r="E68" s="278" t="s">
        <v>144</v>
      </c>
      <c r="F68" s="279" t="s">
        <v>495</v>
      </c>
      <c r="G68" s="279"/>
      <c r="H68" s="253" t="s">
        <v>35</v>
      </c>
      <c r="I68" s="237"/>
      <c r="J68" s="244"/>
      <c r="K68" s="241"/>
      <c r="L68" s="242"/>
      <c r="M68" s="253"/>
      <c r="N68" s="238"/>
      <c r="O68" s="312"/>
      <c r="P68" s="312"/>
      <c r="Q68" s="313"/>
      <c r="R68" s="253"/>
      <c r="S68" s="238"/>
      <c r="T68" s="241"/>
      <c r="U68" s="242"/>
      <c r="V68" s="243"/>
      <c r="W68" s="238"/>
      <c r="X68" s="233"/>
      <c r="Y68" s="263" t="s">
        <v>399</v>
      </c>
      <c r="Z68" s="263" t="s">
        <v>411</v>
      </c>
      <c r="AA68" s="263"/>
      <c r="AB68" s="290" t="s">
        <v>118</v>
      </c>
      <c r="AC68" s="347" t="s">
        <v>488</v>
      </c>
      <c r="AD68" s="347"/>
      <c r="AE68" s="347"/>
      <c r="AF68" s="352" t="s">
        <v>617</v>
      </c>
      <c r="AG68" s="352"/>
      <c r="AH68" s="352"/>
      <c r="AI68" s="352"/>
      <c r="AJ68" s="314">
        <v>66</v>
      </c>
    </row>
    <row r="69" spans="1:37" ht="102" customHeight="1" thickBot="1">
      <c r="A69" s="263" t="s">
        <v>112</v>
      </c>
      <c r="B69" s="303" t="s">
        <v>332</v>
      </c>
      <c r="C69" s="276" t="s">
        <v>3</v>
      </c>
      <c r="D69" s="277" t="s">
        <v>155</v>
      </c>
      <c r="E69" s="278" t="s">
        <v>144</v>
      </c>
      <c r="F69" s="333">
        <v>0.99980000000000002</v>
      </c>
      <c r="G69" s="333">
        <v>0.99980000000000002</v>
      </c>
      <c r="H69" s="253" t="s">
        <v>31</v>
      </c>
      <c r="I69" s="237"/>
      <c r="J69" s="244"/>
      <c r="K69" s="241"/>
      <c r="L69" s="242"/>
      <c r="M69" s="253"/>
      <c r="N69" s="238"/>
      <c r="O69" s="312"/>
      <c r="P69" s="312"/>
      <c r="Q69" s="313"/>
      <c r="R69" s="253"/>
      <c r="S69" s="238"/>
      <c r="T69" s="241"/>
      <c r="U69" s="242"/>
      <c r="V69" s="243"/>
      <c r="W69" s="238"/>
      <c r="X69" s="232"/>
      <c r="Y69" s="263" t="s">
        <v>399</v>
      </c>
      <c r="Z69" s="263" t="s">
        <v>411</v>
      </c>
      <c r="AA69" s="263"/>
      <c r="AB69" s="290" t="s">
        <v>118</v>
      </c>
      <c r="AC69" s="347" t="s">
        <v>487</v>
      </c>
      <c r="AD69" s="347"/>
      <c r="AE69" s="347"/>
      <c r="AF69" s="352"/>
      <c r="AG69" s="352"/>
      <c r="AH69" s="352"/>
      <c r="AI69" s="352" t="s">
        <v>617</v>
      </c>
      <c r="AJ69" s="314">
        <v>67</v>
      </c>
    </row>
    <row r="70" spans="1:37" ht="73.2" customHeight="1" thickBot="1">
      <c r="A70" s="263" t="s">
        <v>112</v>
      </c>
      <c r="B70" s="303" t="s">
        <v>333</v>
      </c>
      <c r="C70" s="276" t="s">
        <v>179</v>
      </c>
      <c r="D70" s="277" t="s">
        <v>180</v>
      </c>
      <c r="E70" s="278">
        <v>45108</v>
      </c>
      <c r="F70" s="279" t="s">
        <v>602</v>
      </c>
      <c r="G70" s="279"/>
      <c r="H70" s="253" t="s">
        <v>22</v>
      </c>
      <c r="I70" s="237"/>
      <c r="J70" s="244"/>
      <c r="K70" s="241"/>
      <c r="L70" s="242"/>
      <c r="M70" s="253"/>
      <c r="N70" s="238"/>
      <c r="O70" s="312"/>
      <c r="P70" s="312"/>
      <c r="Q70" s="313"/>
      <c r="R70" s="253"/>
      <c r="S70" s="238"/>
      <c r="T70" s="246"/>
      <c r="U70" s="242"/>
      <c r="V70" s="243"/>
      <c r="W70" s="238"/>
      <c r="X70" s="233"/>
      <c r="Y70" s="263" t="s">
        <v>399</v>
      </c>
      <c r="Z70" s="263" t="s">
        <v>411</v>
      </c>
      <c r="AA70" s="263"/>
      <c r="AB70" s="290" t="s">
        <v>118</v>
      </c>
      <c r="AC70" s="347" t="s">
        <v>487</v>
      </c>
      <c r="AD70" s="347"/>
      <c r="AE70" s="347"/>
      <c r="AF70" s="352"/>
      <c r="AG70" s="352"/>
      <c r="AH70" s="352"/>
      <c r="AI70" s="352" t="s">
        <v>617</v>
      </c>
      <c r="AJ70" s="314">
        <v>68</v>
      </c>
    </row>
    <row r="71" spans="1:37" ht="73.2" customHeight="1" thickBot="1">
      <c r="A71" s="263" t="s">
        <v>112</v>
      </c>
      <c r="B71" s="303" t="s">
        <v>334</v>
      </c>
      <c r="C71" s="276" t="s">
        <v>179</v>
      </c>
      <c r="D71" s="277" t="s">
        <v>181</v>
      </c>
      <c r="E71" s="278">
        <v>45170</v>
      </c>
      <c r="F71" s="279" t="s">
        <v>512</v>
      </c>
      <c r="G71" s="279"/>
      <c r="H71" s="253" t="s">
        <v>31</v>
      </c>
      <c r="I71" s="237"/>
      <c r="J71" s="244"/>
      <c r="K71" s="244"/>
      <c r="L71" s="245"/>
      <c r="M71" s="253"/>
      <c r="N71" s="237"/>
      <c r="O71" s="312"/>
      <c r="P71" s="312"/>
      <c r="Q71" s="313"/>
      <c r="R71" s="253"/>
      <c r="S71" s="237"/>
      <c r="T71" s="244"/>
      <c r="U71" s="245"/>
      <c r="V71" s="243"/>
      <c r="W71" s="237"/>
      <c r="X71" s="233"/>
      <c r="Y71" s="263" t="s">
        <v>399</v>
      </c>
      <c r="Z71" s="263" t="s">
        <v>411</v>
      </c>
      <c r="AA71" s="263"/>
      <c r="AB71" s="290" t="s">
        <v>118</v>
      </c>
      <c r="AC71" s="347" t="s">
        <v>487</v>
      </c>
      <c r="AD71" s="347"/>
      <c r="AE71" s="347"/>
      <c r="AF71" s="352"/>
      <c r="AG71" s="352"/>
      <c r="AH71" s="352"/>
      <c r="AI71" s="352" t="s">
        <v>617</v>
      </c>
      <c r="AJ71" s="314">
        <v>69</v>
      </c>
    </row>
    <row r="72" spans="1:37" ht="73.2" customHeight="1" thickBot="1">
      <c r="A72" s="263" t="s">
        <v>112</v>
      </c>
      <c r="B72" s="303" t="s">
        <v>335</v>
      </c>
      <c r="C72" s="276" t="s">
        <v>91</v>
      </c>
      <c r="D72" s="277" t="s">
        <v>159</v>
      </c>
      <c r="E72" s="278">
        <v>45200</v>
      </c>
      <c r="F72" s="279" t="s">
        <v>603</v>
      </c>
      <c r="G72" s="279"/>
      <c r="H72" s="253" t="s">
        <v>31</v>
      </c>
      <c r="I72" s="237"/>
      <c r="J72" s="244"/>
      <c r="K72" s="245"/>
      <c r="L72" s="245"/>
      <c r="M72" s="253"/>
      <c r="N72" s="237"/>
      <c r="O72" s="312"/>
      <c r="P72" s="312"/>
      <c r="Q72" s="312"/>
      <c r="R72" s="253"/>
      <c r="S72" s="237"/>
      <c r="T72" s="312"/>
      <c r="U72" s="245"/>
      <c r="V72" s="243"/>
      <c r="W72" s="237"/>
      <c r="X72" s="233"/>
      <c r="Y72" s="263" t="s">
        <v>399</v>
      </c>
      <c r="Z72" s="263" t="s">
        <v>411</v>
      </c>
      <c r="AA72" s="263"/>
      <c r="AB72" s="290" t="s">
        <v>118</v>
      </c>
      <c r="AC72" s="347" t="s">
        <v>488</v>
      </c>
      <c r="AD72" s="347" t="s">
        <v>487</v>
      </c>
      <c r="AE72" s="347"/>
      <c r="AF72" s="352" t="s">
        <v>617</v>
      </c>
      <c r="AG72" s="352"/>
      <c r="AH72" s="352"/>
      <c r="AI72" s="352" t="s">
        <v>617</v>
      </c>
      <c r="AJ72" s="314">
        <v>70</v>
      </c>
    </row>
    <row r="73" spans="1:37" ht="73.2" customHeight="1" thickBot="1">
      <c r="A73" s="263" t="s">
        <v>112</v>
      </c>
      <c r="B73" s="303" t="s">
        <v>336</v>
      </c>
      <c r="C73" s="276" t="s">
        <v>179</v>
      </c>
      <c r="D73" s="277" t="s">
        <v>182</v>
      </c>
      <c r="E73" s="278">
        <v>45231</v>
      </c>
      <c r="F73" s="279" t="s">
        <v>604</v>
      </c>
      <c r="G73" s="279"/>
      <c r="H73" s="253" t="s">
        <v>31</v>
      </c>
      <c r="I73" s="237"/>
      <c r="J73" s="244"/>
      <c r="K73" s="244"/>
      <c r="L73" s="245"/>
      <c r="M73" s="253"/>
      <c r="N73" s="237"/>
      <c r="O73" s="312"/>
      <c r="P73" s="312"/>
      <c r="Q73" s="313"/>
      <c r="R73" s="253"/>
      <c r="S73" s="237"/>
      <c r="T73" s="244"/>
      <c r="U73" s="245"/>
      <c r="V73" s="243"/>
      <c r="W73" s="237"/>
      <c r="X73" s="233"/>
      <c r="Y73" s="263" t="s">
        <v>399</v>
      </c>
      <c r="Z73" s="263" t="s">
        <v>411</v>
      </c>
      <c r="AA73" s="263"/>
      <c r="AB73" s="290" t="s">
        <v>118</v>
      </c>
      <c r="AC73" s="347" t="s">
        <v>487</v>
      </c>
      <c r="AD73" s="347"/>
      <c r="AE73" s="347"/>
      <c r="AF73" s="352"/>
      <c r="AG73" s="352"/>
      <c r="AH73" s="352"/>
      <c r="AI73" s="352" t="s">
        <v>617</v>
      </c>
      <c r="AJ73" s="314">
        <v>71</v>
      </c>
    </row>
    <row r="74" spans="1:37" ht="73.2" customHeight="1" thickBot="1">
      <c r="A74" s="263" t="s">
        <v>112</v>
      </c>
      <c r="B74" s="303" t="s">
        <v>337</v>
      </c>
      <c r="C74" s="276" t="s">
        <v>156</v>
      </c>
      <c r="D74" s="277" t="s">
        <v>157</v>
      </c>
      <c r="E74" s="278" t="s">
        <v>144</v>
      </c>
      <c r="F74" s="279" t="s">
        <v>522</v>
      </c>
      <c r="G74" s="279"/>
      <c r="H74" s="253" t="s">
        <v>32</v>
      </c>
      <c r="I74" s="237"/>
      <c r="J74" s="246"/>
      <c r="K74" s="244"/>
      <c r="L74" s="245"/>
      <c r="M74" s="253"/>
      <c r="N74" s="237"/>
      <c r="O74" s="312"/>
      <c r="P74" s="312"/>
      <c r="Q74" s="313"/>
      <c r="R74" s="253"/>
      <c r="S74" s="237"/>
      <c r="T74" s="312"/>
      <c r="U74" s="245"/>
      <c r="V74" s="243"/>
      <c r="W74" s="237"/>
      <c r="X74" s="232"/>
      <c r="Y74" s="263" t="s">
        <v>399</v>
      </c>
      <c r="Z74" s="263" t="s">
        <v>411</v>
      </c>
      <c r="AA74" s="263"/>
      <c r="AB74" s="290" t="s">
        <v>118</v>
      </c>
      <c r="AC74" s="347" t="s">
        <v>488</v>
      </c>
      <c r="AD74" s="347"/>
      <c r="AE74" s="347"/>
      <c r="AF74" s="352" t="s">
        <v>617</v>
      </c>
      <c r="AG74" s="352"/>
      <c r="AH74" s="352"/>
      <c r="AI74" s="352"/>
      <c r="AJ74" s="314">
        <v>72</v>
      </c>
    </row>
    <row r="75" spans="1:37" ht="105" customHeight="1" thickBot="1">
      <c r="A75" s="263" t="s">
        <v>112</v>
      </c>
      <c r="B75" s="303" t="s">
        <v>338</v>
      </c>
      <c r="C75" s="276" t="s">
        <v>91</v>
      </c>
      <c r="D75" s="277" t="s">
        <v>158</v>
      </c>
      <c r="E75" s="278" t="s">
        <v>144</v>
      </c>
      <c r="F75" s="279" t="s">
        <v>523</v>
      </c>
      <c r="G75" s="279"/>
      <c r="H75" s="253" t="s">
        <v>32</v>
      </c>
      <c r="I75" s="237"/>
      <c r="J75" s="244"/>
      <c r="K75" s="244"/>
      <c r="L75" s="245"/>
      <c r="M75" s="253"/>
      <c r="N75" s="237"/>
      <c r="O75" s="312"/>
      <c r="P75" s="312"/>
      <c r="Q75" s="313"/>
      <c r="R75" s="253"/>
      <c r="S75" s="237"/>
      <c r="T75" s="244"/>
      <c r="U75" s="245"/>
      <c r="V75" s="243"/>
      <c r="W75" s="237"/>
      <c r="X75" s="232"/>
      <c r="Y75" s="263" t="s">
        <v>399</v>
      </c>
      <c r="Z75" s="263" t="s">
        <v>411</v>
      </c>
      <c r="AA75" s="263"/>
      <c r="AB75" s="290" t="s">
        <v>118</v>
      </c>
      <c r="AC75" s="347" t="s">
        <v>488</v>
      </c>
      <c r="AD75" s="347"/>
      <c r="AE75" s="347"/>
      <c r="AF75" s="352" t="s">
        <v>617</v>
      </c>
      <c r="AG75" s="352"/>
      <c r="AH75" s="352"/>
      <c r="AI75" s="352"/>
      <c r="AJ75" s="314">
        <v>73</v>
      </c>
      <c r="AK75" s="314" t="s">
        <v>490</v>
      </c>
    </row>
    <row r="76" spans="1:37" ht="73.2" customHeight="1" thickBot="1">
      <c r="A76" s="263" t="s">
        <v>112</v>
      </c>
      <c r="B76" s="303" t="s">
        <v>339</v>
      </c>
      <c r="C76" s="276" t="s">
        <v>179</v>
      </c>
      <c r="D76" s="277" t="s">
        <v>183</v>
      </c>
      <c r="E76" s="278">
        <v>45352</v>
      </c>
      <c r="F76" s="279"/>
      <c r="G76" s="279"/>
      <c r="H76" s="253" t="s">
        <v>35</v>
      </c>
      <c r="I76" s="237"/>
      <c r="J76" s="244"/>
      <c r="K76" s="245"/>
      <c r="L76" s="245"/>
      <c r="M76" s="253"/>
      <c r="N76" s="237"/>
      <c r="O76" s="312"/>
      <c r="P76" s="312"/>
      <c r="Q76" s="313"/>
      <c r="R76" s="253"/>
      <c r="S76" s="237"/>
      <c r="T76" s="244"/>
      <c r="U76" s="245"/>
      <c r="V76" s="243"/>
      <c r="W76" s="237"/>
      <c r="X76" s="233"/>
      <c r="Y76" s="263" t="s">
        <v>399</v>
      </c>
      <c r="Z76" s="263" t="s">
        <v>411</v>
      </c>
      <c r="AA76" s="263"/>
      <c r="AB76" s="290" t="s">
        <v>118</v>
      </c>
      <c r="AC76" s="347" t="s">
        <v>488</v>
      </c>
      <c r="AD76" s="347"/>
      <c r="AE76" s="347"/>
      <c r="AF76" s="352" t="s">
        <v>617</v>
      </c>
      <c r="AG76" s="352"/>
      <c r="AH76" s="352"/>
      <c r="AI76" s="352"/>
      <c r="AJ76" s="314">
        <v>74</v>
      </c>
    </row>
    <row r="77" spans="1:37" ht="73.2" customHeight="1" thickBot="1">
      <c r="A77" s="263" t="s">
        <v>112</v>
      </c>
      <c r="B77" s="303" t="s">
        <v>340</v>
      </c>
      <c r="C77" s="276" t="s">
        <v>179</v>
      </c>
      <c r="D77" s="277" t="s">
        <v>184</v>
      </c>
      <c r="E77" s="278">
        <v>45352</v>
      </c>
      <c r="F77" s="279"/>
      <c r="G77" s="279"/>
      <c r="H77" s="253" t="s">
        <v>35</v>
      </c>
      <c r="I77" s="237"/>
      <c r="J77" s="244"/>
      <c r="K77" s="244"/>
      <c r="L77" s="245"/>
      <c r="M77" s="253"/>
      <c r="N77" s="237"/>
      <c r="O77" s="312"/>
      <c r="P77" s="312"/>
      <c r="Q77" s="313"/>
      <c r="R77" s="253"/>
      <c r="S77" s="237"/>
      <c r="T77" s="244"/>
      <c r="U77" s="253"/>
      <c r="V77" s="243"/>
      <c r="W77" s="237"/>
      <c r="X77" s="232"/>
      <c r="Y77" s="263" t="s">
        <v>399</v>
      </c>
      <c r="Z77" s="263" t="s">
        <v>411</v>
      </c>
      <c r="AA77" s="263"/>
      <c r="AB77" s="290" t="s">
        <v>118</v>
      </c>
      <c r="AC77" s="347" t="s">
        <v>487</v>
      </c>
      <c r="AD77" s="347" t="s">
        <v>488</v>
      </c>
      <c r="AE77" s="347"/>
      <c r="AF77" s="352" t="s">
        <v>617</v>
      </c>
      <c r="AG77" s="352"/>
      <c r="AH77" s="352"/>
      <c r="AI77" s="352" t="s">
        <v>617</v>
      </c>
      <c r="AJ77" s="314">
        <v>75</v>
      </c>
    </row>
    <row r="78" spans="1:37" ht="73.2" customHeight="1" thickBot="1">
      <c r="A78" s="263" t="s">
        <v>107</v>
      </c>
      <c r="B78" s="303" t="s">
        <v>341</v>
      </c>
      <c r="C78" s="276" t="s">
        <v>193</v>
      </c>
      <c r="D78" s="277" t="s">
        <v>194</v>
      </c>
      <c r="E78" s="278">
        <v>45200</v>
      </c>
      <c r="F78" s="279"/>
      <c r="G78" s="279"/>
      <c r="H78" s="253" t="s">
        <v>35</v>
      </c>
      <c r="I78" s="237"/>
      <c r="J78" s="244"/>
      <c r="K78" s="244"/>
      <c r="L78" s="245"/>
      <c r="M78" s="253"/>
      <c r="N78" s="237"/>
      <c r="O78" s="312"/>
      <c r="P78" s="312"/>
      <c r="Q78" s="313"/>
      <c r="R78" s="253"/>
      <c r="S78" s="237"/>
      <c r="T78" s="244"/>
      <c r="U78" s="245"/>
      <c r="V78" s="243"/>
      <c r="W78" s="237"/>
      <c r="X78" s="232"/>
      <c r="Y78" s="263" t="s">
        <v>399</v>
      </c>
      <c r="Z78" s="263" t="s">
        <v>416</v>
      </c>
      <c r="AA78" s="263"/>
      <c r="AB78" s="290" t="s">
        <v>118</v>
      </c>
      <c r="AC78" s="347" t="s">
        <v>487</v>
      </c>
      <c r="AD78" s="347"/>
      <c r="AE78" s="347"/>
      <c r="AF78" s="352"/>
      <c r="AG78" s="352"/>
      <c r="AH78" s="352"/>
      <c r="AI78" s="352" t="s">
        <v>617</v>
      </c>
      <c r="AJ78" s="314">
        <v>76</v>
      </c>
    </row>
    <row r="79" spans="1:37" ht="73.2" customHeight="1" thickBot="1">
      <c r="A79" s="263" t="s">
        <v>107</v>
      </c>
      <c r="B79" s="303" t="s">
        <v>342</v>
      </c>
      <c r="C79" s="276" t="s">
        <v>153</v>
      </c>
      <c r="D79" s="277" t="s">
        <v>154</v>
      </c>
      <c r="E79" s="278">
        <v>45170</v>
      </c>
      <c r="F79" s="284" t="s">
        <v>583</v>
      </c>
      <c r="G79" s="279"/>
      <c r="H79" s="253" t="s">
        <v>31</v>
      </c>
      <c r="I79" s="283"/>
      <c r="J79" s="246"/>
      <c r="K79" s="244"/>
      <c r="L79" s="245"/>
      <c r="M79" s="253"/>
      <c r="N79" s="237"/>
      <c r="O79" s="246"/>
      <c r="P79" s="312"/>
      <c r="Q79" s="313"/>
      <c r="R79" s="253"/>
      <c r="S79" s="237"/>
      <c r="T79" s="246"/>
      <c r="U79" s="245"/>
      <c r="V79" s="243"/>
      <c r="W79" s="237"/>
      <c r="X79" s="233"/>
      <c r="Y79" s="263" t="s">
        <v>399</v>
      </c>
      <c r="Z79" s="263" t="s">
        <v>416</v>
      </c>
      <c r="AA79" s="263"/>
      <c r="AB79" s="297" t="s">
        <v>117</v>
      </c>
      <c r="AC79" s="347" t="s">
        <v>487</v>
      </c>
      <c r="AD79" s="347"/>
      <c r="AE79" s="347"/>
      <c r="AF79" s="352"/>
      <c r="AG79" s="352"/>
      <c r="AH79" s="352"/>
      <c r="AI79" s="352" t="s">
        <v>617</v>
      </c>
      <c r="AJ79" s="314">
        <v>77</v>
      </c>
    </row>
    <row r="80" spans="1:37" ht="73.2" customHeight="1" thickBot="1">
      <c r="A80" s="263" t="s">
        <v>560</v>
      </c>
      <c r="B80" s="303" t="s">
        <v>343</v>
      </c>
      <c r="C80" s="276" t="s">
        <v>88</v>
      </c>
      <c r="D80" s="277" t="s">
        <v>149</v>
      </c>
      <c r="E80" s="278">
        <v>45078</v>
      </c>
      <c r="F80" s="279" t="s">
        <v>561</v>
      </c>
      <c r="G80" s="279"/>
      <c r="H80" s="253" t="s">
        <v>22</v>
      </c>
      <c r="I80" s="338" t="s">
        <v>562</v>
      </c>
      <c r="J80" s="244"/>
      <c r="K80" s="245"/>
      <c r="L80" s="245"/>
      <c r="M80" s="253"/>
      <c r="N80" s="237"/>
      <c r="O80" s="312"/>
      <c r="P80" s="312"/>
      <c r="Q80" s="313"/>
      <c r="R80" s="253"/>
      <c r="S80" s="237"/>
      <c r="T80" s="244"/>
      <c r="U80" s="245"/>
      <c r="V80" s="243"/>
      <c r="W80" s="237"/>
      <c r="X80" s="233"/>
      <c r="Y80" s="263" t="s">
        <v>394</v>
      </c>
      <c r="Z80" s="263" t="s">
        <v>417</v>
      </c>
      <c r="AA80" s="263"/>
      <c r="AB80" s="297" t="s">
        <v>117</v>
      </c>
      <c r="AC80" s="347" t="s">
        <v>212</v>
      </c>
      <c r="AD80" s="347"/>
      <c r="AE80" s="347"/>
      <c r="AF80" s="352"/>
      <c r="AG80" s="352"/>
      <c r="AH80" s="352" t="s">
        <v>617</v>
      </c>
      <c r="AI80" s="352"/>
      <c r="AJ80" s="314">
        <v>78</v>
      </c>
    </row>
    <row r="81" spans="1:36" ht="73.2" customHeight="1" thickBot="1">
      <c r="A81" s="263" t="s">
        <v>560</v>
      </c>
      <c r="B81" s="303" t="s">
        <v>344</v>
      </c>
      <c r="C81" s="276" t="s">
        <v>88</v>
      </c>
      <c r="D81" s="277" t="s">
        <v>150</v>
      </c>
      <c r="E81" s="278">
        <v>45200</v>
      </c>
      <c r="F81" s="279" t="s">
        <v>494</v>
      </c>
      <c r="G81" s="279"/>
      <c r="H81" s="253" t="s">
        <v>31</v>
      </c>
      <c r="I81" s="283"/>
      <c r="J81" s="244"/>
      <c r="K81" s="244"/>
      <c r="L81" s="245"/>
      <c r="M81" s="253"/>
      <c r="N81" s="237"/>
      <c r="O81" s="312"/>
      <c r="P81" s="312"/>
      <c r="Q81" s="313"/>
      <c r="R81" s="253"/>
      <c r="S81" s="237"/>
      <c r="T81" s="312"/>
      <c r="U81" s="245"/>
      <c r="V81" s="243"/>
      <c r="W81" s="237"/>
      <c r="X81" s="232"/>
      <c r="Y81" s="263" t="s">
        <v>394</v>
      </c>
      <c r="Z81" s="263" t="s">
        <v>417</v>
      </c>
      <c r="AA81" s="263"/>
      <c r="AB81" s="297" t="s">
        <v>117</v>
      </c>
      <c r="AC81" s="347" t="s">
        <v>212</v>
      </c>
      <c r="AD81" s="347"/>
      <c r="AE81" s="347"/>
      <c r="AF81" s="352"/>
      <c r="AG81" s="352"/>
      <c r="AH81" s="352" t="s">
        <v>617</v>
      </c>
      <c r="AI81" s="352"/>
      <c r="AJ81" s="314">
        <v>79</v>
      </c>
    </row>
    <row r="82" spans="1:36" ht="73.2" customHeight="1" thickBot="1">
      <c r="A82" s="263" t="s">
        <v>560</v>
      </c>
      <c r="B82" s="303" t="s">
        <v>345</v>
      </c>
      <c r="C82" s="276" t="s">
        <v>88</v>
      </c>
      <c r="D82" s="277" t="s">
        <v>151</v>
      </c>
      <c r="E82" s="278">
        <v>45352</v>
      </c>
      <c r="F82" s="245" t="s">
        <v>597</v>
      </c>
      <c r="G82" s="279"/>
      <c r="H82" s="253" t="s">
        <v>31</v>
      </c>
      <c r="I82" s="237"/>
      <c r="J82" s="241"/>
      <c r="K82" s="241"/>
      <c r="L82" s="242"/>
      <c r="M82" s="253"/>
      <c r="N82" s="238"/>
      <c r="O82" s="312"/>
      <c r="P82" s="312"/>
      <c r="Q82" s="313"/>
      <c r="R82" s="253"/>
      <c r="S82" s="238"/>
      <c r="T82" s="241"/>
      <c r="U82" s="242"/>
      <c r="V82" s="243"/>
      <c r="W82" s="238"/>
      <c r="X82" s="233"/>
      <c r="Y82" s="263" t="s">
        <v>394</v>
      </c>
      <c r="Z82" s="263" t="s">
        <v>417</v>
      </c>
      <c r="AA82" s="263"/>
      <c r="AB82" s="297" t="s">
        <v>117</v>
      </c>
      <c r="AC82" s="347" t="s">
        <v>212</v>
      </c>
      <c r="AD82" s="347"/>
      <c r="AE82" s="347"/>
      <c r="AF82" s="352"/>
      <c r="AG82" s="352"/>
      <c r="AH82" s="352" t="s">
        <v>617</v>
      </c>
      <c r="AI82" s="352"/>
      <c r="AJ82" s="314">
        <v>80</v>
      </c>
    </row>
    <row r="83" spans="1:36" ht="73.2" customHeight="1" thickBot="1">
      <c r="A83" s="263" t="s">
        <v>560</v>
      </c>
      <c r="B83" s="303" t="s">
        <v>346</v>
      </c>
      <c r="C83" s="276" t="s">
        <v>88</v>
      </c>
      <c r="D83" s="277" t="s">
        <v>152</v>
      </c>
      <c r="E83" s="278">
        <v>45352</v>
      </c>
      <c r="F83" s="285"/>
      <c r="G83" s="279"/>
      <c r="H83" s="253" t="s">
        <v>35</v>
      </c>
      <c r="I83" s="283"/>
      <c r="J83" s="241"/>
      <c r="K83" s="241"/>
      <c r="L83" s="242"/>
      <c r="M83" s="253"/>
      <c r="N83" s="238"/>
      <c r="O83" s="312"/>
      <c r="P83" s="312"/>
      <c r="Q83" s="313"/>
      <c r="R83" s="253"/>
      <c r="S83" s="238"/>
      <c r="T83" s="241"/>
      <c r="U83" s="241"/>
      <c r="V83" s="243"/>
      <c r="W83" s="238"/>
      <c r="X83" s="233"/>
      <c r="Y83" s="263" t="s">
        <v>394</v>
      </c>
      <c r="Z83" s="263" t="s">
        <v>417</v>
      </c>
      <c r="AA83" s="263"/>
      <c r="AB83" s="297" t="s">
        <v>117</v>
      </c>
      <c r="AC83" s="347" t="s">
        <v>212</v>
      </c>
      <c r="AD83" s="347"/>
      <c r="AE83" s="347"/>
      <c r="AF83" s="352"/>
      <c r="AG83" s="352"/>
      <c r="AH83" s="352" t="s">
        <v>617</v>
      </c>
      <c r="AI83" s="352"/>
      <c r="AJ83" s="314">
        <v>81</v>
      </c>
    </row>
    <row r="84" spans="1:36" ht="73.2" customHeight="1" thickBot="1">
      <c r="A84" s="263" t="s">
        <v>560</v>
      </c>
      <c r="B84" s="303" t="s">
        <v>347</v>
      </c>
      <c r="C84" s="276" t="s">
        <v>98</v>
      </c>
      <c r="D84" s="277" t="s">
        <v>615</v>
      </c>
      <c r="E84" s="278">
        <v>45231</v>
      </c>
      <c r="F84" s="279" t="s">
        <v>563</v>
      </c>
      <c r="G84" s="279"/>
      <c r="H84" s="253" t="s">
        <v>31</v>
      </c>
      <c r="I84" s="237"/>
      <c r="J84" s="244"/>
      <c r="K84" s="244"/>
      <c r="L84" s="245"/>
      <c r="M84" s="253"/>
      <c r="N84" s="237"/>
      <c r="O84" s="312"/>
      <c r="P84" s="312"/>
      <c r="Q84" s="313"/>
      <c r="R84" s="253"/>
      <c r="S84" s="237"/>
      <c r="T84" s="327"/>
      <c r="U84" s="244"/>
      <c r="V84" s="243"/>
      <c r="W84" s="237"/>
      <c r="X84" s="233"/>
      <c r="Y84" s="263" t="s">
        <v>394</v>
      </c>
      <c r="Z84" s="263" t="s">
        <v>417</v>
      </c>
      <c r="AA84" s="263"/>
      <c r="AB84" s="297" t="s">
        <v>117</v>
      </c>
      <c r="AC84" s="347" t="s">
        <v>212</v>
      </c>
      <c r="AD84" s="347"/>
      <c r="AE84" s="347"/>
      <c r="AF84" s="352"/>
      <c r="AG84" s="352"/>
      <c r="AH84" s="352" t="s">
        <v>617</v>
      </c>
      <c r="AI84" s="352"/>
      <c r="AJ84" s="314">
        <v>82</v>
      </c>
    </row>
    <row r="85" spans="1:36" ht="73.2" customHeight="1" thickBot="1">
      <c r="A85" s="263" t="s">
        <v>560</v>
      </c>
      <c r="B85" s="303" t="s">
        <v>348</v>
      </c>
      <c r="C85" s="276" t="s">
        <v>98</v>
      </c>
      <c r="D85" s="277" t="s">
        <v>175</v>
      </c>
      <c r="E85" s="278">
        <v>45352</v>
      </c>
      <c r="F85" s="279" t="s">
        <v>564</v>
      </c>
      <c r="G85" s="279"/>
      <c r="H85" s="253" t="s">
        <v>31</v>
      </c>
      <c r="I85" s="237" t="s">
        <v>565</v>
      </c>
      <c r="J85" s="244"/>
      <c r="K85" s="256"/>
      <c r="L85" s="245"/>
      <c r="M85" s="253"/>
      <c r="N85" s="237"/>
      <c r="O85" s="312"/>
      <c r="P85" s="312"/>
      <c r="Q85" s="313"/>
      <c r="R85" s="253"/>
      <c r="S85" s="237"/>
      <c r="T85" s="244"/>
      <c r="U85" s="275"/>
      <c r="V85" s="243"/>
      <c r="W85" s="237"/>
      <c r="X85" s="233"/>
      <c r="Y85" s="263" t="s">
        <v>394</v>
      </c>
      <c r="Z85" s="263" t="s">
        <v>417</v>
      </c>
      <c r="AA85" s="263"/>
      <c r="AB85" s="297" t="s">
        <v>117</v>
      </c>
      <c r="AC85" s="347" t="s">
        <v>212</v>
      </c>
      <c r="AD85" s="347"/>
      <c r="AE85" s="347"/>
      <c r="AF85" s="352"/>
      <c r="AG85" s="352"/>
      <c r="AH85" s="352" t="s">
        <v>617</v>
      </c>
      <c r="AI85" s="352"/>
      <c r="AJ85" s="314">
        <v>83</v>
      </c>
    </row>
    <row r="86" spans="1:36" ht="73.2" customHeight="1" thickBot="1">
      <c r="A86" s="263" t="s">
        <v>560</v>
      </c>
      <c r="B86" s="303" t="s">
        <v>349</v>
      </c>
      <c r="C86" s="276" t="s">
        <v>98</v>
      </c>
      <c r="D86" s="277" t="s">
        <v>195</v>
      </c>
      <c r="E86" s="278">
        <v>45261</v>
      </c>
      <c r="F86" s="279" t="s">
        <v>572</v>
      </c>
      <c r="G86" s="279"/>
      <c r="H86" s="253" t="s">
        <v>31</v>
      </c>
      <c r="I86" s="237"/>
      <c r="J86" s="244"/>
      <c r="K86" s="256"/>
      <c r="L86" s="245"/>
      <c r="M86" s="253"/>
      <c r="N86" s="237"/>
      <c r="O86" s="312"/>
      <c r="P86" s="312"/>
      <c r="Q86" s="313"/>
      <c r="R86" s="253"/>
      <c r="S86" s="237"/>
      <c r="T86" s="244"/>
      <c r="U86" s="275"/>
      <c r="V86" s="243"/>
      <c r="W86" s="237"/>
      <c r="X86" s="233"/>
      <c r="Y86" s="263" t="s">
        <v>394</v>
      </c>
      <c r="Z86" s="263" t="s">
        <v>417</v>
      </c>
      <c r="AA86" s="263"/>
      <c r="AB86" s="297" t="s">
        <v>117</v>
      </c>
      <c r="AC86" s="347" t="s">
        <v>487</v>
      </c>
      <c r="AD86" s="347"/>
      <c r="AE86" s="347"/>
      <c r="AF86" s="352"/>
      <c r="AG86" s="352"/>
      <c r="AH86" s="352"/>
      <c r="AI86" s="352" t="s">
        <v>617</v>
      </c>
      <c r="AJ86" s="314">
        <v>84</v>
      </c>
    </row>
    <row r="87" spans="1:36" ht="73.2" customHeight="1" thickBot="1">
      <c r="A87" s="263" t="s">
        <v>427</v>
      </c>
      <c r="B87" s="303" t="s">
        <v>481</v>
      </c>
      <c r="C87" s="276" t="s">
        <v>178</v>
      </c>
      <c r="D87" s="277" t="s">
        <v>483</v>
      </c>
      <c r="E87" s="278">
        <v>45261</v>
      </c>
      <c r="F87" s="279" t="s">
        <v>566</v>
      </c>
      <c r="G87" s="279"/>
      <c r="H87" s="253" t="s">
        <v>31</v>
      </c>
      <c r="I87" s="237"/>
      <c r="J87" s="241"/>
      <c r="K87" s="256"/>
      <c r="L87" s="245"/>
      <c r="M87" s="253"/>
      <c r="N87" s="238"/>
      <c r="O87" s="312"/>
      <c r="P87" s="312"/>
      <c r="Q87" s="313"/>
      <c r="R87" s="253"/>
      <c r="S87" s="238"/>
      <c r="T87" s="241"/>
      <c r="U87" s="343"/>
      <c r="V87" s="243"/>
      <c r="W87" s="238"/>
      <c r="X87" s="233"/>
      <c r="Y87" s="263" t="s">
        <v>394</v>
      </c>
      <c r="Z87" s="263" t="s">
        <v>418</v>
      </c>
      <c r="AA87" s="263"/>
      <c r="AB87" s="297" t="s">
        <v>117</v>
      </c>
      <c r="AC87" s="347" t="s">
        <v>487</v>
      </c>
      <c r="AD87" s="347"/>
      <c r="AE87" s="347"/>
      <c r="AF87" s="352"/>
      <c r="AG87" s="352"/>
      <c r="AH87" s="352"/>
      <c r="AI87" s="352" t="s">
        <v>617</v>
      </c>
      <c r="AJ87" s="314">
        <v>85</v>
      </c>
    </row>
    <row r="88" spans="1:36" ht="97.2" customHeight="1" thickBot="1">
      <c r="A88" s="263" t="s">
        <v>509</v>
      </c>
      <c r="B88" s="303" t="s">
        <v>482</v>
      </c>
      <c r="C88" s="276" t="s">
        <v>178</v>
      </c>
      <c r="D88" s="277" t="s">
        <v>484</v>
      </c>
      <c r="E88" s="278">
        <v>45261</v>
      </c>
      <c r="F88" s="279" t="s">
        <v>511</v>
      </c>
      <c r="G88" s="279"/>
      <c r="H88" s="253" t="s">
        <v>31</v>
      </c>
      <c r="I88" s="237"/>
      <c r="J88" s="241"/>
      <c r="K88" s="256"/>
      <c r="L88" s="245"/>
      <c r="M88" s="253"/>
      <c r="N88" s="238"/>
      <c r="O88" s="312"/>
      <c r="P88" s="312"/>
      <c r="Q88" s="313"/>
      <c r="R88" s="253"/>
      <c r="S88" s="238"/>
      <c r="T88" s="241"/>
      <c r="U88" s="343"/>
      <c r="V88" s="243"/>
      <c r="W88" s="238"/>
      <c r="X88" s="233"/>
      <c r="Y88" s="263" t="s">
        <v>394</v>
      </c>
      <c r="Z88" s="263" t="s">
        <v>418</v>
      </c>
      <c r="AA88" s="263"/>
      <c r="AB88" s="297" t="s">
        <v>117</v>
      </c>
      <c r="AC88" s="347" t="s">
        <v>487</v>
      </c>
      <c r="AD88" s="347"/>
      <c r="AE88" s="347"/>
      <c r="AF88" s="352"/>
      <c r="AG88" s="352"/>
      <c r="AH88" s="352"/>
      <c r="AI88" s="352" t="s">
        <v>617</v>
      </c>
      <c r="AJ88" s="314">
        <v>86</v>
      </c>
    </row>
    <row r="89" spans="1:36" ht="73.2" customHeight="1" thickBot="1">
      <c r="A89" s="263" t="s">
        <v>108</v>
      </c>
      <c r="B89" s="303" t="s">
        <v>350</v>
      </c>
      <c r="C89" s="299" t="s">
        <v>145</v>
      </c>
      <c r="D89" s="295" t="s">
        <v>351</v>
      </c>
      <c r="E89" s="293">
        <v>45352</v>
      </c>
      <c r="F89" s="245" t="s">
        <v>501</v>
      </c>
      <c r="G89" s="279"/>
      <c r="H89" s="253" t="s">
        <v>35</v>
      </c>
      <c r="I89" s="237"/>
      <c r="J89" s="241"/>
      <c r="K89" s="241"/>
      <c r="L89" s="242"/>
      <c r="M89" s="253"/>
      <c r="N89" s="238"/>
      <c r="O89" s="312"/>
      <c r="P89" s="312"/>
      <c r="Q89" s="313"/>
      <c r="R89" s="253"/>
      <c r="S89" s="238"/>
      <c r="T89" s="241"/>
      <c r="U89" s="242"/>
      <c r="V89" s="243"/>
      <c r="W89" s="238"/>
      <c r="X89" s="232"/>
      <c r="Y89" s="263" t="s">
        <v>399</v>
      </c>
      <c r="Z89" s="263" t="s">
        <v>397</v>
      </c>
      <c r="AA89" s="263"/>
      <c r="AB89" s="300" t="s">
        <v>117</v>
      </c>
      <c r="AC89" s="347" t="s">
        <v>595</v>
      </c>
      <c r="AD89" s="347" t="s">
        <v>212</v>
      </c>
      <c r="AE89" s="347" t="s">
        <v>487</v>
      </c>
      <c r="AF89" s="352"/>
      <c r="AG89" s="352" t="s">
        <v>617</v>
      </c>
      <c r="AH89" s="352" t="s">
        <v>617</v>
      </c>
      <c r="AI89" s="352" t="s">
        <v>617</v>
      </c>
      <c r="AJ89" s="314">
        <v>87</v>
      </c>
    </row>
    <row r="90" spans="1:36" ht="73.2" customHeight="1" thickBot="1">
      <c r="A90" s="263" t="s">
        <v>108</v>
      </c>
      <c r="B90" s="303" t="s">
        <v>352</v>
      </c>
      <c r="C90" s="276" t="s">
        <v>146</v>
      </c>
      <c r="D90" s="277" t="s">
        <v>147</v>
      </c>
      <c r="E90" s="278">
        <v>45352</v>
      </c>
      <c r="F90" s="279" t="s">
        <v>502</v>
      </c>
      <c r="G90" s="279"/>
      <c r="H90" s="253" t="s">
        <v>31</v>
      </c>
      <c r="I90" s="237"/>
      <c r="J90" s="244"/>
      <c r="K90" s="244"/>
      <c r="L90" s="245"/>
      <c r="M90" s="253"/>
      <c r="N90" s="237"/>
      <c r="O90" s="312"/>
      <c r="P90" s="312"/>
      <c r="Q90" s="313"/>
      <c r="R90" s="253"/>
      <c r="S90" s="237"/>
      <c r="T90" s="244"/>
      <c r="U90" s="245"/>
      <c r="V90" s="243"/>
      <c r="W90" s="237"/>
      <c r="X90" s="233"/>
      <c r="Y90" s="263" t="s">
        <v>399</v>
      </c>
      <c r="Z90" s="263" t="s">
        <v>397</v>
      </c>
      <c r="AA90" s="263"/>
      <c r="AB90" s="297" t="s">
        <v>117</v>
      </c>
      <c r="AC90" s="347" t="s">
        <v>212</v>
      </c>
      <c r="AD90" s="347" t="s">
        <v>595</v>
      </c>
      <c r="AE90" s="347"/>
      <c r="AF90" s="352"/>
      <c r="AG90" s="352" t="s">
        <v>617</v>
      </c>
      <c r="AH90" s="352" t="s">
        <v>617</v>
      </c>
      <c r="AI90" s="352"/>
      <c r="AJ90" s="314">
        <v>88</v>
      </c>
    </row>
    <row r="91" spans="1:36" ht="73.2" customHeight="1" thickBot="1">
      <c r="A91" s="263" t="s">
        <v>108</v>
      </c>
      <c r="B91" s="303" t="s">
        <v>353</v>
      </c>
      <c r="C91" s="276" t="s">
        <v>191</v>
      </c>
      <c r="D91" s="277" t="s">
        <v>81</v>
      </c>
      <c r="E91" s="278">
        <v>45352</v>
      </c>
      <c r="F91" s="332" t="s">
        <v>503</v>
      </c>
      <c r="G91" s="279"/>
      <c r="H91" s="253" t="s">
        <v>31</v>
      </c>
      <c r="I91" s="237"/>
      <c r="J91" s="244"/>
      <c r="K91" s="244"/>
      <c r="L91" s="245"/>
      <c r="M91" s="253"/>
      <c r="N91" s="237"/>
      <c r="O91" s="312"/>
      <c r="P91" s="312"/>
      <c r="Q91" s="313"/>
      <c r="R91" s="253"/>
      <c r="S91" s="237"/>
      <c r="T91" s="244"/>
      <c r="U91" s="253"/>
      <c r="V91" s="243"/>
      <c r="W91" s="237"/>
      <c r="X91" s="232"/>
      <c r="Y91" s="263" t="s">
        <v>399</v>
      </c>
      <c r="Z91" s="263" t="s">
        <v>397</v>
      </c>
      <c r="AA91" s="263"/>
      <c r="AB91" s="297" t="s">
        <v>117</v>
      </c>
      <c r="AC91" s="347" t="s">
        <v>487</v>
      </c>
      <c r="AD91" s="347" t="s">
        <v>595</v>
      </c>
      <c r="AE91" s="347"/>
      <c r="AF91" s="352"/>
      <c r="AG91" s="352" t="s">
        <v>617</v>
      </c>
      <c r="AH91" s="352"/>
      <c r="AI91" s="352" t="s">
        <v>617</v>
      </c>
      <c r="AJ91" s="314">
        <v>89</v>
      </c>
    </row>
    <row r="92" spans="1:36" ht="73.2" customHeight="1" thickBot="1">
      <c r="A92" s="263" t="s">
        <v>108</v>
      </c>
      <c r="B92" s="303" t="s">
        <v>354</v>
      </c>
      <c r="C92" s="276" t="s">
        <v>146</v>
      </c>
      <c r="D92" s="277" t="s">
        <v>174</v>
      </c>
      <c r="E92" s="278">
        <v>45139</v>
      </c>
      <c r="F92" s="279" t="s">
        <v>599</v>
      </c>
      <c r="G92" s="279"/>
      <c r="H92" s="253" t="s">
        <v>31</v>
      </c>
      <c r="I92" s="237"/>
      <c r="J92" s="244"/>
      <c r="K92" s="244"/>
      <c r="L92" s="245"/>
      <c r="M92" s="253"/>
      <c r="N92" s="237"/>
      <c r="O92" s="312"/>
      <c r="P92" s="312"/>
      <c r="Q92" s="313"/>
      <c r="R92" s="253"/>
      <c r="S92" s="237"/>
      <c r="T92" s="244"/>
      <c r="U92" s="245"/>
      <c r="V92" s="243"/>
      <c r="W92" s="237"/>
      <c r="X92" s="232"/>
      <c r="Y92" s="263" t="s">
        <v>399</v>
      </c>
      <c r="Z92" s="263" t="s">
        <v>397</v>
      </c>
      <c r="AA92" s="263"/>
      <c r="AB92" s="297" t="s">
        <v>117</v>
      </c>
      <c r="AC92" s="347" t="s">
        <v>595</v>
      </c>
      <c r="AD92" s="347"/>
      <c r="AE92" s="347"/>
      <c r="AF92" s="352"/>
      <c r="AG92" s="352" t="s">
        <v>617</v>
      </c>
      <c r="AH92" s="352"/>
      <c r="AI92" s="352"/>
      <c r="AJ92" s="314">
        <v>90</v>
      </c>
    </row>
    <row r="93" spans="1:36" ht="73.2" customHeight="1" thickBot="1">
      <c r="A93" s="263" t="s">
        <v>108</v>
      </c>
      <c r="B93" s="303" t="s">
        <v>355</v>
      </c>
      <c r="C93" s="276" t="s">
        <v>93</v>
      </c>
      <c r="D93" s="277" t="s">
        <v>148</v>
      </c>
      <c r="E93" s="278">
        <v>45352</v>
      </c>
      <c r="F93" s="279" t="s">
        <v>504</v>
      </c>
      <c r="G93" s="279"/>
      <c r="H93" s="253" t="s">
        <v>31</v>
      </c>
      <c r="I93" s="237"/>
      <c r="J93" s="244"/>
      <c r="K93" s="244"/>
      <c r="L93" s="245"/>
      <c r="M93" s="253"/>
      <c r="N93" s="237"/>
      <c r="O93" s="312"/>
      <c r="P93" s="312"/>
      <c r="Q93" s="313"/>
      <c r="R93" s="253"/>
      <c r="S93" s="237"/>
      <c r="T93" s="245"/>
      <c r="U93" s="245"/>
      <c r="V93" s="243"/>
      <c r="W93" s="237"/>
      <c r="X93" s="233"/>
      <c r="Y93" s="263" t="s">
        <v>399</v>
      </c>
      <c r="Z93" s="263" t="s">
        <v>397</v>
      </c>
      <c r="AA93" s="263"/>
      <c r="AB93" s="297" t="s">
        <v>117</v>
      </c>
      <c r="AC93" s="347" t="s">
        <v>595</v>
      </c>
      <c r="AD93" s="347"/>
      <c r="AE93" s="347"/>
      <c r="AF93" s="352"/>
      <c r="AG93" s="352" t="s">
        <v>617</v>
      </c>
      <c r="AH93" s="352"/>
      <c r="AI93" s="352"/>
      <c r="AJ93" s="314">
        <v>91</v>
      </c>
    </row>
    <row r="94" spans="1:36" ht="73.2" customHeight="1" thickBot="1">
      <c r="A94" s="263" t="s">
        <v>108</v>
      </c>
      <c r="B94" s="303" t="s">
        <v>356</v>
      </c>
      <c r="C94" s="276" t="s">
        <v>146</v>
      </c>
      <c r="D94" s="277" t="s">
        <v>192</v>
      </c>
      <c r="E94" s="278">
        <v>45170</v>
      </c>
      <c r="F94" s="279" t="s">
        <v>505</v>
      </c>
      <c r="G94" s="279"/>
      <c r="H94" s="253" t="s">
        <v>31</v>
      </c>
      <c r="I94" s="237"/>
      <c r="J94" s="244"/>
      <c r="K94" s="245"/>
      <c r="L94" s="245"/>
      <c r="M94" s="253"/>
      <c r="N94" s="237"/>
      <c r="O94" s="312"/>
      <c r="P94" s="312"/>
      <c r="Q94" s="313"/>
      <c r="R94" s="253"/>
      <c r="S94" s="237"/>
      <c r="T94" s="244"/>
      <c r="U94" s="245"/>
      <c r="V94" s="243"/>
      <c r="W94" s="237"/>
      <c r="X94" s="232"/>
      <c r="Y94" s="263" t="s">
        <v>399</v>
      </c>
      <c r="Z94" s="263" t="s">
        <v>397</v>
      </c>
      <c r="AA94" s="263"/>
      <c r="AB94" s="297" t="s">
        <v>117</v>
      </c>
      <c r="AC94" s="347" t="s">
        <v>487</v>
      </c>
      <c r="AD94" s="347"/>
      <c r="AE94" s="347"/>
      <c r="AF94" s="352"/>
      <c r="AG94" s="352"/>
      <c r="AH94" s="352"/>
      <c r="AI94" s="352" t="s">
        <v>617</v>
      </c>
      <c r="AJ94" s="314">
        <v>92</v>
      </c>
    </row>
    <row r="95" spans="1:36" ht="73.2" customHeight="1" thickBot="1">
      <c r="A95" s="263" t="s">
        <v>211</v>
      </c>
      <c r="B95" s="303" t="s">
        <v>357</v>
      </c>
      <c r="C95" s="276" t="s">
        <v>132</v>
      </c>
      <c r="D95" s="277" t="s">
        <v>485</v>
      </c>
      <c r="E95" s="278">
        <v>45170</v>
      </c>
      <c r="F95" s="279" t="s">
        <v>532</v>
      </c>
      <c r="G95" s="279"/>
      <c r="H95" s="253" t="s">
        <v>31</v>
      </c>
      <c r="I95" s="237"/>
      <c r="J95" s="244"/>
      <c r="K95" s="244"/>
      <c r="L95" s="245"/>
      <c r="M95" s="253"/>
      <c r="N95" s="237"/>
      <c r="O95" s="312"/>
      <c r="P95" s="312"/>
      <c r="Q95" s="313"/>
      <c r="R95" s="253"/>
      <c r="S95" s="237"/>
      <c r="T95" s="244"/>
      <c r="U95" s="253"/>
      <c r="V95" s="243"/>
      <c r="W95" s="237"/>
      <c r="X95" s="233"/>
      <c r="Y95" s="263" t="s">
        <v>394</v>
      </c>
      <c r="Z95" s="263" t="s">
        <v>395</v>
      </c>
      <c r="AA95" s="263"/>
      <c r="AB95" s="292" t="s">
        <v>212</v>
      </c>
      <c r="AC95" s="347" t="s">
        <v>212</v>
      </c>
      <c r="AD95" s="347"/>
      <c r="AE95" s="347"/>
      <c r="AF95" s="352"/>
      <c r="AG95" s="352"/>
      <c r="AH95" s="352" t="s">
        <v>617</v>
      </c>
      <c r="AI95" s="352"/>
      <c r="AJ95" s="314">
        <v>93</v>
      </c>
    </row>
    <row r="96" spans="1:36" ht="73.2" customHeight="1" thickBot="1">
      <c r="A96" s="263" t="s">
        <v>211</v>
      </c>
      <c r="B96" s="303" t="s">
        <v>358</v>
      </c>
      <c r="C96" s="276" t="s">
        <v>132</v>
      </c>
      <c r="D96" s="277" t="s">
        <v>133</v>
      </c>
      <c r="E96" s="278">
        <v>45352</v>
      </c>
      <c r="F96" s="279" t="s">
        <v>601</v>
      </c>
      <c r="G96" s="279"/>
      <c r="H96" s="253" t="s">
        <v>35</v>
      </c>
      <c r="I96" s="237"/>
      <c r="J96" s="244"/>
      <c r="K96" s="244"/>
      <c r="L96" s="245"/>
      <c r="M96" s="253"/>
      <c r="N96" s="237"/>
      <c r="O96" s="312"/>
      <c r="P96" s="312"/>
      <c r="Q96" s="313"/>
      <c r="R96" s="253"/>
      <c r="S96" s="237"/>
      <c r="T96" s="244"/>
      <c r="U96" s="245"/>
      <c r="V96" s="243"/>
      <c r="W96" s="237"/>
      <c r="X96" s="233"/>
      <c r="Y96" s="263" t="s">
        <v>394</v>
      </c>
      <c r="Z96" s="263" t="s">
        <v>395</v>
      </c>
      <c r="AA96" s="263"/>
      <c r="AB96" s="292" t="s">
        <v>212</v>
      </c>
      <c r="AC96" s="347" t="s">
        <v>212</v>
      </c>
      <c r="AD96" s="347"/>
      <c r="AE96" s="347"/>
      <c r="AF96" s="352"/>
      <c r="AG96" s="352"/>
      <c r="AH96" s="352" t="s">
        <v>617</v>
      </c>
      <c r="AI96" s="352"/>
      <c r="AJ96" s="314">
        <v>94</v>
      </c>
    </row>
    <row r="97" spans="1:37" ht="73.2" customHeight="1" thickBot="1">
      <c r="A97" s="263" t="s">
        <v>211</v>
      </c>
      <c r="B97" s="303" t="s">
        <v>359</v>
      </c>
      <c r="C97" s="276" t="s">
        <v>132</v>
      </c>
      <c r="D97" s="277" t="s">
        <v>134</v>
      </c>
      <c r="E97" s="278">
        <v>45352</v>
      </c>
      <c r="F97" s="279"/>
      <c r="G97" s="279"/>
      <c r="H97" s="253" t="s">
        <v>35</v>
      </c>
      <c r="I97" s="283"/>
      <c r="J97" s="244"/>
      <c r="K97" s="244"/>
      <c r="L97" s="245"/>
      <c r="M97" s="253"/>
      <c r="N97" s="237"/>
      <c r="O97" s="312"/>
      <c r="P97" s="312"/>
      <c r="Q97" s="313"/>
      <c r="R97" s="253"/>
      <c r="S97" s="237"/>
      <c r="T97" s="245"/>
      <c r="U97" s="245"/>
      <c r="V97" s="243"/>
      <c r="W97" s="237"/>
      <c r="X97" s="232"/>
      <c r="Y97" s="263" t="s">
        <v>394</v>
      </c>
      <c r="Z97" s="263" t="s">
        <v>395</v>
      </c>
      <c r="AA97" s="263"/>
      <c r="AB97" s="292" t="s">
        <v>212</v>
      </c>
      <c r="AC97" s="347" t="s">
        <v>212</v>
      </c>
      <c r="AD97" s="347"/>
      <c r="AE97" s="347"/>
      <c r="AF97" s="352"/>
      <c r="AG97" s="352"/>
      <c r="AH97" s="352" t="s">
        <v>617</v>
      </c>
      <c r="AI97" s="352"/>
      <c r="AJ97" s="314">
        <v>95</v>
      </c>
    </row>
    <row r="98" spans="1:37" ht="73.2" customHeight="1" thickBot="1">
      <c r="A98" s="263" t="s">
        <v>211</v>
      </c>
      <c r="B98" s="303" t="s">
        <v>360</v>
      </c>
      <c r="C98" s="276" t="s">
        <v>89</v>
      </c>
      <c r="D98" s="277" t="s">
        <v>361</v>
      </c>
      <c r="E98" s="278">
        <v>45170</v>
      </c>
      <c r="F98" s="279" t="s">
        <v>533</v>
      </c>
      <c r="G98" s="279"/>
      <c r="H98" s="253" t="s">
        <v>31</v>
      </c>
      <c r="I98" s="283"/>
      <c r="J98" s="244"/>
      <c r="K98" s="244"/>
      <c r="L98" s="245"/>
      <c r="M98" s="253"/>
      <c r="N98" s="237"/>
      <c r="O98" s="312"/>
      <c r="P98" s="312"/>
      <c r="Q98" s="313"/>
      <c r="R98" s="253"/>
      <c r="S98" s="237"/>
      <c r="T98" s="312"/>
      <c r="U98" s="245"/>
      <c r="V98" s="243"/>
      <c r="W98" s="237"/>
      <c r="X98" s="232"/>
      <c r="Y98" s="263" t="s">
        <v>394</v>
      </c>
      <c r="Z98" s="263" t="s">
        <v>395</v>
      </c>
      <c r="AA98" s="263"/>
      <c r="AB98" s="292" t="s">
        <v>212</v>
      </c>
      <c r="AC98" s="347" t="s">
        <v>212</v>
      </c>
      <c r="AD98" s="347"/>
      <c r="AE98" s="347"/>
      <c r="AF98" s="352"/>
      <c r="AG98" s="352"/>
      <c r="AH98" s="352" t="s">
        <v>617</v>
      </c>
      <c r="AI98" s="352"/>
      <c r="AJ98" s="314">
        <v>96</v>
      </c>
    </row>
    <row r="99" spans="1:37" ht="81" customHeight="1" thickBot="1">
      <c r="A99" s="263" t="s">
        <v>211</v>
      </c>
      <c r="B99" s="303" t="s">
        <v>362</v>
      </c>
      <c r="C99" s="276" t="s">
        <v>89</v>
      </c>
      <c r="D99" s="277" t="s">
        <v>129</v>
      </c>
      <c r="E99" s="278">
        <v>45139</v>
      </c>
      <c r="F99" s="279" t="s">
        <v>619</v>
      </c>
      <c r="G99" s="279"/>
      <c r="H99" s="253" t="s">
        <v>32</v>
      </c>
      <c r="I99" s="283"/>
      <c r="J99" s="244"/>
      <c r="K99" s="244"/>
      <c r="L99" s="245"/>
      <c r="M99" s="253"/>
      <c r="N99" s="237"/>
      <c r="O99" s="312"/>
      <c r="P99" s="312"/>
      <c r="Q99" s="313"/>
      <c r="R99" s="253"/>
      <c r="S99" s="237"/>
      <c r="T99" s="244"/>
      <c r="U99" s="245"/>
      <c r="V99" s="243"/>
      <c r="W99" s="237"/>
      <c r="X99" s="233"/>
      <c r="Y99" s="263" t="s">
        <v>394</v>
      </c>
      <c r="Z99" s="263" t="s">
        <v>395</v>
      </c>
      <c r="AA99" s="263"/>
      <c r="AB99" s="292" t="s">
        <v>212</v>
      </c>
      <c r="AC99" s="347" t="s">
        <v>212</v>
      </c>
      <c r="AD99" s="347"/>
      <c r="AE99" s="347"/>
      <c r="AF99" s="352"/>
      <c r="AG99" s="352"/>
      <c r="AH99" s="352" t="s">
        <v>617</v>
      </c>
      <c r="AI99" s="352"/>
      <c r="AJ99" s="314">
        <v>97</v>
      </c>
    </row>
    <row r="100" spans="1:37" ht="73.2" customHeight="1" thickBot="1">
      <c r="A100" s="263" t="s">
        <v>211</v>
      </c>
      <c r="B100" s="303" t="s">
        <v>363</v>
      </c>
      <c r="C100" s="276" t="s">
        <v>89</v>
      </c>
      <c r="D100" s="277" t="s">
        <v>131</v>
      </c>
      <c r="E100" s="278">
        <v>45323</v>
      </c>
      <c r="F100" s="279" t="s">
        <v>620</v>
      </c>
      <c r="G100" s="279"/>
      <c r="H100" s="253" t="s">
        <v>32</v>
      </c>
      <c r="I100" s="237"/>
      <c r="J100" s="245"/>
      <c r="K100" s="244"/>
      <c r="L100" s="245"/>
      <c r="M100" s="253"/>
      <c r="N100" s="237"/>
      <c r="O100" s="312"/>
      <c r="P100" s="312"/>
      <c r="Q100" s="313"/>
      <c r="R100" s="253"/>
      <c r="S100" s="237"/>
      <c r="T100" s="244"/>
      <c r="U100" s="245"/>
      <c r="V100" s="243"/>
      <c r="W100" s="244"/>
      <c r="X100" s="233"/>
      <c r="Y100" s="263" t="s">
        <v>394</v>
      </c>
      <c r="Z100" s="263" t="s">
        <v>395</v>
      </c>
      <c r="AA100" s="263"/>
      <c r="AB100" s="292" t="s">
        <v>212</v>
      </c>
      <c r="AC100" s="347" t="s">
        <v>212</v>
      </c>
      <c r="AD100" s="347"/>
      <c r="AE100" s="347"/>
      <c r="AF100" s="352"/>
      <c r="AG100" s="352"/>
      <c r="AH100" s="352" t="s">
        <v>617</v>
      </c>
      <c r="AI100" s="352"/>
      <c r="AJ100" s="314">
        <v>98</v>
      </c>
    </row>
    <row r="101" spans="1:37" ht="93" customHeight="1" thickBot="1">
      <c r="A101" s="263" t="s">
        <v>211</v>
      </c>
      <c r="B101" s="303" t="s">
        <v>364</v>
      </c>
      <c r="C101" s="276" t="s">
        <v>89</v>
      </c>
      <c r="D101" s="277" t="s">
        <v>130</v>
      </c>
      <c r="E101" s="278">
        <v>45108</v>
      </c>
      <c r="F101" s="279" t="s">
        <v>607</v>
      </c>
      <c r="G101" s="279"/>
      <c r="H101" s="253" t="s">
        <v>31</v>
      </c>
      <c r="I101" s="237"/>
      <c r="J101" s="245"/>
      <c r="K101" s="244"/>
      <c r="L101" s="245"/>
      <c r="M101" s="253"/>
      <c r="N101" s="237"/>
      <c r="O101" s="312"/>
      <c r="P101" s="312"/>
      <c r="Q101" s="313"/>
      <c r="R101" s="253"/>
      <c r="S101" s="237"/>
      <c r="T101" s="244"/>
      <c r="U101" s="245"/>
      <c r="V101" s="243"/>
      <c r="W101" s="237"/>
      <c r="X101" s="232"/>
      <c r="Y101" s="263" t="s">
        <v>394</v>
      </c>
      <c r="Z101" s="263" t="s">
        <v>395</v>
      </c>
      <c r="AA101" s="263"/>
      <c r="AB101" s="292" t="s">
        <v>212</v>
      </c>
      <c r="AC101" s="347" t="s">
        <v>212</v>
      </c>
      <c r="AD101" s="347"/>
      <c r="AE101" s="347"/>
      <c r="AF101" s="352"/>
      <c r="AG101" s="352"/>
      <c r="AH101" s="352" t="s">
        <v>617</v>
      </c>
      <c r="AI101" s="352"/>
      <c r="AJ101" s="314">
        <v>99</v>
      </c>
    </row>
    <row r="102" spans="1:37" ht="84.6" customHeight="1" thickBot="1">
      <c r="A102" s="263" t="s">
        <v>211</v>
      </c>
      <c r="B102" s="303" t="s">
        <v>365</v>
      </c>
      <c r="C102" s="276" t="s">
        <v>135</v>
      </c>
      <c r="D102" s="277" t="s">
        <v>366</v>
      </c>
      <c r="E102" s="278">
        <v>45108</v>
      </c>
      <c r="F102" s="279" t="s">
        <v>534</v>
      </c>
      <c r="G102" s="279"/>
      <c r="H102" s="253" t="s">
        <v>31</v>
      </c>
      <c r="I102" s="237"/>
      <c r="J102" s="244"/>
      <c r="K102" s="244"/>
      <c r="L102" s="245"/>
      <c r="M102" s="253"/>
      <c r="N102" s="237"/>
      <c r="O102" s="312"/>
      <c r="P102" s="312"/>
      <c r="Q102" s="313"/>
      <c r="R102" s="253"/>
      <c r="S102" s="237"/>
      <c r="T102" s="244"/>
      <c r="U102" s="245"/>
      <c r="V102" s="243"/>
      <c r="W102" s="237"/>
      <c r="X102" s="233"/>
      <c r="Y102" s="263" t="s">
        <v>394</v>
      </c>
      <c r="Z102" s="263" t="s">
        <v>395</v>
      </c>
      <c r="AA102" s="263"/>
      <c r="AB102" s="292" t="s">
        <v>212</v>
      </c>
      <c r="AC102" s="347" t="s">
        <v>212</v>
      </c>
      <c r="AD102" s="347"/>
      <c r="AE102" s="347"/>
      <c r="AF102" s="352"/>
      <c r="AG102" s="352"/>
      <c r="AH102" s="352" t="s">
        <v>617</v>
      </c>
      <c r="AI102" s="352"/>
      <c r="AJ102" s="314">
        <v>100</v>
      </c>
    </row>
    <row r="103" spans="1:37" ht="87.6" customHeight="1" thickBot="1">
      <c r="A103" s="263" t="s">
        <v>211</v>
      </c>
      <c r="B103" s="303" t="s">
        <v>367</v>
      </c>
      <c r="C103" s="276" t="s">
        <v>135</v>
      </c>
      <c r="D103" s="277" t="s">
        <v>368</v>
      </c>
      <c r="E103" s="278">
        <v>45108</v>
      </c>
      <c r="F103" s="279" t="s">
        <v>574</v>
      </c>
      <c r="G103" s="279"/>
      <c r="H103" s="253" t="s">
        <v>31</v>
      </c>
      <c r="I103" s="237" t="s">
        <v>575</v>
      </c>
      <c r="J103" s="244"/>
      <c r="K103" s="245"/>
      <c r="L103" s="245"/>
      <c r="M103" s="253"/>
      <c r="N103" s="328"/>
      <c r="O103" s="312"/>
      <c r="P103" s="312"/>
      <c r="Q103" s="313"/>
      <c r="R103" s="253"/>
      <c r="S103" s="237"/>
      <c r="T103" s="244"/>
      <c r="U103" s="244"/>
      <c r="V103" s="243"/>
      <c r="W103" s="237"/>
      <c r="X103" s="233"/>
      <c r="Y103" s="263" t="s">
        <v>394</v>
      </c>
      <c r="Z103" s="263" t="s">
        <v>395</v>
      </c>
      <c r="AA103" s="263"/>
      <c r="AB103" s="292" t="s">
        <v>212</v>
      </c>
      <c r="AC103" s="347" t="s">
        <v>212</v>
      </c>
      <c r="AD103" s="347"/>
      <c r="AE103" s="347"/>
      <c r="AF103" s="352"/>
      <c r="AG103" s="352"/>
      <c r="AH103" s="352" t="s">
        <v>617</v>
      </c>
      <c r="AI103" s="352"/>
      <c r="AJ103" s="314">
        <v>101</v>
      </c>
    </row>
    <row r="104" spans="1:37" ht="95.4" customHeight="1" thickBot="1">
      <c r="A104" s="263" t="s">
        <v>211</v>
      </c>
      <c r="B104" s="303" t="s">
        <v>369</v>
      </c>
      <c r="C104" s="276" t="s">
        <v>135</v>
      </c>
      <c r="D104" s="277" t="s">
        <v>370</v>
      </c>
      <c r="E104" s="278">
        <v>45170</v>
      </c>
      <c r="F104" s="279"/>
      <c r="G104" s="279"/>
      <c r="H104" s="253" t="s">
        <v>35</v>
      </c>
      <c r="I104" s="237"/>
      <c r="J104" s="241"/>
      <c r="K104" s="241"/>
      <c r="L104" s="242"/>
      <c r="M104" s="253"/>
      <c r="N104" s="238"/>
      <c r="O104" s="312"/>
      <c r="P104" s="312"/>
      <c r="Q104" s="313"/>
      <c r="R104" s="253"/>
      <c r="S104" s="238"/>
      <c r="T104" s="241"/>
      <c r="U104" s="242"/>
      <c r="V104" s="243"/>
      <c r="W104" s="238"/>
      <c r="X104" s="233"/>
      <c r="Y104" s="263" t="s">
        <v>394</v>
      </c>
      <c r="Z104" s="263" t="s">
        <v>395</v>
      </c>
      <c r="AA104" s="263"/>
      <c r="AB104" s="292" t="s">
        <v>212</v>
      </c>
      <c r="AC104" s="347" t="s">
        <v>212</v>
      </c>
      <c r="AD104" s="347"/>
      <c r="AE104" s="347"/>
      <c r="AF104" s="352"/>
      <c r="AG104" s="352"/>
      <c r="AH104" s="352" t="s">
        <v>617</v>
      </c>
      <c r="AI104" s="352"/>
      <c r="AJ104" s="314">
        <v>102</v>
      </c>
    </row>
    <row r="105" spans="1:37" ht="88.2" customHeight="1" thickBot="1">
      <c r="A105" s="263" t="s">
        <v>211</v>
      </c>
      <c r="B105" s="303" t="s">
        <v>371</v>
      </c>
      <c r="C105" s="276" t="s">
        <v>90</v>
      </c>
      <c r="D105" s="277" t="s">
        <v>372</v>
      </c>
      <c r="E105" s="278">
        <v>45352</v>
      </c>
      <c r="F105" s="279" t="s">
        <v>535</v>
      </c>
      <c r="G105" s="279"/>
      <c r="H105" s="253" t="s">
        <v>31</v>
      </c>
      <c r="I105" s="237"/>
      <c r="J105" s="244"/>
      <c r="K105" s="244"/>
      <c r="L105" s="245"/>
      <c r="M105" s="253"/>
      <c r="N105" s="237"/>
      <c r="O105" s="241"/>
      <c r="P105" s="312"/>
      <c r="Q105" s="313"/>
      <c r="R105" s="253"/>
      <c r="S105" s="237"/>
      <c r="T105" s="244"/>
      <c r="U105" s="245"/>
      <c r="V105" s="243"/>
      <c r="W105" s="237"/>
      <c r="X105" s="233"/>
      <c r="Y105" s="263" t="s">
        <v>394</v>
      </c>
      <c r="Z105" s="263" t="s">
        <v>395</v>
      </c>
      <c r="AA105" s="263"/>
      <c r="AB105" s="292" t="s">
        <v>212</v>
      </c>
      <c r="AC105" s="347" t="s">
        <v>212</v>
      </c>
      <c r="AD105" s="347"/>
      <c r="AE105" s="347"/>
      <c r="AF105" s="352"/>
      <c r="AG105" s="352"/>
      <c r="AH105" s="352" t="s">
        <v>617</v>
      </c>
      <c r="AI105" s="352"/>
      <c r="AJ105" s="314">
        <v>103</v>
      </c>
    </row>
    <row r="106" spans="1:37" ht="73.2" customHeight="1" thickBot="1">
      <c r="A106" s="263" t="s">
        <v>211</v>
      </c>
      <c r="B106" s="303" t="s">
        <v>373</v>
      </c>
      <c r="C106" s="276" t="s">
        <v>90</v>
      </c>
      <c r="D106" s="277" t="s">
        <v>136</v>
      </c>
      <c r="E106" s="278">
        <v>45352</v>
      </c>
      <c r="F106" s="279" t="s">
        <v>536</v>
      </c>
      <c r="G106" s="279"/>
      <c r="H106" s="253" t="s">
        <v>35</v>
      </c>
      <c r="I106" s="237"/>
      <c r="J106" s="241"/>
      <c r="K106" s="244"/>
      <c r="L106" s="245"/>
      <c r="M106" s="253"/>
      <c r="N106" s="237"/>
      <c r="O106" s="241"/>
      <c r="P106" s="312"/>
      <c r="Q106" s="313"/>
      <c r="R106" s="253"/>
      <c r="S106" s="237"/>
      <c r="T106" s="247"/>
      <c r="U106" s="245"/>
      <c r="V106" s="243"/>
      <c r="W106" s="237"/>
      <c r="X106" s="233"/>
      <c r="Y106" s="263" t="s">
        <v>394</v>
      </c>
      <c r="Z106" s="263" t="s">
        <v>395</v>
      </c>
      <c r="AA106" s="263"/>
      <c r="AB106" s="292" t="s">
        <v>212</v>
      </c>
      <c r="AC106" s="347" t="s">
        <v>487</v>
      </c>
      <c r="AD106" s="347" t="s">
        <v>212</v>
      </c>
      <c r="AE106" s="347"/>
      <c r="AF106" s="352"/>
      <c r="AG106" s="352"/>
      <c r="AH106" s="352" t="s">
        <v>617</v>
      </c>
      <c r="AI106" s="352" t="s">
        <v>617</v>
      </c>
      <c r="AJ106" s="314">
        <v>104</v>
      </c>
    </row>
    <row r="107" spans="1:37" ht="73.2" customHeight="1" thickBot="1">
      <c r="A107" s="263" t="s">
        <v>429</v>
      </c>
      <c r="B107" s="303" t="s">
        <v>374</v>
      </c>
      <c r="C107" s="276" t="s">
        <v>4</v>
      </c>
      <c r="D107" s="277" t="s">
        <v>94</v>
      </c>
      <c r="E107" s="278" t="s">
        <v>106</v>
      </c>
      <c r="F107" s="334" t="s">
        <v>514</v>
      </c>
      <c r="G107" s="279"/>
      <c r="H107" s="253" t="s">
        <v>31</v>
      </c>
      <c r="I107" s="237"/>
      <c r="J107" s="241"/>
      <c r="K107" s="241"/>
      <c r="L107" s="242"/>
      <c r="M107" s="253"/>
      <c r="N107" s="238"/>
      <c r="O107" s="312"/>
      <c r="P107" s="312"/>
      <c r="Q107" s="313"/>
      <c r="R107" s="253"/>
      <c r="S107" s="238"/>
      <c r="T107" s="241"/>
      <c r="U107" s="242"/>
      <c r="V107" s="243"/>
      <c r="W107" s="238"/>
      <c r="X107" s="233"/>
      <c r="Y107" s="263" t="s">
        <v>394</v>
      </c>
      <c r="Z107" s="263" t="s">
        <v>406</v>
      </c>
      <c r="AA107" s="263"/>
      <c r="AB107" s="292" t="s">
        <v>212</v>
      </c>
      <c r="AC107" s="347" t="s">
        <v>487</v>
      </c>
      <c r="AD107" s="347" t="s">
        <v>212</v>
      </c>
      <c r="AE107" s="347"/>
      <c r="AF107" s="352"/>
      <c r="AG107" s="352"/>
      <c r="AH107" s="352" t="s">
        <v>617</v>
      </c>
      <c r="AI107" s="352" t="s">
        <v>617</v>
      </c>
      <c r="AJ107" s="314">
        <v>105</v>
      </c>
    </row>
    <row r="108" spans="1:37" ht="73.2" customHeight="1" thickBot="1">
      <c r="A108" s="263" t="s">
        <v>429</v>
      </c>
      <c r="B108" s="303" t="s">
        <v>375</v>
      </c>
      <c r="C108" s="276" t="s">
        <v>6</v>
      </c>
      <c r="D108" s="277" t="s">
        <v>94</v>
      </c>
      <c r="E108" s="278" t="s">
        <v>106</v>
      </c>
      <c r="F108" s="282" t="s">
        <v>516</v>
      </c>
      <c r="G108" s="279"/>
      <c r="H108" s="253" t="s">
        <v>31</v>
      </c>
      <c r="I108" s="237"/>
      <c r="J108" s="244"/>
      <c r="K108" s="244"/>
      <c r="L108" s="245"/>
      <c r="M108" s="253"/>
      <c r="N108" s="237"/>
      <c r="O108" s="312"/>
      <c r="P108" s="312"/>
      <c r="Q108" s="313"/>
      <c r="R108" s="253"/>
      <c r="S108" s="237"/>
      <c r="T108" s="244"/>
      <c r="U108" s="245"/>
      <c r="V108" s="243"/>
      <c r="W108" s="237"/>
      <c r="X108" s="232"/>
      <c r="Y108" s="263" t="s">
        <v>394</v>
      </c>
      <c r="Z108" s="263" t="s">
        <v>406</v>
      </c>
      <c r="AA108" s="263"/>
      <c r="AB108" s="292" t="s">
        <v>212</v>
      </c>
      <c r="AC108" s="347" t="s">
        <v>487</v>
      </c>
      <c r="AD108" s="347" t="s">
        <v>212</v>
      </c>
      <c r="AE108" s="347"/>
      <c r="AF108" s="352"/>
      <c r="AG108" s="352"/>
      <c r="AH108" s="352" t="s">
        <v>617</v>
      </c>
      <c r="AI108" s="352" t="s">
        <v>617</v>
      </c>
      <c r="AJ108" s="314">
        <v>106</v>
      </c>
    </row>
    <row r="109" spans="1:37" ht="73.2" customHeight="1" thickBot="1">
      <c r="A109" s="263" t="s">
        <v>429</v>
      </c>
      <c r="B109" s="303" t="s">
        <v>376</v>
      </c>
      <c r="C109" s="276" t="s">
        <v>7</v>
      </c>
      <c r="D109" s="277" t="s">
        <v>5</v>
      </c>
      <c r="E109" s="278" t="s">
        <v>106</v>
      </c>
      <c r="F109" s="279" t="s">
        <v>515</v>
      </c>
      <c r="G109" s="279"/>
      <c r="H109" s="253" t="s">
        <v>31</v>
      </c>
      <c r="I109" s="237"/>
      <c r="J109" s="244"/>
      <c r="K109" s="244"/>
      <c r="L109" s="245"/>
      <c r="M109" s="253"/>
      <c r="N109" s="237"/>
      <c r="O109" s="312"/>
      <c r="P109" s="312"/>
      <c r="Q109" s="313"/>
      <c r="R109" s="253"/>
      <c r="S109" s="237"/>
      <c r="T109" s="244"/>
      <c r="U109" s="253"/>
      <c r="V109" s="243"/>
      <c r="W109" s="237"/>
      <c r="X109" s="232"/>
      <c r="Y109" s="263" t="s">
        <v>394</v>
      </c>
      <c r="Z109" s="263" t="s">
        <v>406</v>
      </c>
      <c r="AA109" s="263"/>
      <c r="AB109" s="292" t="s">
        <v>212</v>
      </c>
      <c r="AC109" s="347" t="s">
        <v>487</v>
      </c>
      <c r="AD109" s="347" t="s">
        <v>212</v>
      </c>
      <c r="AE109" s="347"/>
      <c r="AF109" s="352"/>
      <c r="AG109" s="352"/>
      <c r="AH109" s="352" t="s">
        <v>617</v>
      </c>
      <c r="AI109" s="352" t="s">
        <v>617</v>
      </c>
      <c r="AJ109" s="314">
        <v>107</v>
      </c>
    </row>
    <row r="110" spans="1:37" ht="73.2" customHeight="1" thickBot="1">
      <c r="A110" s="263" t="s">
        <v>429</v>
      </c>
      <c r="B110" s="303" t="s">
        <v>377</v>
      </c>
      <c r="C110" s="276" t="s">
        <v>96</v>
      </c>
      <c r="D110" s="277" t="s">
        <v>197</v>
      </c>
      <c r="E110" s="278">
        <v>45078</v>
      </c>
      <c r="F110" s="280" t="s">
        <v>517</v>
      </c>
      <c r="G110" s="279"/>
      <c r="H110" s="253" t="s">
        <v>31</v>
      </c>
      <c r="I110" s="237"/>
      <c r="J110" s="319"/>
      <c r="K110" s="329"/>
      <c r="L110" s="322"/>
      <c r="M110" s="253"/>
      <c r="N110" s="238"/>
      <c r="O110" s="312"/>
      <c r="P110" s="312"/>
      <c r="Q110" s="313"/>
      <c r="R110" s="253"/>
      <c r="S110" s="238"/>
      <c r="T110" s="251"/>
      <c r="U110" s="258"/>
      <c r="V110" s="243"/>
      <c r="W110" s="238"/>
      <c r="X110" s="233"/>
      <c r="Y110" s="263" t="s">
        <v>394</v>
      </c>
      <c r="Z110" s="263" t="s">
        <v>406</v>
      </c>
      <c r="AA110" s="263"/>
      <c r="AB110" s="292" t="s">
        <v>212</v>
      </c>
      <c r="AC110" s="347" t="s">
        <v>487</v>
      </c>
      <c r="AD110" s="347"/>
      <c r="AE110" s="347"/>
      <c r="AF110" s="352"/>
      <c r="AG110" s="352"/>
      <c r="AH110" s="352"/>
      <c r="AI110" s="352" t="s">
        <v>617</v>
      </c>
      <c r="AJ110" s="314">
        <v>108</v>
      </c>
      <c r="AK110" s="314" t="s">
        <v>489</v>
      </c>
    </row>
    <row r="111" spans="1:37" ht="104.4" customHeight="1" thickBot="1">
      <c r="A111" s="263" t="s">
        <v>109</v>
      </c>
      <c r="B111" s="303" t="s">
        <v>378</v>
      </c>
      <c r="C111" s="276" t="s">
        <v>96</v>
      </c>
      <c r="D111" s="277" t="s">
        <v>198</v>
      </c>
      <c r="E111" s="278">
        <v>45231</v>
      </c>
      <c r="F111" s="280" t="s">
        <v>525</v>
      </c>
      <c r="G111" s="280"/>
      <c r="H111" s="253" t="s">
        <v>31</v>
      </c>
      <c r="I111" s="237"/>
      <c r="J111" s="251"/>
      <c r="K111" s="251"/>
      <c r="L111" s="280"/>
      <c r="M111" s="253"/>
      <c r="N111" s="237"/>
      <c r="O111" s="312"/>
      <c r="P111" s="312"/>
      <c r="Q111" s="313"/>
      <c r="R111" s="253"/>
      <c r="S111" s="238"/>
      <c r="T111" s="251"/>
      <c r="U111" s="342"/>
      <c r="V111" s="243"/>
      <c r="W111" s="238"/>
      <c r="X111" s="233"/>
      <c r="Y111" s="263" t="s">
        <v>394</v>
      </c>
      <c r="Z111" s="263" t="s">
        <v>406</v>
      </c>
      <c r="AA111" s="263"/>
      <c r="AB111" s="292" t="s">
        <v>212</v>
      </c>
      <c r="AC111" s="347" t="s">
        <v>487</v>
      </c>
      <c r="AD111" s="347"/>
      <c r="AE111" s="347"/>
      <c r="AF111" s="352"/>
      <c r="AG111" s="352"/>
      <c r="AH111" s="352"/>
      <c r="AI111" s="352" t="s">
        <v>617</v>
      </c>
      <c r="AJ111" s="314">
        <v>109</v>
      </c>
    </row>
    <row r="112" spans="1:37" ht="70.2" customHeight="1" thickBot="1">
      <c r="A112" s="263" t="s">
        <v>109</v>
      </c>
      <c r="B112" s="303" t="s">
        <v>464</v>
      </c>
      <c r="C112" s="276" t="s">
        <v>95</v>
      </c>
      <c r="D112" s="277" t="s">
        <v>465</v>
      </c>
      <c r="E112" s="278">
        <v>45352</v>
      </c>
      <c r="F112" s="280" t="s">
        <v>590</v>
      </c>
      <c r="G112" s="280"/>
      <c r="H112" s="253" t="s">
        <v>31</v>
      </c>
      <c r="I112" s="237"/>
      <c r="J112" s="329"/>
      <c r="K112" s="329"/>
      <c r="L112" s="322"/>
      <c r="M112" s="253"/>
      <c r="N112" s="238"/>
      <c r="O112" s="312"/>
      <c r="P112" s="312"/>
      <c r="Q112" s="313"/>
      <c r="R112" s="253"/>
      <c r="S112" s="238"/>
      <c r="T112" s="251"/>
      <c r="U112" s="342"/>
      <c r="V112" s="243"/>
      <c r="W112" s="238"/>
      <c r="X112" s="232"/>
      <c r="Y112" s="263" t="s">
        <v>394</v>
      </c>
      <c r="Z112" s="263" t="s">
        <v>406</v>
      </c>
      <c r="AA112" s="263"/>
      <c r="AB112" s="292" t="s">
        <v>212</v>
      </c>
      <c r="AC112" s="347" t="s">
        <v>487</v>
      </c>
      <c r="AD112" s="347"/>
      <c r="AE112" s="347"/>
      <c r="AF112" s="352"/>
      <c r="AG112" s="352"/>
      <c r="AH112" s="352"/>
      <c r="AI112" s="352" t="s">
        <v>617</v>
      </c>
      <c r="AJ112" s="314">
        <v>110</v>
      </c>
    </row>
    <row r="113" spans="1:36" ht="66" customHeight="1" thickBot="1">
      <c r="A113" s="263" t="s">
        <v>109</v>
      </c>
      <c r="B113" s="303" t="s">
        <v>467</v>
      </c>
      <c r="C113" s="276" t="s">
        <v>95</v>
      </c>
      <c r="D113" s="277" t="s">
        <v>466</v>
      </c>
      <c r="E113" s="278">
        <v>45352</v>
      </c>
      <c r="F113" s="280"/>
      <c r="G113" s="280"/>
      <c r="H113" s="253" t="s">
        <v>35</v>
      </c>
      <c r="I113" s="237"/>
      <c r="J113" s="329"/>
      <c r="K113" s="329"/>
      <c r="L113" s="322"/>
      <c r="M113" s="253"/>
      <c r="N113" s="238"/>
      <c r="O113" s="312"/>
      <c r="P113" s="312"/>
      <c r="Q113" s="313"/>
      <c r="R113" s="253"/>
      <c r="S113" s="238"/>
      <c r="T113" s="251"/>
      <c r="U113" s="342"/>
      <c r="V113" s="243"/>
      <c r="W113" s="238"/>
      <c r="X113" s="232"/>
      <c r="Y113" s="263" t="s">
        <v>394</v>
      </c>
      <c r="Z113" s="263" t="s">
        <v>406</v>
      </c>
      <c r="AA113" s="263"/>
      <c r="AB113" s="292" t="s">
        <v>212</v>
      </c>
      <c r="AC113" s="347" t="s">
        <v>487</v>
      </c>
      <c r="AD113" s="347"/>
      <c r="AE113" s="347"/>
      <c r="AF113" s="352"/>
      <c r="AG113" s="352"/>
      <c r="AH113" s="352"/>
      <c r="AI113" s="352" t="s">
        <v>617</v>
      </c>
      <c r="AJ113" s="314">
        <v>111</v>
      </c>
    </row>
    <row r="114" spans="1:36" ht="73.2" customHeight="1" thickBot="1">
      <c r="A114" s="263" t="s">
        <v>109</v>
      </c>
      <c r="B114" s="303" t="s">
        <v>379</v>
      </c>
      <c r="C114" s="276" t="s">
        <v>102</v>
      </c>
      <c r="D114" s="277" t="s">
        <v>380</v>
      </c>
      <c r="E114" s="278">
        <v>45200</v>
      </c>
      <c r="F114" s="279"/>
      <c r="G114" s="279"/>
      <c r="H114" s="253" t="s">
        <v>31</v>
      </c>
      <c r="I114" s="237"/>
      <c r="J114" s="244"/>
      <c r="K114" s="244"/>
      <c r="L114" s="245"/>
      <c r="M114" s="253"/>
      <c r="N114" s="237"/>
      <c r="O114" s="312"/>
      <c r="P114" s="312"/>
      <c r="Q114" s="313"/>
      <c r="R114" s="253"/>
      <c r="S114" s="237"/>
      <c r="T114" s="244"/>
      <c r="U114" s="245"/>
      <c r="V114" s="243"/>
      <c r="W114" s="237"/>
      <c r="X114" s="233"/>
      <c r="Y114" s="263" t="s">
        <v>394</v>
      </c>
      <c r="Z114" s="263" t="s">
        <v>406</v>
      </c>
      <c r="AA114" s="263"/>
      <c r="AB114" s="292" t="s">
        <v>212</v>
      </c>
      <c r="AC114" s="347" t="s">
        <v>212</v>
      </c>
      <c r="AD114" s="347"/>
      <c r="AE114" s="347"/>
      <c r="AF114" s="352"/>
      <c r="AG114" s="352"/>
      <c r="AH114" s="352" t="s">
        <v>617</v>
      </c>
      <c r="AI114" s="352"/>
      <c r="AJ114" s="314">
        <v>112</v>
      </c>
    </row>
    <row r="115" spans="1:36" ht="73.2" customHeight="1" thickBot="1">
      <c r="A115" s="263" t="s">
        <v>492</v>
      </c>
      <c r="B115" s="303" t="s">
        <v>381</v>
      </c>
      <c r="C115" s="276" t="s">
        <v>187</v>
      </c>
      <c r="D115" s="277" t="s">
        <v>188</v>
      </c>
      <c r="E115" s="278">
        <v>45261</v>
      </c>
      <c r="F115" s="279" t="s">
        <v>527</v>
      </c>
      <c r="G115" s="279"/>
      <c r="H115" s="253" t="s">
        <v>31</v>
      </c>
      <c r="I115" s="237"/>
      <c r="J115" s="245"/>
      <c r="K115" s="244"/>
      <c r="L115" s="245"/>
      <c r="M115" s="253"/>
      <c r="N115" s="237"/>
      <c r="O115" s="313"/>
      <c r="P115" s="312"/>
      <c r="Q115" s="313"/>
      <c r="R115" s="253"/>
      <c r="S115" s="237"/>
      <c r="T115" s="244"/>
      <c r="U115" s="245"/>
      <c r="V115" s="243"/>
      <c r="W115" s="237"/>
      <c r="X115" s="233"/>
      <c r="Y115" s="263" t="s">
        <v>404</v>
      </c>
      <c r="Z115" s="263" t="s">
        <v>419</v>
      </c>
      <c r="AA115" s="263"/>
      <c r="AB115" s="301" t="s">
        <v>215</v>
      </c>
      <c r="AC115" s="347" t="s">
        <v>487</v>
      </c>
      <c r="AD115" s="347"/>
      <c r="AE115" s="347"/>
      <c r="AF115" s="352"/>
      <c r="AG115" s="352"/>
      <c r="AH115" s="352"/>
      <c r="AI115" s="352" t="s">
        <v>617</v>
      </c>
      <c r="AJ115" s="314">
        <v>113</v>
      </c>
    </row>
    <row r="116" spans="1:36" ht="73.2" customHeight="1" thickBot="1">
      <c r="A116" s="263" t="s">
        <v>492</v>
      </c>
      <c r="B116" s="303" t="s">
        <v>382</v>
      </c>
      <c r="C116" s="276" t="s">
        <v>187</v>
      </c>
      <c r="D116" s="277" t="s">
        <v>105</v>
      </c>
      <c r="E116" s="278">
        <v>45352</v>
      </c>
      <c r="F116" s="279">
        <v>4.33</v>
      </c>
      <c r="G116" s="279">
        <v>4.5</v>
      </c>
      <c r="H116" s="253" t="s">
        <v>31</v>
      </c>
      <c r="I116" s="237" t="s">
        <v>526</v>
      </c>
      <c r="J116" s="245"/>
      <c r="K116" s="244"/>
      <c r="L116" s="245"/>
      <c r="M116" s="253"/>
      <c r="N116" s="237"/>
      <c r="O116" s="312"/>
      <c r="P116" s="312"/>
      <c r="Q116" s="313"/>
      <c r="R116" s="253"/>
      <c r="S116" s="237"/>
      <c r="T116" s="244"/>
      <c r="U116" s="245"/>
      <c r="V116" s="243"/>
      <c r="W116" s="237"/>
      <c r="X116" s="233"/>
      <c r="Y116" s="263" t="s">
        <v>404</v>
      </c>
      <c r="Z116" s="263" t="s">
        <v>419</v>
      </c>
      <c r="AA116" s="263"/>
      <c r="AB116" s="301" t="s">
        <v>215</v>
      </c>
      <c r="AC116" s="347" t="s">
        <v>487</v>
      </c>
      <c r="AD116" s="347"/>
      <c r="AE116" s="347"/>
      <c r="AF116" s="352"/>
      <c r="AG116" s="352"/>
      <c r="AH116" s="352"/>
      <c r="AI116" s="352" t="s">
        <v>617</v>
      </c>
      <c r="AJ116" s="314">
        <v>114</v>
      </c>
    </row>
    <row r="117" spans="1:36" ht="73.2" customHeight="1" thickBot="1">
      <c r="A117" s="263" t="s">
        <v>492</v>
      </c>
      <c r="B117" s="303" t="s">
        <v>458</v>
      </c>
      <c r="C117" s="276" t="s">
        <v>189</v>
      </c>
      <c r="D117" s="277" t="s">
        <v>461</v>
      </c>
      <c r="E117" s="278">
        <v>45352</v>
      </c>
      <c r="F117" s="336">
        <v>2577027.66</v>
      </c>
      <c r="G117" s="337" t="s">
        <v>539</v>
      </c>
      <c r="H117" s="253" t="s">
        <v>31</v>
      </c>
      <c r="I117" s="237" t="s">
        <v>540</v>
      </c>
      <c r="J117" s="245"/>
      <c r="K117" s="244"/>
      <c r="L117" s="245"/>
      <c r="M117" s="253"/>
      <c r="N117" s="237"/>
      <c r="O117" s="312"/>
      <c r="P117" s="312"/>
      <c r="Q117" s="313"/>
      <c r="R117" s="253"/>
      <c r="S117" s="237"/>
      <c r="T117" s="244"/>
      <c r="U117" s="245"/>
      <c r="V117" s="243"/>
      <c r="W117" s="237"/>
      <c r="X117" s="232"/>
      <c r="Y117" s="263" t="s">
        <v>404</v>
      </c>
      <c r="Z117" s="263" t="s">
        <v>419</v>
      </c>
      <c r="AA117" s="263"/>
      <c r="AB117" s="301" t="s">
        <v>215</v>
      </c>
      <c r="AC117" s="347" t="s">
        <v>487</v>
      </c>
      <c r="AD117" s="347"/>
      <c r="AE117" s="347"/>
      <c r="AF117" s="352"/>
      <c r="AG117" s="352"/>
      <c r="AH117" s="352"/>
      <c r="AI117" s="352" t="s">
        <v>617</v>
      </c>
      <c r="AJ117" s="314">
        <v>115</v>
      </c>
    </row>
    <row r="118" spans="1:36" ht="73.2" customHeight="1" thickBot="1">
      <c r="A118" s="263" t="s">
        <v>492</v>
      </c>
      <c r="B118" s="303" t="s">
        <v>459</v>
      </c>
      <c r="C118" s="276" t="s">
        <v>189</v>
      </c>
      <c r="D118" s="277" t="s">
        <v>462</v>
      </c>
      <c r="E118" s="278">
        <v>45352</v>
      </c>
      <c r="F118" s="336">
        <v>2297592.2799999998</v>
      </c>
      <c r="G118" s="279" t="s">
        <v>541</v>
      </c>
      <c r="H118" s="253" t="s">
        <v>31</v>
      </c>
      <c r="I118" s="237" t="s">
        <v>542</v>
      </c>
      <c r="J118" s="245"/>
      <c r="K118" s="244"/>
      <c r="L118" s="245"/>
      <c r="M118" s="253"/>
      <c r="N118" s="237"/>
      <c r="O118" s="312"/>
      <c r="P118" s="312"/>
      <c r="Q118" s="313"/>
      <c r="R118" s="253"/>
      <c r="S118" s="237"/>
      <c r="T118" s="244"/>
      <c r="U118" s="245"/>
      <c r="V118" s="243"/>
      <c r="W118" s="237"/>
      <c r="X118" s="232"/>
      <c r="Y118" s="263" t="s">
        <v>404</v>
      </c>
      <c r="Z118" s="263" t="s">
        <v>419</v>
      </c>
      <c r="AA118" s="263"/>
      <c r="AB118" s="301" t="s">
        <v>215</v>
      </c>
      <c r="AC118" s="347" t="s">
        <v>487</v>
      </c>
      <c r="AD118" s="347"/>
      <c r="AE118" s="347"/>
      <c r="AF118" s="352"/>
      <c r="AG118" s="352"/>
      <c r="AH118" s="352"/>
      <c r="AI118" s="352" t="s">
        <v>617</v>
      </c>
      <c r="AJ118" s="314">
        <v>116</v>
      </c>
    </row>
    <row r="119" spans="1:36" ht="73.2" customHeight="1" thickBot="1">
      <c r="A119" s="263" t="s">
        <v>492</v>
      </c>
      <c r="B119" s="303" t="s">
        <v>460</v>
      </c>
      <c r="C119" s="276" t="s">
        <v>189</v>
      </c>
      <c r="D119" s="277" t="s">
        <v>463</v>
      </c>
      <c r="E119" s="278">
        <v>45352</v>
      </c>
      <c r="F119" s="279" t="s">
        <v>543</v>
      </c>
      <c r="G119" s="279" t="s">
        <v>544</v>
      </c>
      <c r="H119" s="253" t="s">
        <v>35</v>
      </c>
      <c r="I119" s="237" t="s">
        <v>606</v>
      </c>
      <c r="J119" s="245"/>
      <c r="K119" s="244"/>
      <c r="L119" s="245"/>
      <c r="M119" s="253"/>
      <c r="N119" s="237"/>
      <c r="O119" s="312"/>
      <c r="P119" s="312"/>
      <c r="Q119" s="313"/>
      <c r="R119" s="253"/>
      <c r="S119" s="237"/>
      <c r="T119" s="244"/>
      <c r="U119" s="245"/>
      <c r="V119" s="243"/>
      <c r="W119" s="237"/>
      <c r="X119" s="232"/>
      <c r="Y119" s="263" t="s">
        <v>404</v>
      </c>
      <c r="Z119" s="263" t="s">
        <v>419</v>
      </c>
      <c r="AA119" s="263"/>
      <c r="AB119" s="301" t="s">
        <v>215</v>
      </c>
      <c r="AC119" s="347" t="s">
        <v>487</v>
      </c>
      <c r="AD119" s="347"/>
      <c r="AE119" s="347"/>
      <c r="AF119" s="352"/>
      <c r="AG119" s="352"/>
      <c r="AH119" s="352"/>
      <c r="AI119" s="352" t="s">
        <v>617</v>
      </c>
      <c r="AJ119" s="314">
        <v>117</v>
      </c>
    </row>
    <row r="120" spans="1:36" ht="73.2" customHeight="1" thickBot="1">
      <c r="A120" s="263" t="s">
        <v>492</v>
      </c>
      <c r="B120" s="303" t="s">
        <v>452</v>
      </c>
      <c r="C120" s="276" t="s">
        <v>190</v>
      </c>
      <c r="D120" s="277" t="s">
        <v>455</v>
      </c>
      <c r="E120" s="278">
        <v>45352</v>
      </c>
      <c r="F120" s="334">
        <v>0.91</v>
      </c>
      <c r="G120" s="335"/>
      <c r="H120" s="253" t="s">
        <v>31</v>
      </c>
      <c r="I120" s="237" t="s">
        <v>618</v>
      </c>
      <c r="J120" s="285"/>
      <c r="K120" s="244"/>
      <c r="L120" s="245"/>
      <c r="M120" s="253"/>
      <c r="N120" s="237"/>
      <c r="O120" s="312"/>
      <c r="P120" s="312"/>
      <c r="Q120" s="313"/>
      <c r="R120" s="253"/>
      <c r="S120" s="237"/>
      <c r="T120" s="244"/>
      <c r="U120" s="245"/>
      <c r="V120" s="243"/>
      <c r="W120" s="237"/>
      <c r="X120" s="232"/>
      <c r="Y120" s="263" t="s">
        <v>404</v>
      </c>
      <c r="Z120" s="263" t="s">
        <v>419</v>
      </c>
      <c r="AA120" s="263"/>
      <c r="AB120" s="301" t="s">
        <v>215</v>
      </c>
      <c r="AC120" s="347" t="s">
        <v>487</v>
      </c>
      <c r="AD120" s="347"/>
      <c r="AE120" s="347"/>
      <c r="AF120" s="352"/>
      <c r="AG120" s="352"/>
      <c r="AH120" s="352"/>
      <c r="AI120" s="352" t="s">
        <v>617</v>
      </c>
      <c r="AJ120" s="314">
        <v>118</v>
      </c>
    </row>
    <row r="121" spans="1:36" ht="73.2" customHeight="1" thickBot="1">
      <c r="A121" s="263" t="s">
        <v>492</v>
      </c>
      <c r="B121" s="303" t="s">
        <v>453</v>
      </c>
      <c r="C121" s="276" t="s">
        <v>190</v>
      </c>
      <c r="D121" s="277" t="s">
        <v>456</v>
      </c>
      <c r="E121" s="278">
        <v>45352</v>
      </c>
      <c r="F121" s="334">
        <v>0.85</v>
      </c>
      <c r="G121" s="335">
        <v>0.9</v>
      </c>
      <c r="H121" s="253" t="s">
        <v>31</v>
      </c>
      <c r="I121" s="237" t="s">
        <v>545</v>
      </c>
      <c r="J121" s="285"/>
      <c r="K121" s="244"/>
      <c r="L121" s="245"/>
      <c r="M121" s="253"/>
      <c r="N121" s="237"/>
      <c r="O121" s="312"/>
      <c r="P121" s="312"/>
      <c r="Q121" s="313"/>
      <c r="R121" s="253"/>
      <c r="S121" s="237"/>
      <c r="T121" s="244"/>
      <c r="U121" s="245"/>
      <c r="V121" s="243"/>
      <c r="W121" s="237"/>
      <c r="X121" s="232"/>
      <c r="Y121" s="263" t="s">
        <v>404</v>
      </c>
      <c r="Z121" s="263" t="s">
        <v>419</v>
      </c>
      <c r="AA121" s="263"/>
      <c r="AB121" s="301" t="s">
        <v>215</v>
      </c>
      <c r="AC121" s="347" t="s">
        <v>487</v>
      </c>
      <c r="AD121" s="347"/>
      <c r="AE121" s="347"/>
      <c r="AF121" s="352"/>
      <c r="AG121" s="352"/>
      <c r="AH121" s="352"/>
      <c r="AI121" s="352" t="s">
        <v>617</v>
      </c>
      <c r="AJ121" s="314">
        <v>119</v>
      </c>
    </row>
    <row r="122" spans="1:36" ht="73.2" customHeight="1" thickBot="1">
      <c r="A122" s="263" t="s">
        <v>492</v>
      </c>
      <c r="B122" s="303" t="s">
        <v>454</v>
      </c>
      <c r="C122" s="276" t="s">
        <v>190</v>
      </c>
      <c r="D122" s="277" t="s">
        <v>457</v>
      </c>
      <c r="E122" s="278">
        <v>45352</v>
      </c>
      <c r="F122" s="334">
        <v>0.33</v>
      </c>
      <c r="G122" s="335">
        <v>0.5</v>
      </c>
      <c r="H122" s="253" t="s">
        <v>31</v>
      </c>
      <c r="I122" s="237"/>
      <c r="J122" s="285"/>
      <c r="K122" s="244"/>
      <c r="L122" s="245"/>
      <c r="M122" s="253"/>
      <c r="N122" s="237"/>
      <c r="O122" s="312"/>
      <c r="P122" s="312"/>
      <c r="Q122" s="313"/>
      <c r="R122" s="253"/>
      <c r="S122" s="237"/>
      <c r="T122" s="244"/>
      <c r="U122" s="245"/>
      <c r="V122" s="243"/>
      <c r="W122" s="237"/>
      <c r="X122" s="232"/>
      <c r="Y122" s="263" t="s">
        <v>404</v>
      </c>
      <c r="Z122" s="263" t="s">
        <v>419</v>
      </c>
      <c r="AA122" s="263"/>
      <c r="AB122" s="301" t="s">
        <v>215</v>
      </c>
      <c r="AC122" s="347" t="s">
        <v>487</v>
      </c>
      <c r="AD122" s="347"/>
      <c r="AE122" s="347"/>
      <c r="AF122" s="352"/>
      <c r="AG122" s="352"/>
      <c r="AH122" s="352"/>
      <c r="AI122" s="352" t="s">
        <v>617</v>
      </c>
      <c r="AJ122" s="314">
        <v>120</v>
      </c>
    </row>
    <row r="123" spans="1:36" ht="73.2" customHeight="1" thickBot="1">
      <c r="A123" s="263" t="s">
        <v>492</v>
      </c>
      <c r="B123" s="303" t="s">
        <v>446</v>
      </c>
      <c r="C123" s="276" t="s">
        <v>449</v>
      </c>
      <c r="D123" s="277" t="s">
        <v>448</v>
      </c>
      <c r="E123" s="278">
        <v>45352</v>
      </c>
      <c r="F123" s="333" t="s">
        <v>537</v>
      </c>
      <c r="G123" s="335">
        <v>0.98</v>
      </c>
      <c r="H123" s="253" t="s">
        <v>31</v>
      </c>
      <c r="I123" s="237" t="s">
        <v>593</v>
      </c>
      <c r="J123" s="244"/>
      <c r="K123" s="244"/>
      <c r="L123" s="245"/>
      <c r="M123" s="253"/>
      <c r="N123" s="237"/>
      <c r="O123" s="312"/>
      <c r="P123" s="312"/>
      <c r="Q123" s="313"/>
      <c r="R123" s="253"/>
      <c r="S123" s="237"/>
      <c r="T123" s="244"/>
      <c r="U123" s="245"/>
      <c r="V123" s="243"/>
      <c r="W123" s="237"/>
      <c r="X123" s="233"/>
      <c r="Y123" s="263" t="s">
        <v>404</v>
      </c>
      <c r="Z123" s="263" t="s">
        <v>419</v>
      </c>
      <c r="AA123" s="263"/>
      <c r="AB123" s="301" t="s">
        <v>215</v>
      </c>
      <c r="AC123" s="347" t="s">
        <v>487</v>
      </c>
      <c r="AD123" s="347"/>
      <c r="AE123" s="347"/>
      <c r="AF123" s="352"/>
      <c r="AG123" s="352"/>
      <c r="AH123" s="352"/>
      <c r="AI123" s="352" t="s">
        <v>617</v>
      </c>
      <c r="AJ123" s="314">
        <v>121</v>
      </c>
    </row>
    <row r="124" spans="1:36" ht="73.2" customHeight="1" thickBot="1">
      <c r="A124" s="263" t="s">
        <v>492</v>
      </c>
      <c r="B124" s="303" t="s">
        <v>447</v>
      </c>
      <c r="C124" s="276" t="s">
        <v>450</v>
      </c>
      <c r="D124" s="277" t="s">
        <v>451</v>
      </c>
      <c r="E124" s="278">
        <v>45352</v>
      </c>
      <c r="F124" s="279" t="s">
        <v>538</v>
      </c>
      <c r="G124" s="335">
        <v>0.99</v>
      </c>
      <c r="H124" s="253" t="s">
        <v>31</v>
      </c>
      <c r="I124" s="237" t="s">
        <v>594</v>
      </c>
      <c r="J124" s="244"/>
      <c r="K124" s="244"/>
      <c r="L124" s="245"/>
      <c r="M124" s="253"/>
      <c r="N124" s="237"/>
      <c r="O124" s="312"/>
      <c r="P124" s="312"/>
      <c r="Q124" s="313"/>
      <c r="R124" s="253"/>
      <c r="S124" s="237"/>
      <c r="T124" s="244"/>
      <c r="U124" s="245"/>
      <c r="V124" s="243"/>
      <c r="W124" s="237"/>
      <c r="X124" s="233"/>
      <c r="Y124" s="263" t="s">
        <v>404</v>
      </c>
      <c r="Z124" s="263" t="s">
        <v>419</v>
      </c>
      <c r="AA124" s="263"/>
      <c r="AB124" s="301" t="s">
        <v>215</v>
      </c>
      <c r="AC124" s="347" t="s">
        <v>487</v>
      </c>
      <c r="AD124" s="347"/>
      <c r="AE124" s="347"/>
      <c r="AF124" s="352"/>
      <c r="AG124" s="352"/>
      <c r="AH124" s="352"/>
      <c r="AI124" s="352" t="s">
        <v>617</v>
      </c>
      <c r="AJ124" s="314">
        <v>122</v>
      </c>
    </row>
    <row r="125" spans="1:36" ht="73.2" customHeight="1" thickBot="1">
      <c r="A125" s="263" t="s">
        <v>428</v>
      </c>
      <c r="B125" s="303" t="s">
        <v>383</v>
      </c>
      <c r="C125" s="276" t="s">
        <v>206</v>
      </c>
      <c r="D125" s="277" t="s">
        <v>207</v>
      </c>
      <c r="E125" s="278">
        <v>45323</v>
      </c>
      <c r="F125" s="279"/>
      <c r="G125" s="279"/>
      <c r="H125" s="253" t="s">
        <v>35</v>
      </c>
      <c r="I125" s="237"/>
      <c r="J125" s="244"/>
      <c r="K125" s="244"/>
      <c r="L125" s="245"/>
      <c r="M125" s="253"/>
      <c r="N125" s="237"/>
      <c r="O125" s="312"/>
      <c r="P125" s="312"/>
      <c r="Q125" s="313"/>
      <c r="R125" s="253"/>
      <c r="S125" s="237"/>
      <c r="T125" s="244"/>
      <c r="U125" s="245"/>
      <c r="V125" s="243"/>
      <c r="W125" s="237"/>
      <c r="X125" s="233"/>
      <c r="Y125" s="263" t="s">
        <v>404</v>
      </c>
      <c r="Z125" s="263" t="s">
        <v>420</v>
      </c>
      <c r="AA125" s="263"/>
      <c r="AB125" s="301" t="s">
        <v>215</v>
      </c>
      <c r="AC125" s="347" t="s">
        <v>487</v>
      </c>
      <c r="AD125" s="347"/>
      <c r="AE125" s="347"/>
      <c r="AF125" s="352"/>
      <c r="AG125" s="352"/>
      <c r="AH125" s="352"/>
      <c r="AI125" s="352" t="s">
        <v>617</v>
      </c>
      <c r="AJ125" s="314">
        <v>123</v>
      </c>
    </row>
    <row r="126" spans="1:36" ht="73.2" customHeight="1" thickBot="1">
      <c r="A126" s="263" t="s">
        <v>115</v>
      </c>
      <c r="B126" s="303" t="s">
        <v>384</v>
      </c>
      <c r="C126" s="276" t="s">
        <v>206</v>
      </c>
      <c r="D126" s="277" t="s">
        <v>208</v>
      </c>
      <c r="E126" s="278">
        <v>45323</v>
      </c>
      <c r="F126" s="282" t="s">
        <v>491</v>
      </c>
      <c r="G126" s="279"/>
      <c r="H126" s="253" t="s">
        <v>35</v>
      </c>
      <c r="I126" s="237"/>
      <c r="J126" s="330"/>
      <c r="K126" s="244"/>
      <c r="L126" s="245"/>
      <c r="M126" s="253"/>
      <c r="N126" s="237"/>
      <c r="O126" s="312"/>
      <c r="P126" s="312"/>
      <c r="Q126" s="313"/>
      <c r="R126" s="253"/>
      <c r="S126" s="237"/>
      <c r="T126" s="244"/>
      <c r="U126" s="245"/>
      <c r="V126" s="243"/>
      <c r="W126" s="237"/>
      <c r="X126" s="232"/>
      <c r="Y126" s="263" t="s">
        <v>404</v>
      </c>
      <c r="Z126" s="263" t="s">
        <v>420</v>
      </c>
      <c r="AA126" s="263"/>
      <c r="AB126" s="301" t="s">
        <v>215</v>
      </c>
      <c r="AC126" s="347" t="s">
        <v>487</v>
      </c>
      <c r="AD126" s="347"/>
      <c r="AE126" s="347"/>
      <c r="AF126" s="352"/>
      <c r="AG126" s="352"/>
      <c r="AH126" s="352"/>
      <c r="AI126" s="352" t="s">
        <v>617</v>
      </c>
      <c r="AJ126" s="314">
        <v>124</v>
      </c>
    </row>
    <row r="127" spans="1:36" ht="73.2" customHeight="1" thickBot="1">
      <c r="A127" s="263" t="s">
        <v>115</v>
      </c>
      <c r="B127" s="303" t="s">
        <v>385</v>
      </c>
      <c r="C127" s="276" t="s">
        <v>206</v>
      </c>
      <c r="D127" s="277" t="s">
        <v>209</v>
      </c>
      <c r="E127" s="278">
        <v>45352</v>
      </c>
      <c r="F127" s="282"/>
      <c r="G127" s="279"/>
      <c r="H127" s="253" t="s">
        <v>35</v>
      </c>
      <c r="I127" s="283"/>
      <c r="J127" s="244"/>
      <c r="K127" s="244"/>
      <c r="L127" s="245"/>
      <c r="M127" s="253"/>
      <c r="N127" s="237"/>
      <c r="O127" s="312"/>
      <c r="P127" s="312"/>
      <c r="Q127" s="313"/>
      <c r="R127" s="253"/>
      <c r="S127" s="237"/>
      <c r="T127" s="244"/>
      <c r="U127" s="245"/>
      <c r="V127" s="243"/>
      <c r="W127" s="237"/>
      <c r="X127" s="233"/>
      <c r="Y127" s="263" t="s">
        <v>404</v>
      </c>
      <c r="Z127" s="263" t="s">
        <v>420</v>
      </c>
      <c r="AA127" s="263"/>
      <c r="AB127" s="301" t="s">
        <v>215</v>
      </c>
      <c r="AC127" s="347" t="s">
        <v>487</v>
      </c>
      <c r="AD127" s="347"/>
      <c r="AE127" s="347"/>
      <c r="AF127" s="352"/>
      <c r="AG127" s="352"/>
      <c r="AH127" s="352"/>
      <c r="AI127" s="352" t="s">
        <v>617</v>
      </c>
      <c r="AJ127" s="314">
        <v>125</v>
      </c>
    </row>
    <row r="128" spans="1:36" ht="73.2" customHeight="1" thickBot="1">
      <c r="A128" s="263" t="s">
        <v>108</v>
      </c>
      <c r="B128" s="303" t="s">
        <v>386</v>
      </c>
      <c r="C128" s="276" t="s">
        <v>176</v>
      </c>
      <c r="D128" s="277" t="s">
        <v>177</v>
      </c>
      <c r="E128" s="278">
        <v>45352</v>
      </c>
      <c r="F128" s="282" t="s">
        <v>510</v>
      </c>
      <c r="G128" s="279"/>
      <c r="H128" s="253" t="s">
        <v>31</v>
      </c>
      <c r="I128" s="237"/>
      <c r="J128" s="244"/>
      <c r="K128" s="244"/>
      <c r="L128" s="245"/>
      <c r="M128" s="253"/>
      <c r="N128" s="237"/>
      <c r="O128" s="312"/>
      <c r="P128" s="312"/>
      <c r="Q128" s="313"/>
      <c r="R128" s="253"/>
      <c r="S128" s="237"/>
      <c r="T128" s="244"/>
      <c r="U128" s="273"/>
      <c r="V128" s="243"/>
      <c r="W128" s="237"/>
      <c r="X128" s="233"/>
      <c r="Y128" s="263" t="s">
        <v>399</v>
      </c>
      <c r="Z128" s="263" t="s">
        <v>397</v>
      </c>
      <c r="AA128" s="263"/>
      <c r="AB128" s="294" t="s">
        <v>434</v>
      </c>
      <c r="AC128" s="347" t="s">
        <v>487</v>
      </c>
      <c r="AD128" s="347"/>
      <c r="AE128" s="347"/>
      <c r="AF128" s="352"/>
      <c r="AG128" s="352"/>
      <c r="AH128" s="352"/>
      <c r="AI128" s="352" t="s">
        <v>617</v>
      </c>
      <c r="AJ128" s="314">
        <v>126</v>
      </c>
    </row>
    <row r="129" spans="1:36" ht="73.2" customHeight="1" thickBot="1">
      <c r="A129" s="263" t="s">
        <v>108</v>
      </c>
      <c r="B129" s="303" t="s">
        <v>387</v>
      </c>
      <c r="C129" s="276" t="s">
        <v>199</v>
      </c>
      <c r="D129" s="277" t="s">
        <v>388</v>
      </c>
      <c r="E129" s="278">
        <v>45231</v>
      </c>
      <c r="F129" s="279" t="s">
        <v>507</v>
      </c>
      <c r="G129" s="279"/>
      <c r="H129" s="253" t="s">
        <v>31</v>
      </c>
      <c r="I129" s="237"/>
      <c r="J129" s="244"/>
      <c r="K129" s="273"/>
      <c r="L129" s="245"/>
      <c r="M129" s="253"/>
      <c r="N129" s="237"/>
      <c r="O129" s="312"/>
      <c r="P129" s="312"/>
      <c r="Q129" s="313"/>
      <c r="R129" s="253"/>
      <c r="S129" s="237"/>
      <c r="T129" s="244"/>
      <c r="U129" s="273"/>
      <c r="V129" s="243"/>
      <c r="W129" s="244"/>
      <c r="X129" s="232"/>
      <c r="Y129" s="263" t="s">
        <v>399</v>
      </c>
      <c r="Z129" s="263" t="s">
        <v>397</v>
      </c>
      <c r="AA129" s="263"/>
      <c r="AB129" s="294" t="s">
        <v>434</v>
      </c>
      <c r="AC129" s="347" t="s">
        <v>487</v>
      </c>
      <c r="AD129" s="347"/>
      <c r="AE129" s="347"/>
      <c r="AF129" s="352"/>
      <c r="AG129" s="352"/>
      <c r="AH129" s="352"/>
      <c r="AI129" s="352" t="s">
        <v>617</v>
      </c>
      <c r="AJ129" s="314">
        <v>127</v>
      </c>
    </row>
    <row r="130" spans="1:36" ht="73.2" customHeight="1" thickBot="1">
      <c r="A130" s="263" t="s">
        <v>114</v>
      </c>
      <c r="B130" s="303" t="s">
        <v>389</v>
      </c>
      <c r="C130" s="276" t="s">
        <v>2</v>
      </c>
      <c r="D130" s="277" t="s">
        <v>486</v>
      </c>
      <c r="E130" s="302" t="s">
        <v>144</v>
      </c>
      <c r="F130" s="280" t="s">
        <v>608</v>
      </c>
      <c r="G130" s="279" t="s">
        <v>609</v>
      </c>
      <c r="H130" s="253" t="s">
        <v>31</v>
      </c>
      <c r="I130" s="237"/>
      <c r="J130" s="318"/>
      <c r="K130" s="244"/>
      <c r="L130" s="245"/>
      <c r="M130" s="253"/>
      <c r="N130" s="331"/>
      <c r="O130" s="312"/>
      <c r="P130" s="312"/>
      <c r="Q130" s="279"/>
      <c r="R130" s="253"/>
      <c r="S130" s="237"/>
      <c r="T130" s="251"/>
      <c r="U130" s="254"/>
      <c r="V130" s="243"/>
      <c r="W130" s="248"/>
      <c r="X130" s="233"/>
      <c r="Y130" s="263" t="s">
        <v>407</v>
      </c>
      <c r="Z130" s="263" t="s">
        <v>408</v>
      </c>
      <c r="AA130" s="263"/>
      <c r="AB130" s="294" t="s">
        <v>434</v>
      </c>
      <c r="AC130" s="347" t="s">
        <v>487</v>
      </c>
      <c r="AD130" s="347"/>
      <c r="AE130" s="347"/>
      <c r="AF130" s="352"/>
      <c r="AG130" s="352"/>
      <c r="AH130" s="352"/>
      <c r="AI130" s="352" t="s">
        <v>617</v>
      </c>
      <c r="AJ130" s="314">
        <v>128</v>
      </c>
    </row>
    <row r="131" spans="1:36" ht="73.2" customHeight="1" thickBot="1">
      <c r="A131" s="263" t="s">
        <v>114</v>
      </c>
      <c r="B131" s="303" t="s">
        <v>390</v>
      </c>
      <c r="C131" s="276" t="s">
        <v>103</v>
      </c>
      <c r="D131" s="277" t="s">
        <v>196</v>
      </c>
      <c r="E131" s="278">
        <v>45352</v>
      </c>
      <c r="F131" s="279"/>
      <c r="G131" s="279"/>
      <c r="H131" s="253" t="s">
        <v>35</v>
      </c>
      <c r="I131" s="237"/>
      <c r="J131" s="241"/>
      <c r="K131" s="241"/>
      <c r="L131" s="242"/>
      <c r="M131" s="253"/>
      <c r="N131" s="238"/>
      <c r="O131" s="312"/>
      <c r="P131" s="312"/>
      <c r="Q131" s="313"/>
      <c r="R131" s="253"/>
      <c r="S131" s="238"/>
      <c r="T131" s="241"/>
      <c r="U131" s="242"/>
      <c r="V131" s="243"/>
      <c r="W131" s="238"/>
      <c r="X131" s="232"/>
      <c r="Y131" s="263" t="s">
        <v>407</v>
      </c>
      <c r="Z131" s="263" t="s">
        <v>408</v>
      </c>
      <c r="AA131" s="263"/>
      <c r="AB131" s="294" t="s">
        <v>434</v>
      </c>
      <c r="AC131" s="347" t="s">
        <v>487</v>
      </c>
      <c r="AD131" s="347"/>
      <c r="AE131" s="347"/>
      <c r="AF131" s="352"/>
      <c r="AG131" s="352"/>
      <c r="AH131" s="352"/>
      <c r="AI131" s="352" t="s">
        <v>617</v>
      </c>
      <c r="AJ131" s="314">
        <v>129</v>
      </c>
    </row>
    <row r="132" spans="1:36" ht="73.2" customHeight="1" thickBot="1">
      <c r="A132" s="263" t="s">
        <v>108</v>
      </c>
      <c r="B132" s="303" t="s">
        <v>391</v>
      </c>
      <c r="C132" s="276" t="s">
        <v>200</v>
      </c>
      <c r="D132" s="277" t="s">
        <v>201</v>
      </c>
      <c r="E132" s="278">
        <v>45017</v>
      </c>
      <c r="F132" s="279" t="s">
        <v>506</v>
      </c>
      <c r="G132" s="279"/>
      <c r="H132" s="253" t="s">
        <v>22</v>
      </c>
      <c r="I132" s="237"/>
      <c r="J132" s="241"/>
      <c r="K132" s="241"/>
      <c r="L132" s="242"/>
      <c r="M132" s="253"/>
      <c r="N132" s="238"/>
      <c r="O132" s="312"/>
      <c r="P132" s="312"/>
      <c r="Q132" s="313"/>
      <c r="R132" s="253"/>
      <c r="S132" s="238"/>
      <c r="T132" s="241"/>
      <c r="U132" s="242"/>
      <c r="V132" s="243"/>
      <c r="W132" s="238"/>
      <c r="X132" s="232"/>
      <c r="Y132" s="263" t="s">
        <v>399</v>
      </c>
      <c r="Z132" s="263" t="s">
        <v>397</v>
      </c>
      <c r="AA132" s="263"/>
      <c r="AB132" s="294" t="s">
        <v>434</v>
      </c>
      <c r="AC132" s="347" t="s">
        <v>487</v>
      </c>
      <c r="AD132" s="347"/>
      <c r="AE132" s="347"/>
      <c r="AF132" s="352"/>
      <c r="AG132" s="352"/>
      <c r="AH132" s="352"/>
      <c r="AI132" s="352" t="s">
        <v>617</v>
      </c>
      <c r="AJ132" s="314">
        <v>130</v>
      </c>
    </row>
    <row r="133" spans="1:36" ht="73.2" customHeight="1" thickBot="1">
      <c r="A133" s="263" t="s">
        <v>108</v>
      </c>
      <c r="B133" s="303" t="s">
        <v>392</v>
      </c>
      <c r="C133" s="276" t="s">
        <v>202</v>
      </c>
      <c r="D133" s="277" t="s">
        <v>203</v>
      </c>
      <c r="E133" s="278">
        <v>45047</v>
      </c>
      <c r="F133" s="279" t="s">
        <v>573</v>
      </c>
      <c r="G133" s="279"/>
      <c r="H133" s="253" t="s">
        <v>22</v>
      </c>
      <c r="I133" s="237"/>
      <c r="J133" s="241"/>
      <c r="K133" s="241"/>
      <c r="L133" s="242"/>
      <c r="M133" s="253"/>
      <c r="N133" s="238"/>
      <c r="O133" s="312"/>
      <c r="P133" s="312"/>
      <c r="Q133" s="313"/>
      <c r="R133" s="253"/>
      <c r="S133" s="238"/>
      <c r="T133" s="241"/>
      <c r="U133" s="242"/>
      <c r="V133" s="243"/>
      <c r="W133" s="238"/>
      <c r="X133" s="233"/>
      <c r="Y133" s="263" t="s">
        <v>399</v>
      </c>
      <c r="Z133" s="263" t="s">
        <v>397</v>
      </c>
      <c r="AA133" s="263"/>
      <c r="AB133" s="294" t="s">
        <v>434</v>
      </c>
      <c r="AC133" s="347" t="s">
        <v>487</v>
      </c>
      <c r="AD133" s="347"/>
      <c r="AE133" s="347"/>
      <c r="AF133" s="352"/>
      <c r="AG133" s="352"/>
      <c r="AH133" s="352"/>
      <c r="AI133" s="352" t="s">
        <v>617</v>
      </c>
      <c r="AJ133" s="314">
        <v>131</v>
      </c>
    </row>
    <row r="134" spans="1:36" ht="73.2" customHeight="1" thickBot="1">
      <c r="A134" s="263" t="s">
        <v>114</v>
      </c>
      <c r="B134" s="303" t="s">
        <v>393</v>
      </c>
      <c r="C134" s="276" t="s">
        <v>104</v>
      </c>
      <c r="D134" s="277" t="s">
        <v>204</v>
      </c>
      <c r="E134" s="278" t="s">
        <v>205</v>
      </c>
      <c r="F134" s="279"/>
      <c r="G134" s="279"/>
      <c r="H134" s="253" t="s">
        <v>35</v>
      </c>
      <c r="I134" s="237"/>
      <c r="J134" s="244"/>
      <c r="K134" s="244"/>
      <c r="L134" s="245"/>
      <c r="M134" s="253"/>
      <c r="N134" s="237"/>
      <c r="O134" s="312"/>
      <c r="P134" s="312"/>
      <c r="Q134" s="313"/>
      <c r="R134" s="253"/>
      <c r="S134" s="237"/>
      <c r="T134" s="244"/>
      <c r="U134" s="245"/>
      <c r="V134" s="243"/>
      <c r="W134" s="237"/>
      <c r="X134" s="233"/>
      <c r="Y134" s="263" t="s">
        <v>407</v>
      </c>
      <c r="Z134" s="263" t="s">
        <v>408</v>
      </c>
      <c r="AA134" s="263"/>
      <c r="AB134" s="294" t="s">
        <v>434</v>
      </c>
      <c r="AC134" s="347" t="s">
        <v>487</v>
      </c>
      <c r="AD134" s="347"/>
      <c r="AE134" s="347"/>
      <c r="AF134" s="352"/>
      <c r="AG134" s="352"/>
      <c r="AH134" s="352"/>
      <c r="AI134" s="352" t="s">
        <v>617</v>
      </c>
      <c r="AJ134" s="314">
        <v>132</v>
      </c>
    </row>
    <row r="135" spans="1:36" ht="97.95" customHeight="1">
      <c r="AF135" s="287">
        <v>34</v>
      </c>
      <c r="AG135" s="287">
        <v>24</v>
      </c>
      <c r="AH135" s="287">
        <v>46</v>
      </c>
      <c r="AI135" s="287">
        <v>57</v>
      </c>
    </row>
    <row r="153" spans="1:1" ht="97.95" customHeight="1">
      <c r="A153" s="265" t="s">
        <v>21</v>
      </c>
    </row>
    <row r="154" spans="1:1" ht="97.95" customHeight="1">
      <c r="A154" s="265" t="s">
        <v>22</v>
      </c>
    </row>
    <row r="155" spans="1:1" ht="97.95" customHeight="1">
      <c r="A155" s="265" t="s">
        <v>23</v>
      </c>
    </row>
    <row r="156" spans="1:1" ht="97.95" customHeight="1">
      <c r="A156" s="265" t="s">
        <v>24</v>
      </c>
    </row>
    <row r="157" spans="1:1" ht="97.95" customHeight="1">
      <c r="A157" s="265" t="s">
        <v>25</v>
      </c>
    </row>
    <row r="158" spans="1:1" ht="97.95" customHeight="1">
      <c r="A158" s="265" t="s">
        <v>26</v>
      </c>
    </row>
    <row r="159" spans="1:1" ht="97.95" customHeight="1">
      <c r="A159" s="265" t="s">
        <v>27</v>
      </c>
    </row>
    <row r="160" spans="1:1" ht="97.95" customHeight="1">
      <c r="A160" s="265" t="s">
        <v>28</v>
      </c>
    </row>
    <row r="161" spans="1:1" ht="97.95" customHeight="1">
      <c r="A161" s="265" t="s">
        <v>29</v>
      </c>
    </row>
    <row r="162" spans="1:1" ht="97.95" customHeight="1">
      <c r="A162" s="265" t="s">
        <v>30</v>
      </c>
    </row>
    <row r="163" spans="1:1" ht="97.95" customHeight="1">
      <c r="A163" s="234"/>
    </row>
    <row r="164" spans="1:1" ht="97.95" customHeight="1">
      <c r="A164" s="234"/>
    </row>
    <row r="165" spans="1:1" ht="97.95" customHeight="1">
      <c r="A165" s="234"/>
    </row>
    <row r="166" spans="1:1" ht="97.95" customHeight="1">
      <c r="A166" s="235"/>
    </row>
    <row r="167" spans="1:1" ht="97.95" customHeight="1">
      <c r="A167" s="235"/>
    </row>
    <row r="168" spans="1:1" ht="97.95" customHeight="1">
      <c r="A168" s="234"/>
    </row>
    <row r="169" spans="1:1" ht="97.95" customHeight="1">
      <c r="A169" s="234"/>
    </row>
    <row r="170" spans="1:1" ht="97.95" customHeight="1">
      <c r="A170" s="234"/>
    </row>
    <row r="171" spans="1:1" ht="97.95" customHeight="1">
      <c r="A171" s="236" t="s">
        <v>22</v>
      </c>
    </row>
    <row r="172" spans="1:1" ht="97.95" customHeight="1">
      <c r="A172" s="236" t="s">
        <v>31</v>
      </c>
    </row>
    <row r="173" spans="1:1" ht="97.95" customHeight="1">
      <c r="A173" s="236" t="s">
        <v>32</v>
      </c>
    </row>
    <row r="174" spans="1:1" ht="97.95" customHeight="1">
      <c r="A174" s="236" t="s">
        <v>26</v>
      </c>
    </row>
    <row r="175" spans="1:1" ht="97.95" customHeight="1">
      <c r="A175" s="236" t="s">
        <v>33</v>
      </c>
    </row>
    <row r="176" spans="1:1" ht="97.95" customHeight="1">
      <c r="A176" s="266" t="s">
        <v>30</v>
      </c>
    </row>
    <row r="177" spans="1:1" ht="97.95" customHeight="1">
      <c r="A177" s="236" t="s">
        <v>35</v>
      </c>
    </row>
    <row r="178" spans="1:1" ht="97.95" customHeight="1">
      <c r="A178" s="236" t="s">
        <v>34</v>
      </c>
    </row>
    <row r="179" spans="1:1" ht="97.95" customHeight="1">
      <c r="A179" s="236" t="s">
        <v>29</v>
      </c>
    </row>
  </sheetData>
  <sheetProtection selectLockedCells="1" autoFilter="0" pivotTables="0"/>
  <autoFilter ref="A2:AJ136"/>
  <sortState ref="A3:AJ134">
    <sortCondition ref="AJ3:AJ134"/>
  </sortState>
  <mergeCells count="6">
    <mergeCell ref="AF1:AI1"/>
    <mergeCell ref="F1:I1"/>
    <mergeCell ref="J1:N1"/>
    <mergeCell ref="O1:S1"/>
    <mergeCell ref="T1:W1"/>
    <mergeCell ref="AC1:AE1"/>
  </mergeCells>
  <conditionalFormatting sqref="R3:R13 M3:M13 H3:H13 H125:H134 M125:M134 R125:R134 H123 M123 R123 H120 M120 R120 H114:H117 M114:M117 R114:R117 H69:H87 M69:M87 R69:R87 R89:R112 M89:M112 H89:H112 H15:H65 M15:M65 R15:R65">
    <cfRule type="containsText" dxfId="4270" priority="2169" operator="containsText" text="Deferred">
      <formula>NOT(ISERROR(SEARCH("Deferred",H3)))</formula>
    </cfRule>
    <cfRule type="containsText" dxfId="4269" priority="2171" operator="containsText" text="Update Not Provided">
      <formula>NOT(ISERROR(SEARCH("Update Not Provided",H3)))</formula>
    </cfRule>
    <cfRule type="containsText" dxfId="4268" priority="2172" operator="containsText" text="Not Yet Due">
      <formula>NOT(ISERROR(SEARCH("Not Yet Due",H3)))</formula>
    </cfRule>
    <cfRule type="containsText" dxfId="4267" priority="2173" operator="containsText" text="Deleted">
      <formula>NOT(ISERROR(SEARCH("Deleted",H3)))</formula>
    </cfRule>
    <cfRule type="containsText" dxfId="4266" priority="2174" operator="containsText" text="Completed Behind Schedule">
      <formula>NOT(ISERROR(SEARCH("Completed Behind Schedule",H3)))</formula>
    </cfRule>
    <cfRule type="containsText" dxfId="4265" priority="2175" operator="containsText" text="Off Target">
      <formula>NOT(ISERROR(SEARCH("Off Target",H3)))</formula>
    </cfRule>
    <cfRule type="containsText" dxfId="4264" priority="2176" operator="containsText" text="In Danger of Falling Behind Target">
      <formula>NOT(ISERROR(SEARCH("In Danger of Falling Behind Target",H3)))</formula>
    </cfRule>
    <cfRule type="containsText" dxfId="4263" priority="2177" operator="containsText" text="Fully Achieved">
      <formula>NOT(ISERROR(SEARCH("Fully Achieved",H3)))</formula>
    </cfRule>
    <cfRule type="containsText" dxfId="4262" priority="2178" operator="containsText" text="On track to be achieved">
      <formula>NOT(ISERROR(SEARCH("On track to be achieved",H3)))</formula>
    </cfRule>
  </conditionalFormatting>
  <conditionalFormatting sqref="V3:V13 V125:V134 V123 V120 V114:V117 V69:V87 V89:V112 V15:V65">
    <cfRule type="containsText" dxfId="4261" priority="1103" operator="containsText" text="Deleted">
      <formula>NOT(ISERROR(SEARCH("Deleted",V3)))</formula>
    </cfRule>
    <cfRule type="containsText" dxfId="4260" priority="1104" operator="containsText" text="Deferred">
      <formula>NOT(ISERROR(SEARCH("Deferred",V3)))</formula>
    </cfRule>
    <cfRule type="containsText" dxfId="4259" priority="1105" operator="containsText" text="Completion date within reasonable tolerance">
      <formula>NOT(ISERROR(SEARCH("Completion date within reasonable tolerance",V3)))</formula>
    </cfRule>
    <cfRule type="containsText" dxfId="4258" priority="1106" operator="containsText" text="completed significantly after target deadline">
      <formula>NOT(ISERROR(SEARCH("completed significantly after target deadline",V3)))</formula>
    </cfRule>
    <cfRule type="containsText" dxfId="4257" priority="1107" operator="containsText" text="Off target">
      <formula>NOT(ISERROR(SEARCH("Off target",V3)))</formula>
    </cfRule>
    <cfRule type="containsText" dxfId="4256" priority="1108" operator="containsText" text="Target partially met">
      <formula>NOT(ISERROR(SEARCH("Target partially met",V3)))</formula>
    </cfRule>
    <cfRule type="containsText" dxfId="4255" priority="1109" operator="containsText" text="Numerical outturn within 10% tolerance">
      <formula>NOT(ISERROR(SEARCH("Numerical outturn within 10% tolerance",V3)))</formula>
    </cfRule>
    <cfRule type="containsText" dxfId="4254" priority="1110" operator="containsText" text="Numerical outturn within 5% Tolerance">
      <formula>NOT(ISERROR(SEARCH("Numerical outturn within 5% Tolerance",V3)))</formula>
    </cfRule>
    <cfRule type="containsText" dxfId="4253" priority="1111" operator="containsText" text="Fully Achieved">
      <formula>NOT(ISERROR(SEARCH("Fully Achieved",V3)))</formula>
    </cfRule>
    <cfRule type="containsText" dxfId="4252" priority="1112" operator="containsText" text="Update Not Provided">
      <formula>NOT(ISERROR(SEARCH("Update Not Provided",V3)))</formula>
    </cfRule>
    <cfRule type="containsText" dxfId="4251" priority="1113" operator="containsText" text="Deferred">
      <formula>NOT(ISERROR(SEARCH("Deferred",V3)))</formula>
    </cfRule>
    <cfRule type="containsText" dxfId="4250" priority="1114" operator="containsText" text="Update Not Provided">
      <formula>NOT(ISERROR(SEARCH("Update Not Provided",V3)))</formula>
    </cfRule>
    <cfRule type="containsText" dxfId="4249" priority="1115" operator="containsText" text="Not Yet Due">
      <formula>NOT(ISERROR(SEARCH("Not Yet Due",V3)))</formula>
    </cfRule>
    <cfRule type="containsText" dxfId="4248" priority="1116" operator="containsText" text="Deleted">
      <formula>NOT(ISERROR(SEARCH("Deleted",V3)))</formula>
    </cfRule>
    <cfRule type="containsText" dxfId="4247" priority="1117" operator="containsText" text="Completed Behind Schedule">
      <formula>NOT(ISERROR(SEARCH("Completed Behind Schedule",V3)))</formula>
    </cfRule>
    <cfRule type="containsText" dxfId="4246" priority="1118" operator="containsText" text="Off Target">
      <formula>NOT(ISERROR(SEARCH("Off Target",V3)))</formula>
    </cfRule>
    <cfRule type="containsText" dxfId="4245" priority="1119" operator="containsText" text="In Danger of Falling Behind Target">
      <formula>NOT(ISERROR(SEARCH("In Danger of Falling Behind Target",V3)))</formula>
    </cfRule>
    <cfRule type="containsText" dxfId="4244" priority="1120" operator="containsText" text="Fully Achieved">
      <formula>NOT(ISERROR(SEARCH("Fully Achieved",V3)))</formula>
    </cfRule>
    <cfRule type="containsText" dxfId="4243" priority="1121" operator="containsText" text="On track to be achieved">
      <formula>NOT(ISERROR(SEARCH("On track to be achieved",V3)))</formula>
    </cfRule>
  </conditionalFormatting>
  <conditionalFormatting sqref="R124 M124 H124">
    <cfRule type="containsText" dxfId="4242" priority="300" operator="containsText" text="Deferred">
      <formula>NOT(ISERROR(SEARCH("Deferred",H124)))</formula>
    </cfRule>
    <cfRule type="containsText" dxfId="4241" priority="301" operator="containsText" text="Update Not Provided">
      <formula>NOT(ISERROR(SEARCH("Update Not Provided",H124)))</formula>
    </cfRule>
    <cfRule type="containsText" dxfId="4240" priority="302" operator="containsText" text="Not Yet Due">
      <formula>NOT(ISERROR(SEARCH("Not Yet Due",H124)))</formula>
    </cfRule>
    <cfRule type="containsText" dxfId="4239" priority="303" operator="containsText" text="Deleted">
      <formula>NOT(ISERROR(SEARCH("Deleted",H124)))</formula>
    </cfRule>
    <cfRule type="containsText" dxfId="4238" priority="304" operator="containsText" text="Completed Behind Schedule">
      <formula>NOT(ISERROR(SEARCH("Completed Behind Schedule",H124)))</formula>
    </cfRule>
    <cfRule type="containsText" dxfId="4237" priority="305" operator="containsText" text="Off Target">
      <formula>NOT(ISERROR(SEARCH("Off Target",H124)))</formula>
    </cfRule>
    <cfRule type="containsText" dxfId="4236" priority="306" operator="containsText" text="In Danger of Falling Behind Target">
      <formula>NOT(ISERROR(SEARCH("In Danger of Falling Behind Target",H124)))</formula>
    </cfRule>
    <cfRule type="containsText" dxfId="4235" priority="307" operator="containsText" text="Fully Achieved">
      <formula>NOT(ISERROR(SEARCH("Fully Achieved",H124)))</formula>
    </cfRule>
    <cfRule type="containsText" dxfId="4234" priority="308" operator="containsText" text="On track to be achieved">
      <formula>NOT(ISERROR(SEARCH("On track to be achieved",H124)))</formula>
    </cfRule>
  </conditionalFormatting>
  <conditionalFormatting sqref="V124">
    <cfRule type="containsText" dxfId="4233" priority="281" operator="containsText" text="Deleted">
      <formula>NOT(ISERROR(SEARCH("Deleted",V124)))</formula>
    </cfRule>
    <cfRule type="containsText" dxfId="4232" priority="282" operator="containsText" text="Deferred">
      <formula>NOT(ISERROR(SEARCH("Deferred",V124)))</formula>
    </cfRule>
    <cfRule type="containsText" dxfId="4231" priority="283" operator="containsText" text="Completion date within reasonable tolerance">
      <formula>NOT(ISERROR(SEARCH("Completion date within reasonable tolerance",V124)))</formula>
    </cfRule>
    <cfRule type="containsText" dxfId="4230" priority="284" operator="containsText" text="completed significantly after target deadline">
      <formula>NOT(ISERROR(SEARCH("completed significantly after target deadline",V124)))</formula>
    </cfRule>
    <cfRule type="containsText" dxfId="4229" priority="285" operator="containsText" text="Off target">
      <formula>NOT(ISERROR(SEARCH("Off target",V124)))</formula>
    </cfRule>
    <cfRule type="containsText" dxfId="4228" priority="286" operator="containsText" text="Target partially met">
      <formula>NOT(ISERROR(SEARCH("Target partially met",V124)))</formula>
    </cfRule>
    <cfRule type="containsText" dxfId="4227" priority="287" operator="containsText" text="Numerical outturn within 10% tolerance">
      <formula>NOT(ISERROR(SEARCH("Numerical outturn within 10% tolerance",V124)))</formula>
    </cfRule>
    <cfRule type="containsText" dxfId="4226" priority="288" operator="containsText" text="Numerical outturn within 5% Tolerance">
      <formula>NOT(ISERROR(SEARCH("Numerical outturn within 5% Tolerance",V124)))</formula>
    </cfRule>
    <cfRule type="containsText" dxfId="4225" priority="289" operator="containsText" text="Fully Achieved">
      <formula>NOT(ISERROR(SEARCH("Fully Achieved",V124)))</formula>
    </cfRule>
    <cfRule type="containsText" dxfId="4224" priority="290" operator="containsText" text="Update Not Provided">
      <formula>NOT(ISERROR(SEARCH("Update Not Provided",V124)))</formula>
    </cfRule>
    <cfRule type="containsText" dxfId="4223" priority="291" operator="containsText" text="Deferred">
      <formula>NOT(ISERROR(SEARCH("Deferred",V124)))</formula>
    </cfRule>
    <cfRule type="containsText" dxfId="4222" priority="292" operator="containsText" text="Update Not Provided">
      <formula>NOT(ISERROR(SEARCH("Update Not Provided",V124)))</formula>
    </cfRule>
    <cfRule type="containsText" dxfId="4221" priority="293" operator="containsText" text="Not Yet Due">
      <formula>NOT(ISERROR(SEARCH("Not Yet Due",V124)))</formula>
    </cfRule>
    <cfRule type="containsText" dxfId="4220" priority="294" operator="containsText" text="Deleted">
      <formula>NOT(ISERROR(SEARCH("Deleted",V124)))</formula>
    </cfRule>
    <cfRule type="containsText" dxfId="4219" priority="295" operator="containsText" text="Completed Behind Schedule">
      <formula>NOT(ISERROR(SEARCH("Completed Behind Schedule",V124)))</formula>
    </cfRule>
    <cfRule type="containsText" dxfId="4218" priority="296" operator="containsText" text="Off Target">
      <formula>NOT(ISERROR(SEARCH("Off Target",V124)))</formula>
    </cfRule>
    <cfRule type="containsText" dxfId="4217" priority="297" operator="containsText" text="In Danger of Falling Behind Target">
      <formula>NOT(ISERROR(SEARCH("In Danger of Falling Behind Target",V124)))</formula>
    </cfRule>
    <cfRule type="containsText" dxfId="4216" priority="298" operator="containsText" text="Fully Achieved">
      <formula>NOT(ISERROR(SEARCH("Fully Achieved",V124)))</formula>
    </cfRule>
    <cfRule type="containsText" dxfId="4215" priority="299" operator="containsText" text="On track to be achieved">
      <formula>NOT(ISERROR(SEARCH("On track to be achieved",V124)))</formula>
    </cfRule>
  </conditionalFormatting>
  <conditionalFormatting sqref="R122 M122 H122">
    <cfRule type="containsText" dxfId="4214" priority="272" operator="containsText" text="Deferred">
      <formula>NOT(ISERROR(SEARCH("Deferred",H122)))</formula>
    </cfRule>
    <cfRule type="containsText" dxfId="4213" priority="273" operator="containsText" text="Update Not Provided">
      <formula>NOT(ISERROR(SEARCH("Update Not Provided",H122)))</formula>
    </cfRule>
    <cfRule type="containsText" dxfId="4212" priority="274" operator="containsText" text="Not Yet Due">
      <formula>NOT(ISERROR(SEARCH("Not Yet Due",H122)))</formula>
    </cfRule>
    <cfRule type="containsText" dxfId="4211" priority="275" operator="containsText" text="Deleted">
      <formula>NOT(ISERROR(SEARCH("Deleted",H122)))</formula>
    </cfRule>
    <cfRule type="containsText" dxfId="4210" priority="276" operator="containsText" text="Completed Behind Schedule">
      <formula>NOT(ISERROR(SEARCH("Completed Behind Schedule",H122)))</formula>
    </cfRule>
    <cfRule type="containsText" dxfId="4209" priority="277" operator="containsText" text="Off Target">
      <formula>NOT(ISERROR(SEARCH("Off Target",H122)))</formula>
    </cfRule>
    <cfRule type="containsText" dxfId="4208" priority="278" operator="containsText" text="In Danger of Falling Behind Target">
      <formula>NOT(ISERROR(SEARCH("In Danger of Falling Behind Target",H122)))</formula>
    </cfRule>
    <cfRule type="containsText" dxfId="4207" priority="279" operator="containsText" text="Fully Achieved">
      <formula>NOT(ISERROR(SEARCH("Fully Achieved",H122)))</formula>
    </cfRule>
    <cfRule type="containsText" dxfId="4206" priority="280" operator="containsText" text="On track to be achieved">
      <formula>NOT(ISERROR(SEARCH("On track to be achieved",H122)))</formula>
    </cfRule>
  </conditionalFormatting>
  <conditionalFormatting sqref="V122">
    <cfRule type="containsText" dxfId="4205" priority="253" operator="containsText" text="Deleted">
      <formula>NOT(ISERROR(SEARCH("Deleted",V122)))</formula>
    </cfRule>
    <cfRule type="containsText" dxfId="4204" priority="254" operator="containsText" text="Deferred">
      <formula>NOT(ISERROR(SEARCH("Deferred",V122)))</formula>
    </cfRule>
    <cfRule type="containsText" dxfId="4203" priority="255" operator="containsText" text="Completion date within reasonable tolerance">
      <formula>NOT(ISERROR(SEARCH("Completion date within reasonable tolerance",V122)))</formula>
    </cfRule>
    <cfRule type="containsText" dxfId="4202" priority="256" operator="containsText" text="completed significantly after target deadline">
      <formula>NOT(ISERROR(SEARCH("completed significantly after target deadline",V122)))</formula>
    </cfRule>
    <cfRule type="containsText" dxfId="4201" priority="257" operator="containsText" text="Off target">
      <formula>NOT(ISERROR(SEARCH("Off target",V122)))</formula>
    </cfRule>
    <cfRule type="containsText" dxfId="4200" priority="258" operator="containsText" text="Target partially met">
      <formula>NOT(ISERROR(SEARCH("Target partially met",V122)))</formula>
    </cfRule>
    <cfRule type="containsText" dxfId="4199" priority="259" operator="containsText" text="Numerical outturn within 10% tolerance">
      <formula>NOT(ISERROR(SEARCH("Numerical outturn within 10% tolerance",V122)))</formula>
    </cfRule>
    <cfRule type="containsText" dxfId="4198" priority="260" operator="containsText" text="Numerical outturn within 5% Tolerance">
      <formula>NOT(ISERROR(SEARCH("Numerical outturn within 5% Tolerance",V122)))</formula>
    </cfRule>
    <cfRule type="containsText" dxfId="4197" priority="261" operator="containsText" text="Fully Achieved">
      <formula>NOT(ISERROR(SEARCH("Fully Achieved",V122)))</formula>
    </cfRule>
    <cfRule type="containsText" dxfId="4196" priority="262" operator="containsText" text="Update Not Provided">
      <formula>NOT(ISERROR(SEARCH("Update Not Provided",V122)))</formula>
    </cfRule>
    <cfRule type="containsText" dxfId="4195" priority="263" operator="containsText" text="Deferred">
      <formula>NOT(ISERROR(SEARCH("Deferred",V122)))</formula>
    </cfRule>
    <cfRule type="containsText" dxfId="4194" priority="264" operator="containsText" text="Update Not Provided">
      <formula>NOT(ISERROR(SEARCH("Update Not Provided",V122)))</formula>
    </cfRule>
    <cfRule type="containsText" dxfId="4193" priority="265" operator="containsText" text="Not Yet Due">
      <formula>NOT(ISERROR(SEARCH("Not Yet Due",V122)))</formula>
    </cfRule>
    <cfRule type="containsText" dxfId="4192" priority="266" operator="containsText" text="Deleted">
      <formula>NOT(ISERROR(SEARCH("Deleted",V122)))</formula>
    </cfRule>
    <cfRule type="containsText" dxfId="4191" priority="267" operator="containsText" text="Completed Behind Schedule">
      <formula>NOT(ISERROR(SEARCH("Completed Behind Schedule",V122)))</formula>
    </cfRule>
    <cfRule type="containsText" dxfId="4190" priority="268" operator="containsText" text="Off Target">
      <formula>NOT(ISERROR(SEARCH("Off Target",V122)))</formula>
    </cfRule>
    <cfRule type="containsText" dxfId="4189" priority="269" operator="containsText" text="In Danger of Falling Behind Target">
      <formula>NOT(ISERROR(SEARCH("In Danger of Falling Behind Target",V122)))</formula>
    </cfRule>
    <cfRule type="containsText" dxfId="4188" priority="270" operator="containsText" text="Fully Achieved">
      <formula>NOT(ISERROR(SEARCH("Fully Achieved",V122)))</formula>
    </cfRule>
    <cfRule type="containsText" dxfId="4187" priority="271" operator="containsText" text="On track to be achieved">
      <formula>NOT(ISERROR(SEARCH("On track to be achieved",V122)))</formula>
    </cfRule>
  </conditionalFormatting>
  <conditionalFormatting sqref="R121 M121 H121">
    <cfRule type="containsText" dxfId="4186" priority="244" operator="containsText" text="Deferred">
      <formula>NOT(ISERROR(SEARCH("Deferred",H121)))</formula>
    </cfRule>
    <cfRule type="containsText" dxfId="4185" priority="245" operator="containsText" text="Update Not Provided">
      <formula>NOT(ISERROR(SEARCH("Update Not Provided",H121)))</formula>
    </cfRule>
    <cfRule type="containsText" dxfId="4184" priority="246" operator="containsText" text="Not Yet Due">
      <formula>NOT(ISERROR(SEARCH("Not Yet Due",H121)))</formula>
    </cfRule>
    <cfRule type="containsText" dxfId="4183" priority="247" operator="containsText" text="Deleted">
      <formula>NOT(ISERROR(SEARCH("Deleted",H121)))</formula>
    </cfRule>
    <cfRule type="containsText" dxfId="4182" priority="248" operator="containsText" text="Completed Behind Schedule">
      <formula>NOT(ISERROR(SEARCH("Completed Behind Schedule",H121)))</formula>
    </cfRule>
    <cfRule type="containsText" dxfId="4181" priority="249" operator="containsText" text="Off Target">
      <formula>NOT(ISERROR(SEARCH("Off Target",H121)))</formula>
    </cfRule>
    <cfRule type="containsText" dxfId="4180" priority="250" operator="containsText" text="In Danger of Falling Behind Target">
      <formula>NOT(ISERROR(SEARCH("In Danger of Falling Behind Target",H121)))</formula>
    </cfRule>
    <cfRule type="containsText" dxfId="4179" priority="251" operator="containsText" text="Fully Achieved">
      <formula>NOT(ISERROR(SEARCH("Fully Achieved",H121)))</formula>
    </cfRule>
    <cfRule type="containsText" dxfId="4178" priority="252" operator="containsText" text="On track to be achieved">
      <formula>NOT(ISERROR(SEARCH("On track to be achieved",H121)))</formula>
    </cfRule>
  </conditionalFormatting>
  <conditionalFormatting sqref="V121">
    <cfRule type="containsText" dxfId="4177" priority="225" operator="containsText" text="Deleted">
      <formula>NOT(ISERROR(SEARCH("Deleted",V121)))</formula>
    </cfRule>
    <cfRule type="containsText" dxfId="4176" priority="226" operator="containsText" text="Deferred">
      <formula>NOT(ISERROR(SEARCH("Deferred",V121)))</formula>
    </cfRule>
    <cfRule type="containsText" dxfId="4175" priority="227" operator="containsText" text="Completion date within reasonable tolerance">
      <formula>NOT(ISERROR(SEARCH("Completion date within reasonable tolerance",V121)))</formula>
    </cfRule>
    <cfRule type="containsText" dxfId="4174" priority="228" operator="containsText" text="completed significantly after target deadline">
      <formula>NOT(ISERROR(SEARCH("completed significantly after target deadline",V121)))</formula>
    </cfRule>
    <cfRule type="containsText" dxfId="4173" priority="229" operator="containsText" text="Off target">
      <formula>NOT(ISERROR(SEARCH("Off target",V121)))</formula>
    </cfRule>
    <cfRule type="containsText" dxfId="4172" priority="230" operator="containsText" text="Target partially met">
      <formula>NOT(ISERROR(SEARCH("Target partially met",V121)))</formula>
    </cfRule>
    <cfRule type="containsText" dxfId="4171" priority="231" operator="containsText" text="Numerical outturn within 10% tolerance">
      <formula>NOT(ISERROR(SEARCH("Numerical outturn within 10% tolerance",V121)))</formula>
    </cfRule>
    <cfRule type="containsText" dxfId="4170" priority="232" operator="containsText" text="Numerical outturn within 5% Tolerance">
      <formula>NOT(ISERROR(SEARCH("Numerical outturn within 5% Tolerance",V121)))</formula>
    </cfRule>
    <cfRule type="containsText" dxfId="4169" priority="233" operator="containsText" text="Fully Achieved">
      <formula>NOT(ISERROR(SEARCH("Fully Achieved",V121)))</formula>
    </cfRule>
    <cfRule type="containsText" dxfId="4168" priority="234" operator="containsText" text="Update Not Provided">
      <formula>NOT(ISERROR(SEARCH("Update Not Provided",V121)))</formula>
    </cfRule>
    <cfRule type="containsText" dxfId="4167" priority="235" operator="containsText" text="Deferred">
      <formula>NOT(ISERROR(SEARCH("Deferred",V121)))</formula>
    </cfRule>
    <cfRule type="containsText" dxfId="4166" priority="236" operator="containsText" text="Update Not Provided">
      <formula>NOT(ISERROR(SEARCH("Update Not Provided",V121)))</formula>
    </cfRule>
    <cfRule type="containsText" dxfId="4165" priority="237" operator="containsText" text="Not Yet Due">
      <formula>NOT(ISERROR(SEARCH("Not Yet Due",V121)))</formula>
    </cfRule>
    <cfRule type="containsText" dxfId="4164" priority="238" operator="containsText" text="Deleted">
      <formula>NOT(ISERROR(SEARCH("Deleted",V121)))</formula>
    </cfRule>
    <cfRule type="containsText" dxfId="4163" priority="239" operator="containsText" text="Completed Behind Schedule">
      <formula>NOT(ISERROR(SEARCH("Completed Behind Schedule",V121)))</formula>
    </cfRule>
    <cfRule type="containsText" dxfId="4162" priority="240" operator="containsText" text="Off Target">
      <formula>NOT(ISERROR(SEARCH("Off Target",V121)))</formula>
    </cfRule>
    <cfRule type="containsText" dxfId="4161" priority="241" operator="containsText" text="In Danger of Falling Behind Target">
      <formula>NOT(ISERROR(SEARCH("In Danger of Falling Behind Target",V121)))</formula>
    </cfRule>
    <cfRule type="containsText" dxfId="4160" priority="242" operator="containsText" text="Fully Achieved">
      <formula>NOT(ISERROR(SEARCH("Fully Achieved",V121)))</formula>
    </cfRule>
    <cfRule type="containsText" dxfId="4159" priority="243" operator="containsText" text="On track to be achieved">
      <formula>NOT(ISERROR(SEARCH("On track to be achieved",V121)))</formula>
    </cfRule>
  </conditionalFormatting>
  <conditionalFormatting sqref="R118 M118 H118">
    <cfRule type="containsText" dxfId="4158" priority="216" operator="containsText" text="Deferred">
      <formula>NOT(ISERROR(SEARCH("Deferred",H118)))</formula>
    </cfRule>
    <cfRule type="containsText" dxfId="4157" priority="217" operator="containsText" text="Update Not Provided">
      <formula>NOT(ISERROR(SEARCH("Update Not Provided",H118)))</formula>
    </cfRule>
    <cfRule type="containsText" dxfId="4156" priority="218" operator="containsText" text="Not Yet Due">
      <formula>NOT(ISERROR(SEARCH("Not Yet Due",H118)))</formula>
    </cfRule>
    <cfRule type="containsText" dxfId="4155" priority="219" operator="containsText" text="Deleted">
      <formula>NOT(ISERROR(SEARCH("Deleted",H118)))</formula>
    </cfRule>
    <cfRule type="containsText" dxfId="4154" priority="220" operator="containsText" text="Completed Behind Schedule">
      <formula>NOT(ISERROR(SEARCH("Completed Behind Schedule",H118)))</formula>
    </cfRule>
    <cfRule type="containsText" dxfId="4153" priority="221" operator="containsText" text="Off Target">
      <formula>NOT(ISERROR(SEARCH("Off Target",H118)))</formula>
    </cfRule>
    <cfRule type="containsText" dxfId="4152" priority="222" operator="containsText" text="In Danger of Falling Behind Target">
      <formula>NOT(ISERROR(SEARCH("In Danger of Falling Behind Target",H118)))</formula>
    </cfRule>
    <cfRule type="containsText" dxfId="4151" priority="223" operator="containsText" text="Fully Achieved">
      <formula>NOT(ISERROR(SEARCH("Fully Achieved",H118)))</formula>
    </cfRule>
    <cfRule type="containsText" dxfId="4150" priority="224" operator="containsText" text="On track to be achieved">
      <formula>NOT(ISERROR(SEARCH("On track to be achieved",H118)))</formula>
    </cfRule>
  </conditionalFormatting>
  <conditionalFormatting sqref="V118">
    <cfRule type="containsText" dxfId="4149" priority="197" operator="containsText" text="Deleted">
      <formula>NOT(ISERROR(SEARCH("Deleted",V118)))</formula>
    </cfRule>
    <cfRule type="containsText" dxfId="4148" priority="198" operator="containsText" text="Deferred">
      <formula>NOT(ISERROR(SEARCH("Deferred",V118)))</formula>
    </cfRule>
    <cfRule type="containsText" dxfId="4147" priority="199" operator="containsText" text="Completion date within reasonable tolerance">
      <formula>NOT(ISERROR(SEARCH("Completion date within reasonable tolerance",V118)))</formula>
    </cfRule>
    <cfRule type="containsText" dxfId="4146" priority="200" operator="containsText" text="completed significantly after target deadline">
      <formula>NOT(ISERROR(SEARCH("completed significantly after target deadline",V118)))</formula>
    </cfRule>
    <cfRule type="containsText" dxfId="4145" priority="201" operator="containsText" text="Off target">
      <formula>NOT(ISERROR(SEARCH("Off target",V118)))</formula>
    </cfRule>
    <cfRule type="containsText" dxfId="4144" priority="202" operator="containsText" text="Target partially met">
      <formula>NOT(ISERROR(SEARCH("Target partially met",V118)))</formula>
    </cfRule>
    <cfRule type="containsText" dxfId="4143" priority="203" operator="containsText" text="Numerical outturn within 10% tolerance">
      <formula>NOT(ISERROR(SEARCH("Numerical outturn within 10% tolerance",V118)))</formula>
    </cfRule>
    <cfRule type="containsText" dxfId="4142" priority="204" operator="containsText" text="Numerical outturn within 5% Tolerance">
      <formula>NOT(ISERROR(SEARCH("Numerical outturn within 5% Tolerance",V118)))</formula>
    </cfRule>
    <cfRule type="containsText" dxfId="4141" priority="205" operator="containsText" text="Fully Achieved">
      <formula>NOT(ISERROR(SEARCH("Fully Achieved",V118)))</formula>
    </cfRule>
    <cfRule type="containsText" dxfId="4140" priority="206" operator="containsText" text="Update Not Provided">
      <formula>NOT(ISERROR(SEARCH("Update Not Provided",V118)))</formula>
    </cfRule>
    <cfRule type="containsText" dxfId="4139" priority="207" operator="containsText" text="Deferred">
      <formula>NOT(ISERROR(SEARCH("Deferred",V118)))</formula>
    </cfRule>
    <cfRule type="containsText" dxfId="4138" priority="208" operator="containsText" text="Update Not Provided">
      <formula>NOT(ISERROR(SEARCH("Update Not Provided",V118)))</formula>
    </cfRule>
    <cfRule type="containsText" dxfId="4137" priority="209" operator="containsText" text="Not Yet Due">
      <formula>NOT(ISERROR(SEARCH("Not Yet Due",V118)))</formula>
    </cfRule>
    <cfRule type="containsText" dxfId="4136" priority="210" operator="containsText" text="Deleted">
      <formula>NOT(ISERROR(SEARCH("Deleted",V118)))</formula>
    </cfRule>
    <cfRule type="containsText" dxfId="4135" priority="211" operator="containsText" text="Completed Behind Schedule">
      <formula>NOT(ISERROR(SEARCH("Completed Behind Schedule",V118)))</formula>
    </cfRule>
    <cfRule type="containsText" dxfId="4134" priority="212" operator="containsText" text="Off Target">
      <formula>NOT(ISERROR(SEARCH("Off Target",V118)))</formula>
    </cfRule>
    <cfRule type="containsText" dxfId="4133" priority="213" operator="containsText" text="In Danger of Falling Behind Target">
      <formula>NOT(ISERROR(SEARCH("In Danger of Falling Behind Target",V118)))</formula>
    </cfRule>
    <cfRule type="containsText" dxfId="4132" priority="214" operator="containsText" text="Fully Achieved">
      <formula>NOT(ISERROR(SEARCH("Fully Achieved",V118)))</formula>
    </cfRule>
    <cfRule type="containsText" dxfId="4131" priority="215" operator="containsText" text="On track to be achieved">
      <formula>NOT(ISERROR(SEARCH("On track to be achieved",V118)))</formula>
    </cfRule>
  </conditionalFormatting>
  <conditionalFormatting sqref="R119 M119 H119">
    <cfRule type="containsText" dxfId="4130" priority="188" operator="containsText" text="Deferred">
      <formula>NOT(ISERROR(SEARCH("Deferred",H119)))</formula>
    </cfRule>
    <cfRule type="containsText" dxfId="4129" priority="189" operator="containsText" text="Update Not Provided">
      <formula>NOT(ISERROR(SEARCH("Update Not Provided",H119)))</formula>
    </cfRule>
    <cfRule type="containsText" dxfId="4128" priority="190" operator="containsText" text="Not Yet Due">
      <formula>NOT(ISERROR(SEARCH("Not Yet Due",H119)))</formula>
    </cfRule>
    <cfRule type="containsText" dxfId="4127" priority="191" operator="containsText" text="Deleted">
      <formula>NOT(ISERROR(SEARCH("Deleted",H119)))</formula>
    </cfRule>
    <cfRule type="containsText" dxfId="4126" priority="192" operator="containsText" text="Completed Behind Schedule">
      <formula>NOT(ISERROR(SEARCH("Completed Behind Schedule",H119)))</formula>
    </cfRule>
    <cfRule type="containsText" dxfId="4125" priority="193" operator="containsText" text="Off Target">
      <formula>NOT(ISERROR(SEARCH("Off Target",H119)))</formula>
    </cfRule>
    <cfRule type="containsText" dxfId="4124" priority="194" operator="containsText" text="In Danger of Falling Behind Target">
      <formula>NOT(ISERROR(SEARCH("In Danger of Falling Behind Target",H119)))</formula>
    </cfRule>
    <cfRule type="containsText" dxfId="4123" priority="195" operator="containsText" text="Fully Achieved">
      <formula>NOT(ISERROR(SEARCH("Fully Achieved",H119)))</formula>
    </cfRule>
    <cfRule type="containsText" dxfId="4122" priority="196" operator="containsText" text="On track to be achieved">
      <formula>NOT(ISERROR(SEARCH("On track to be achieved",H119)))</formula>
    </cfRule>
  </conditionalFormatting>
  <conditionalFormatting sqref="V119">
    <cfRule type="containsText" dxfId="4121" priority="169" operator="containsText" text="Deleted">
      <formula>NOT(ISERROR(SEARCH("Deleted",V119)))</formula>
    </cfRule>
    <cfRule type="containsText" dxfId="4120" priority="170" operator="containsText" text="Deferred">
      <formula>NOT(ISERROR(SEARCH("Deferred",V119)))</formula>
    </cfRule>
    <cfRule type="containsText" dxfId="4119" priority="171" operator="containsText" text="Completion date within reasonable tolerance">
      <formula>NOT(ISERROR(SEARCH("Completion date within reasonable tolerance",V119)))</formula>
    </cfRule>
    <cfRule type="containsText" dxfId="4118" priority="172" operator="containsText" text="completed significantly after target deadline">
      <formula>NOT(ISERROR(SEARCH("completed significantly after target deadline",V119)))</formula>
    </cfRule>
    <cfRule type="containsText" dxfId="4117" priority="173" operator="containsText" text="Off target">
      <formula>NOT(ISERROR(SEARCH("Off target",V119)))</formula>
    </cfRule>
    <cfRule type="containsText" dxfId="4116" priority="174" operator="containsText" text="Target partially met">
      <formula>NOT(ISERROR(SEARCH("Target partially met",V119)))</formula>
    </cfRule>
    <cfRule type="containsText" dxfId="4115" priority="175" operator="containsText" text="Numerical outturn within 10% tolerance">
      <formula>NOT(ISERROR(SEARCH("Numerical outturn within 10% tolerance",V119)))</formula>
    </cfRule>
    <cfRule type="containsText" dxfId="4114" priority="176" operator="containsText" text="Numerical outturn within 5% Tolerance">
      <formula>NOT(ISERROR(SEARCH("Numerical outturn within 5% Tolerance",V119)))</formula>
    </cfRule>
    <cfRule type="containsText" dxfId="4113" priority="177" operator="containsText" text="Fully Achieved">
      <formula>NOT(ISERROR(SEARCH("Fully Achieved",V119)))</formula>
    </cfRule>
    <cfRule type="containsText" dxfId="4112" priority="178" operator="containsText" text="Update Not Provided">
      <formula>NOT(ISERROR(SEARCH("Update Not Provided",V119)))</formula>
    </cfRule>
    <cfRule type="containsText" dxfId="4111" priority="179" operator="containsText" text="Deferred">
      <formula>NOT(ISERROR(SEARCH("Deferred",V119)))</formula>
    </cfRule>
    <cfRule type="containsText" dxfId="4110" priority="180" operator="containsText" text="Update Not Provided">
      <formula>NOT(ISERROR(SEARCH("Update Not Provided",V119)))</formula>
    </cfRule>
    <cfRule type="containsText" dxfId="4109" priority="181" operator="containsText" text="Not Yet Due">
      <formula>NOT(ISERROR(SEARCH("Not Yet Due",V119)))</formula>
    </cfRule>
    <cfRule type="containsText" dxfId="4108" priority="182" operator="containsText" text="Deleted">
      <formula>NOT(ISERROR(SEARCH("Deleted",V119)))</formula>
    </cfRule>
    <cfRule type="containsText" dxfId="4107" priority="183" operator="containsText" text="Completed Behind Schedule">
      <formula>NOT(ISERROR(SEARCH("Completed Behind Schedule",V119)))</formula>
    </cfRule>
    <cfRule type="containsText" dxfId="4106" priority="184" operator="containsText" text="Off Target">
      <formula>NOT(ISERROR(SEARCH("Off Target",V119)))</formula>
    </cfRule>
    <cfRule type="containsText" dxfId="4105" priority="185" operator="containsText" text="In Danger of Falling Behind Target">
      <formula>NOT(ISERROR(SEARCH("In Danger of Falling Behind Target",V119)))</formula>
    </cfRule>
    <cfRule type="containsText" dxfId="4104" priority="186" operator="containsText" text="Fully Achieved">
      <formula>NOT(ISERROR(SEARCH("Fully Achieved",V119)))</formula>
    </cfRule>
    <cfRule type="containsText" dxfId="4103" priority="187" operator="containsText" text="On track to be achieved">
      <formula>NOT(ISERROR(SEARCH("On track to be achieved",V119)))</formula>
    </cfRule>
  </conditionalFormatting>
  <conditionalFormatting sqref="R113 M113 H113">
    <cfRule type="containsText" dxfId="4102" priority="160" operator="containsText" text="Deferred">
      <formula>NOT(ISERROR(SEARCH("Deferred",H113)))</formula>
    </cfRule>
    <cfRule type="containsText" dxfId="4101" priority="161" operator="containsText" text="Update Not Provided">
      <formula>NOT(ISERROR(SEARCH("Update Not Provided",H113)))</formula>
    </cfRule>
    <cfRule type="containsText" dxfId="4100" priority="162" operator="containsText" text="Not Yet Due">
      <formula>NOT(ISERROR(SEARCH("Not Yet Due",H113)))</formula>
    </cfRule>
    <cfRule type="containsText" dxfId="4099" priority="163" operator="containsText" text="Deleted">
      <formula>NOT(ISERROR(SEARCH("Deleted",H113)))</formula>
    </cfRule>
    <cfRule type="containsText" dxfId="4098" priority="164" operator="containsText" text="Completed Behind Schedule">
      <formula>NOT(ISERROR(SEARCH("Completed Behind Schedule",H113)))</formula>
    </cfRule>
    <cfRule type="containsText" dxfId="4097" priority="165" operator="containsText" text="Off Target">
      <formula>NOT(ISERROR(SEARCH("Off Target",H113)))</formula>
    </cfRule>
    <cfRule type="containsText" dxfId="4096" priority="166" operator="containsText" text="In Danger of Falling Behind Target">
      <formula>NOT(ISERROR(SEARCH("In Danger of Falling Behind Target",H113)))</formula>
    </cfRule>
    <cfRule type="containsText" dxfId="4095" priority="167" operator="containsText" text="Fully Achieved">
      <formula>NOT(ISERROR(SEARCH("Fully Achieved",H113)))</formula>
    </cfRule>
    <cfRule type="containsText" dxfId="4094" priority="168" operator="containsText" text="On track to be achieved">
      <formula>NOT(ISERROR(SEARCH("On track to be achieved",H113)))</formula>
    </cfRule>
  </conditionalFormatting>
  <conditionalFormatting sqref="V113">
    <cfRule type="containsText" dxfId="4093" priority="141" operator="containsText" text="Deleted">
      <formula>NOT(ISERROR(SEARCH("Deleted",V113)))</formula>
    </cfRule>
    <cfRule type="containsText" dxfId="4092" priority="142" operator="containsText" text="Deferred">
      <formula>NOT(ISERROR(SEARCH("Deferred",V113)))</formula>
    </cfRule>
    <cfRule type="containsText" dxfId="4091" priority="143" operator="containsText" text="Completion date within reasonable tolerance">
      <formula>NOT(ISERROR(SEARCH("Completion date within reasonable tolerance",V113)))</formula>
    </cfRule>
    <cfRule type="containsText" dxfId="4090" priority="144" operator="containsText" text="completed significantly after target deadline">
      <formula>NOT(ISERROR(SEARCH("completed significantly after target deadline",V113)))</formula>
    </cfRule>
    <cfRule type="containsText" dxfId="4089" priority="145" operator="containsText" text="Off target">
      <formula>NOT(ISERROR(SEARCH("Off target",V113)))</formula>
    </cfRule>
    <cfRule type="containsText" dxfId="4088" priority="146" operator="containsText" text="Target partially met">
      <formula>NOT(ISERROR(SEARCH("Target partially met",V113)))</formula>
    </cfRule>
    <cfRule type="containsText" dxfId="4087" priority="147" operator="containsText" text="Numerical outturn within 10% tolerance">
      <formula>NOT(ISERROR(SEARCH("Numerical outturn within 10% tolerance",V113)))</formula>
    </cfRule>
    <cfRule type="containsText" dxfId="4086" priority="148" operator="containsText" text="Numerical outturn within 5% Tolerance">
      <formula>NOT(ISERROR(SEARCH("Numerical outturn within 5% Tolerance",V113)))</formula>
    </cfRule>
    <cfRule type="containsText" dxfId="4085" priority="149" operator="containsText" text="Fully Achieved">
      <formula>NOT(ISERROR(SEARCH("Fully Achieved",V113)))</formula>
    </cfRule>
    <cfRule type="containsText" dxfId="4084" priority="150" operator="containsText" text="Update Not Provided">
      <formula>NOT(ISERROR(SEARCH("Update Not Provided",V113)))</formula>
    </cfRule>
    <cfRule type="containsText" dxfId="4083" priority="151" operator="containsText" text="Deferred">
      <formula>NOT(ISERROR(SEARCH("Deferred",V113)))</formula>
    </cfRule>
    <cfRule type="containsText" dxfId="4082" priority="152" operator="containsText" text="Update Not Provided">
      <formula>NOT(ISERROR(SEARCH("Update Not Provided",V113)))</formula>
    </cfRule>
    <cfRule type="containsText" dxfId="4081" priority="153" operator="containsText" text="Not Yet Due">
      <formula>NOT(ISERROR(SEARCH("Not Yet Due",V113)))</formula>
    </cfRule>
    <cfRule type="containsText" dxfId="4080" priority="154" operator="containsText" text="Deleted">
      <formula>NOT(ISERROR(SEARCH("Deleted",V113)))</formula>
    </cfRule>
    <cfRule type="containsText" dxfId="4079" priority="155" operator="containsText" text="Completed Behind Schedule">
      <formula>NOT(ISERROR(SEARCH("Completed Behind Schedule",V113)))</formula>
    </cfRule>
    <cfRule type="containsText" dxfId="4078" priority="156" operator="containsText" text="Off Target">
      <formula>NOT(ISERROR(SEARCH("Off Target",V113)))</formula>
    </cfRule>
    <cfRule type="containsText" dxfId="4077" priority="157" operator="containsText" text="In Danger of Falling Behind Target">
      <formula>NOT(ISERROR(SEARCH("In Danger of Falling Behind Target",V113)))</formula>
    </cfRule>
    <cfRule type="containsText" dxfId="4076" priority="158" operator="containsText" text="Fully Achieved">
      <formula>NOT(ISERROR(SEARCH("Fully Achieved",V113)))</formula>
    </cfRule>
    <cfRule type="containsText" dxfId="4075" priority="159" operator="containsText" text="On track to be achieved">
      <formula>NOT(ISERROR(SEARCH("On track to be achieved",V113)))</formula>
    </cfRule>
  </conditionalFormatting>
  <conditionalFormatting sqref="R66 M66 H66">
    <cfRule type="containsText" dxfId="4074" priority="132" operator="containsText" text="Deferred">
      <formula>NOT(ISERROR(SEARCH("Deferred",H66)))</formula>
    </cfRule>
    <cfRule type="containsText" dxfId="4073" priority="133" operator="containsText" text="Update Not Provided">
      <formula>NOT(ISERROR(SEARCH("Update Not Provided",H66)))</formula>
    </cfRule>
    <cfRule type="containsText" dxfId="4072" priority="134" operator="containsText" text="Not Yet Due">
      <formula>NOT(ISERROR(SEARCH("Not Yet Due",H66)))</formula>
    </cfRule>
    <cfRule type="containsText" dxfId="4071" priority="135" operator="containsText" text="Deleted">
      <formula>NOT(ISERROR(SEARCH("Deleted",H66)))</formula>
    </cfRule>
    <cfRule type="containsText" dxfId="4070" priority="136" operator="containsText" text="Completed Behind Schedule">
      <formula>NOT(ISERROR(SEARCH("Completed Behind Schedule",H66)))</formula>
    </cfRule>
    <cfRule type="containsText" dxfId="4069" priority="137" operator="containsText" text="Off Target">
      <formula>NOT(ISERROR(SEARCH("Off Target",H66)))</formula>
    </cfRule>
    <cfRule type="containsText" dxfId="4068" priority="138" operator="containsText" text="In Danger of Falling Behind Target">
      <formula>NOT(ISERROR(SEARCH("In Danger of Falling Behind Target",H66)))</formula>
    </cfRule>
    <cfRule type="containsText" dxfId="4067" priority="139" operator="containsText" text="Fully Achieved">
      <formula>NOT(ISERROR(SEARCH("Fully Achieved",H66)))</formula>
    </cfRule>
    <cfRule type="containsText" dxfId="4066" priority="140" operator="containsText" text="On track to be achieved">
      <formula>NOT(ISERROR(SEARCH("On track to be achieved",H66)))</formula>
    </cfRule>
  </conditionalFormatting>
  <conditionalFormatting sqref="V66">
    <cfRule type="containsText" dxfId="4065" priority="113" operator="containsText" text="Deleted">
      <formula>NOT(ISERROR(SEARCH("Deleted",V66)))</formula>
    </cfRule>
    <cfRule type="containsText" dxfId="4064" priority="114" operator="containsText" text="Deferred">
      <formula>NOT(ISERROR(SEARCH("Deferred",V66)))</formula>
    </cfRule>
    <cfRule type="containsText" dxfId="4063" priority="115" operator="containsText" text="Completion date within reasonable tolerance">
      <formula>NOT(ISERROR(SEARCH("Completion date within reasonable tolerance",V66)))</formula>
    </cfRule>
    <cfRule type="containsText" dxfId="4062" priority="116" operator="containsText" text="completed significantly after target deadline">
      <formula>NOT(ISERROR(SEARCH("completed significantly after target deadline",V66)))</formula>
    </cfRule>
    <cfRule type="containsText" dxfId="4061" priority="117" operator="containsText" text="Off target">
      <formula>NOT(ISERROR(SEARCH("Off target",V66)))</formula>
    </cfRule>
    <cfRule type="containsText" dxfId="4060" priority="118" operator="containsText" text="Target partially met">
      <formula>NOT(ISERROR(SEARCH("Target partially met",V66)))</formula>
    </cfRule>
    <cfRule type="containsText" dxfId="4059" priority="119" operator="containsText" text="Numerical outturn within 10% tolerance">
      <formula>NOT(ISERROR(SEARCH("Numerical outturn within 10% tolerance",V66)))</formula>
    </cfRule>
    <cfRule type="containsText" dxfId="4058" priority="120" operator="containsText" text="Numerical outturn within 5% Tolerance">
      <formula>NOT(ISERROR(SEARCH("Numerical outturn within 5% Tolerance",V66)))</formula>
    </cfRule>
    <cfRule type="containsText" dxfId="4057" priority="121" operator="containsText" text="Fully Achieved">
      <formula>NOT(ISERROR(SEARCH("Fully Achieved",V66)))</formula>
    </cfRule>
    <cfRule type="containsText" dxfId="4056" priority="122" operator="containsText" text="Update Not Provided">
      <formula>NOT(ISERROR(SEARCH("Update Not Provided",V66)))</formula>
    </cfRule>
    <cfRule type="containsText" dxfId="4055" priority="123" operator="containsText" text="Deferred">
      <formula>NOT(ISERROR(SEARCH("Deferred",V66)))</formula>
    </cfRule>
    <cfRule type="containsText" dxfId="4054" priority="124" operator="containsText" text="Update Not Provided">
      <formula>NOT(ISERROR(SEARCH("Update Not Provided",V66)))</formula>
    </cfRule>
    <cfRule type="containsText" dxfId="4053" priority="125" operator="containsText" text="Not Yet Due">
      <formula>NOT(ISERROR(SEARCH("Not Yet Due",V66)))</formula>
    </cfRule>
    <cfRule type="containsText" dxfId="4052" priority="126" operator="containsText" text="Deleted">
      <formula>NOT(ISERROR(SEARCH("Deleted",V66)))</formula>
    </cfRule>
    <cfRule type="containsText" dxfId="4051" priority="127" operator="containsText" text="Completed Behind Schedule">
      <formula>NOT(ISERROR(SEARCH("Completed Behind Schedule",V66)))</formula>
    </cfRule>
    <cfRule type="containsText" dxfId="4050" priority="128" operator="containsText" text="Off Target">
      <formula>NOT(ISERROR(SEARCH("Off Target",V66)))</formula>
    </cfRule>
    <cfRule type="containsText" dxfId="4049" priority="129" operator="containsText" text="In Danger of Falling Behind Target">
      <formula>NOT(ISERROR(SEARCH("In Danger of Falling Behind Target",V66)))</formula>
    </cfRule>
    <cfRule type="containsText" dxfId="4048" priority="130" operator="containsText" text="Fully Achieved">
      <formula>NOT(ISERROR(SEARCH("Fully Achieved",V66)))</formula>
    </cfRule>
    <cfRule type="containsText" dxfId="4047" priority="131" operator="containsText" text="On track to be achieved">
      <formula>NOT(ISERROR(SEARCH("On track to be achieved",V66)))</formula>
    </cfRule>
  </conditionalFormatting>
  <conditionalFormatting sqref="R67 M67 H67">
    <cfRule type="containsText" dxfId="4046" priority="104" operator="containsText" text="Deferred">
      <formula>NOT(ISERROR(SEARCH("Deferred",H67)))</formula>
    </cfRule>
    <cfRule type="containsText" dxfId="4045" priority="105" operator="containsText" text="Update Not Provided">
      <formula>NOT(ISERROR(SEARCH("Update Not Provided",H67)))</formula>
    </cfRule>
    <cfRule type="containsText" dxfId="4044" priority="106" operator="containsText" text="Not Yet Due">
      <formula>NOT(ISERROR(SEARCH("Not Yet Due",H67)))</formula>
    </cfRule>
    <cfRule type="containsText" dxfId="4043" priority="107" operator="containsText" text="Deleted">
      <formula>NOT(ISERROR(SEARCH("Deleted",H67)))</formula>
    </cfRule>
    <cfRule type="containsText" dxfId="4042" priority="108" operator="containsText" text="Completed Behind Schedule">
      <formula>NOT(ISERROR(SEARCH("Completed Behind Schedule",H67)))</formula>
    </cfRule>
    <cfRule type="containsText" dxfId="4041" priority="109" operator="containsText" text="Off Target">
      <formula>NOT(ISERROR(SEARCH("Off Target",H67)))</formula>
    </cfRule>
    <cfRule type="containsText" dxfId="4040" priority="110" operator="containsText" text="In Danger of Falling Behind Target">
      <formula>NOT(ISERROR(SEARCH("In Danger of Falling Behind Target",H67)))</formula>
    </cfRule>
    <cfRule type="containsText" dxfId="4039" priority="111" operator="containsText" text="Fully Achieved">
      <formula>NOT(ISERROR(SEARCH("Fully Achieved",H67)))</formula>
    </cfRule>
    <cfRule type="containsText" dxfId="4038" priority="112" operator="containsText" text="On track to be achieved">
      <formula>NOT(ISERROR(SEARCH("On track to be achieved",H67)))</formula>
    </cfRule>
  </conditionalFormatting>
  <conditionalFormatting sqref="V67">
    <cfRule type="containsText" dxfId="4037" priority="85" operator="containsText" text="Deleted">
      <formula>NOT(ISERROR(SEARCH("Deleted",V67)))</formula>
    </cfRule>
    <cfRule type="containsText" dxfId="4036" priority="86" operator="containsText" text="Deferred">
      <formula>NOT(ISERROR(SEARCH("Deferred",V67)))</formula>
    </cfRule>
    <cfRule type="containsText" dxfId="4035" priority="87" operator="containsText" text="Completion date within reasonable tolerance">
      <formula>NOT(ISERROR(SEARCH("Completion date within reasonable tolerance",V67)))</formula>
    </cfRule>
    <cfRule type="containsText" dxfId="4034" priority="88" operator="containsText" text="completed significantly after target deadline">
      <formula>NOT(ISERROR(SEARCH("completed significantly after target deadline",V67)))</formula>
    </cfRule>
    <cfRule type="containsText" dxfId="4033" priority="89" operator="containsText" text="Off target">
      <formula>NOT(ISERROR(SEARCH("Off target",V67)))</formula>
    </cfRule>
    <cfRule type="containsText" dxfId="4032" priority="90" operator="containsText" text="Target partially met">
      <formula>NOT(ISERROR(SEARCH("Target partially met",V67)))</formula>
    </cfRule>
    <cfRule type="containsText" dxfId="4031" priority="91" operator="containsText" text="Numerical outturn within 10% tolerance">
      <formula>NOT(ISERROR(SEARCH("Numerical outturn within 10% tolerance",V67)))</formula>
    </cfRule>
    <cfRule type="containsText" dxfId="4030" priority="92" operator="containsText" text="Numerical outturn within 5% Tolerance">
      <formula>NOT(ISERROR(SEARCH("Numerical outturn within 5% Tolerance",V67)))</formula>
    </cfRule>
    <cfRule type="containsText" dxfId="4029" priority="93" operator="containsText" text="Fully Achieved">
      <formula>NOT(ISERROR(SEARCH("Fully Achieved",V67)))</formula>
    </cfRule>
    <cfRule type="containsText" dxfId="4028" priority="94" operator="containsText" text="Update Not Provided">
      <formula>NOT(ISERROR(SEARCH("Update Not Provided",V67)))</formula>
    </cfRule>
    <cfRule type="containsText" dxfId="4027" priority="95" operator="containsText" text="Deferred">
      <formula>NOT(ISERROR(SEARCH("Deferred",V67)))</formula>
    </cfRule>
    <cfRule type="containsText" dxfId="4026" priority="96" operator="containsText" text="Update Not Provided">
      <formula>NOT(ISERROR(SEARCH("Update Not Provided",V67)))</formula>
    </cfRule>
    <cfRule type="containsText" dxfId="4025" priority="97" operator="containsText" text="Not Yet Due">
      <formula>NOT(ISERROR(SEARCH("Not Yet Due",V67)))</formula>
    </cfRule>
    <cfRule type="containsText" dxfId="4024" priority="98" operator="containsText" text="Deleted">
      <formula>NOT(ISERROR(SEARCH("Deleted",V67)))</formula>
    </cfRule>
    <cfRule type="containsText" dxfId="4023" priority="99" operator="containsText" text="Completed Behind Schedule">
      <formula>NOT(ISERROR(SEARCH("Completed Behind Schedule",V67)))</formula>
    </cfRule>
    <cfRule type="containsText" dxfId="4022" priority="100" operator="containsText" text="Off Target">
      <formula>NOT(ISERROR(SEARCH("Off Target",V67)))</formula>
    </cfRule>
    <cfRule type="containsText" dxfId="4021" priority="101" operator="containsText" text="In Danger of Falling Behind Target">
      <formula>NOT(ISERROR(SEARCH("In Danger of Falling Behind Target",V67)))</formula>
    </cfRule>
    <cfRule type="containsText" dxfId="4020" priority="102" operator="containsText" text="Fully Achieved">
      <formula>NOT(ISERROR(SEARCH("Fully Achieved",V67)))</formula>
    </cfRule>
    <cfRule type="containsText" dxfId="4019" priority="103" operator="containsText" text="On track to be achieved">
      <formula>NOT(ISERROR(SEARCH("On track to be achieved",V67)))</formula>
    </cfRule>
  </conditionalFormatting>
  <conditionalFormatting sqref="R68 M68 H68">
    <cfRule type="containsText" dxfId="4018" priority="76" operator="containsText" text="Deferred">
      <formula>NOT(ISERROR(SEARCH("Deferred",H68)))</formula>
    </cfRule>
    <cfRule type="containsText" dxfId="4017" priority="77" operator="containsText" text="Update Not Provided">
      <formula>NOT(ISERROR(SEARCH("Update Not Provided",H68)))</formula>
    </cfRule>
    <cfRule type="containsText" dxfId="4016" priority="78" operator="containsText" text="Not Yet Due">
      <formula>NOT(ISERROR(SEARCH("Not Yet Due",H68)))</formula>
    </cfRule>
    <cfRule type="containsText" dxfId="4015" priority="79" operator="containsText" text="Deleted">
      <formula>NOT(ISERROR(SEARCH("Deleted",H68)))</formula>
    </cfRule>
    <cfRule type="containsText" dxfId="4014" priority="80" operator="containsText" text="Completed Behind Schedule">
      <formula>NOT(ISERROR(SEARCH("Completed Behind Schedule",H68)))</formula>
    </cfRule>
    <cfRule type="containsText" dxfId="4013" priority="81" operator="containsText" text="Off Target">
      <formula>NOT(ISERROR(SEARCH("Off Target",H68)))</formula>
    </cfRule>
    <cfRule type="containsText" dxfId="4012" priority="82" operator="containsText" text="In Danger of Falling Behind Target">
      <formula>NOT(ISERROR(SEARCH("In Danger of Falling Behind Target",H68)))</formula>
    </cfRule>
    <cfRule type="containsText" dxfId="4011" priority="83" operator="containsText" text="Fully Achieved">
      <formula>NOT(ISERROR(SEARCH("Fully Achieved",H68)))</formula>
    </cfRule>
    <cfRule type="containsText" dxfId="4010" priority="84" operator="containsText" text="On track to be achieved">
      <formula>NOT(ISERROR(SEARCH("On track to be achieved",H68)))</formula>
    </cfRule>
  </conditionalFormatting>
  <conditionalFormatting sqref="V68">
    <cfRule type="containsText" dxfId="4009" priority="57" operator="containsText" text="Deleted">
      <formula>NOT(ISERROR(SEARCH("Deleted",V68)))</formula>
    </cfRule>
    <cfRule type="containsText" dxfId="4008" priority="58" operator="containsText" text="Deferred">
      <formula>NOT(ISERROR(SEARCH("Deferred",V68)))</formula>
    </cfRule>
    <cfRule type="containsText" dxfId="4007" priority="59" operator="containsText" text="Completion date within reasonable tolerance">
      <formula>NOT(ISERROR(SEARCH("Completion date within reasonable tolerance",V68)))</formula>
    </cfRule>
    <cfRule type="containsText" dxfId="4006" priority="60" operator="containsText" text="completed significantly after target deadline">
      <formula>NOT(ISERROR(SEARCH("completed significantly after target deadline",V68)))</formula>
    </cfRule>
    <cfRule type="containsText" dxfId="4005" priority="61" operator="containsText" text="Off target">
      <formula>NOT(ISERROR(SEARCH("Off target",V68)))</formula>
    </cfRule>
    <cfRule type="containsText" dxfId="4004" priority="62" operator="containsText" text="Target partially met">
      <formula>NOT(ISERROR(SEARCH("Target partially met",V68)))</formula>
    </cfRule>
    <cfRule type="containsText" dxfId="4003" priority="63" operator="containsText" text="Numerical outturn within 10% tolerance">
      <formula>NOT(ISERROR(SEARCH("Numerical outturn within 10% tolerance",V68)))</formula>
    </cfRule>
    <cfRule type="containsText" dxfId="4002" priority="64" operator="containsText" text="Numerical outturn within 5% Tolerance">
      <formula>NOT(ISERROR(SEARCH("Numerical outturn within 5% Tolerance",V68)))</formula>
    </cfRule>
    <cfRule type="containsText" dxfId="4001" priority="65" operator="containsText" text="Fully Achieved">
      <formula>NOT(ISERROR(SEARCH("Fully Achieved",V68)))</formula>
    </cfRule>
    <cfRule type="containsText" dxfId="4000" priority="66" operator="containsText" text="Update Not Provided">
      <formula>NOT(ISERROR(SEARCH("Update Not Provided",V68)))</formula>
    </cfRule>
    <cfRule type="containsText" dxfId="3999" priority="67" operator="containsText" text="Deferred">
      <formula>NOT(ISERROR(SEARCH("Deferred",V68)))</formula>
    </cfRule>
    <cfRule type="containsText" dxfId="3998" priority="68" operator="containsText" text="Update Not Provided">
      <formula>NOT(ISERROR(SEARCH("Update Not Provided",V68)))</formula>
    </cfRule>
    <cfRule type="containsText" dxfId="3997" priority="69" operator="containsText" text="Not Yet Due">
      <formula>NOT(ISERROR(SEARCH("Not Yet Due",V68)))</formula>
    </cfRule>
    <cfRule type="containsText" dxfId="3996" priority="70" operator="containsText" text="Deleted">
      <formula>NOT(ISERROR(SEARCH("Deleted",V68)))</formula>
    </cfRule>
    <cfRule type="containsText" dxfId="3995" priority="71" operator="containsText" text="Completed Behind Schedule">
      <formula>NOT(ISERROR(SEARCH("Completed Behind Schedule",V68)))</formula>
    </cfRule>
    <cfRule type="containsText" dxfId="3994" priority="72" operator="containsText" text="Off Target">
      <formula>NOT(ISERROR(SEARCH("Off Target",V68)))</formula>
    </cfRule>
    <cfRule type="containsText" dxfId="3993" priority="73" operator="containsText" text="In Danger of Falling Behind Target">
      <formula>NOT(ISERROR(SEARCH("In Danger of Falling Behind Target",V68)))</formula>
    </cfRule>
    <cfRule type="containsText" dxfId="3992" priority="74" operator="containsText" text="Fully Achieved">
      <formula>NOT(ISERROR(SEARCH("Fully Achieved",V68)))</formula>
    </cfRule>
    <cfRule type="containsText" dxfId="3991" priority="75" operator="containsText" text="On track to be achieved">
      <formula>NOT(ISERROR(SEARCH("On track to be achieved",V68)))</formula>
    </cfRule>
  </conditionalFormatting>
  <conditionalFormatting sqref="R14 M14 H14">
    <cfRule type="containsText" dxfId="3990" priority="48" operator="containsText" text="Deferred">
      <formula>NOT(ISERROR(SEARCH("Deferred",H14)))</formula>
    </cfRule>
    <cfRule type="containsText" dxfId="3989" priority="49" operator="containsText" text="Update Not Provided">
      <formula>NOT(ISERROR(SEARCH("Update Not Provided",H14)))</formula>
    </cfRule>
    <cfRule type="containsText" dxfId="3988" priority="50" operator="containsText" text="Not Yet Due">
      <formula>NOT(ISERROR(SEARCH("Not Yet Due",H14)))</formula>
    </cfRule>
    <cfRule type="containsText" dxfId="3987" priority="51" operator="containsText" text="Deleted">
      <formula>NOT(ISERROR(SEARCH("Deleted",H14)))</formula>
    </cfRule>
    <cfRule type="containsText" dxfId="3986" priority="52" operator="containsText" text="Completed Behind Schedule">
      <formula>NOT(ISERROR(SEARCH("Completed Behind Schedule",H14)))</formula>
    </cfRule>
    <cfRule type="containsText" dxfId="3985" priority="53" operator="containsText" text="Off Target">
      <formula>NOT(ISERROR(SEARCH("Off Target",H14)))</formula>
    </cfRule>
    <cfRule type="containsText" dxfId="3984" priority="54" operator="containsText" text="In Danger of Falling Behind Target">
      <formula>NOT(ISERROR(SEARCH("In Danger of Falling Behind Target",H14)))</formula>
    </cfRule>
    <cfRule type="containsText" dxfId="3983" priority="55" operator="containsText" text="Fully Achieved">
      <formula>NOT(ISERROR(SEARCH("Fully Achieved",H14)))</formula>
    </cfRule>
    <cfRule type="containsText" dxfId="3982" priority="56" operator="containsText" text="On track to be achieved">
      <formula>NOT(ISERROR(SEARCH("On track to be achieved",H14)))</formula>
    </cfRule>
  </conditionalFormatting>
  <conditionalFormatting sqref="V14">
    <cfRule type="containsText" dxfId="3981" priority="29" operator="containsText" text="Deleted">
      <formula>NOT(ISERROR(SEARCH("Deleted",V14)))</formula>
    </cfRule>
    <cfRule type="containsText" dxfId="3980" priority="30" operator="containsText" text="Deferred">
      <formula>NOT(ISERROR(SEARCH("Deferred",V14)))</formula>
    </cfRule>
    <cfRule type="containsText" dxfId="3979" priority="31" operator="containsText" text="Completion date within reasonable tolerance">
      <formula>NOT(ISERROR(SEARCH("Completion date within reasonable tolerance",V14)))</formula>
    </cfRule>
    <cfRule type="containsText" dxfId="3978" priority="32" operator="containsText" text="completed significantly after target deadline">
      <formula>NOT(ISERROR(SEARCH("completed significantly after target deadline",V14)))</formula>
    </cfRule>
    <cfRule type="containsText" dxfId="3977" priority="33" operator="containsText" text="Off target">
      <formula>NOT(ISERROR(SEARCH("Off target",V14)))</formula>
    </cfRule>
    <cfRule type="containsText" dxfId="3976" priority="34" operator="containsText" text="Target partially met">
      <formula>NOT(ISERROR(SEARCH("Target partially met",V14)))</formula>
    </cfRule>
    <cfRule type="containsText" dxfId="3975" priority="35" operator="containsText" text="Numerical outturn within 10% tolerance">
      <formula>NOT(ISERROR(SEARCH("Numerical outturn within 10% tolerance",V14)))</formula>
    </cfRule>
    <cfRule type="containsText" dxfId="3974" priority="36" operator="containsText" text="Numerical outturn within 5% Tolerance">
      <formula>NOT(ISERROR(SEARCH("Numerical outturn within 5% Tolerance",V14)))</formula>
    </cfRule>
    <cfRule type="containsText" dxfId="3973" priority="37" operator="containsText" text="Fully Achieved">
      <formula>NOT(ISERROR(SEARCH("Fully Achieved",V14)))</formula>
    </cfRule>
    <cfRule type="containsText" dxfId="3972" priority="38" operator="containsText" text="Update Not Provided">
      <formula>NOT(ISERROR(SEARCH("Update Not Provided",V14)))</formula>
    </cfRule>
    <cfRule type="containsText" dxfId="3971" priority="39" operator="containsText" text="Deferred">
      <formula>NOT(ISERROR(SEARCH("Deferred",V14)))</formula>
    </cfRule>
    <cfRule type="containsText" dxfId="3970" priority="40" operator="containsText" text="Update Not Provided">
      <formula>NOT(ISERROR(SEARCH("Update Not Provided",V14)))</formula>
    </cfRule>
    <cfRule type="containsText" dxfId="3969" priority="41" operator="containsText" text="Not Yet Due">
      <formula>NOT(ISERROR(SEARCH("Not Yet Due",V14)))</formula>
    </cfRule>
    <cfRule type="containsText" dxfId="3968" priority="42" operator="containsText" text="Deleted">
      <formula>NOT(ISERROR(SEARCH("Deleted",V14)))</formula>
    </cfRule>
    <cfRule type="containsText" dxfId="3967" priority="43" operator="containsText" text="Completed Behind Schedule">
      <formula>NOT(ISERROR(SEARCH("Completed Behind Schedule",V14)))</formula>
    </cfRule>
    <cfRule type="containsText" dxfId="3966" priority="44" operator="containsText" text="Off Target">
      <formula>NOT(ISERROR(SEARCH("Off Target",V14)))</formula>
    </cfRule>
    <cfRule type="containsText" dxfId="3965" priority="45" operator="containsText" text="In Danger of Falling Behind Target">
      <formula>NOT(ISERROR(SEARCH("In Danger of Falling Behind Target",V14)))</formula>
    </cfRule>
    <cfRule type="containsText" dxfId="3964" priority="46" operator="containsText" text="Fully Achieved">
      <formula>NOT(ISERROR(SEARCH("Fully Achieved",V14)))</formula>
    </cfRule>
    <cfRule type="containsText" dxfId="3963" priority="47" operator="containsText" text="On track to be achieved">
      <formula>NOT(ISERROR(SEARCH("On track to be achieved",V14)))</formula>
    </cfRule>
  </conditionalFormatting>
  <conditionalFormatting sqref="H88 M88 R88">
    <cfRule type="containsText" dxfId="3962" priority="20" operator="containsText" text="Deferred">
      <formula>NOT(ISERROR(SEARCH("Deferred",H88)))</formula>
    </cfRule>
    <cfRule type="containsText" dxfId="3961" priority="21" operator="containsText" text="Update Not Provided">
      <formula>NOT(ISERROR(SEARCH("Update Not Provided",H88)))</formula>
    </cfRule>
    <cfRule type="containsText" dxfId="3960" priority="22" operator="containsText" text="Not Yet Due">
      <formula>NOT(ISERROR(SEARCH("Not Yet Due",H88)))</formula>
    </cfRule>
    <cfRule type="containsText" dxfId="3959" priority="23" operator="containsText" text="Deleted">
      <formula>NOT(ISERROR(SEARCH("Deleted",H88)))</formula>
    </cfRule>
    <cfRule type="containsText" dxfId="3958" priority="24" operator="containsText" text="Completed Behind Schedule">
      <formula>NOT(ISERROR(SEARCH("Completed Behind Schedule",H88)))</formula>
    </cfRule>
    <cfRule type="containsText" dxfId="3957" priority="25" operator="containsText" text="Off Target">
      <formula>NOT(ISERROR(SEARCH("Off Target",H88)))</formula>
    </cfRule>
    <cfRule type="containsText" dxfId="3956" priority="26" operator="containsText" text="In Danger of Falling Behind Target">
      <formula>NOT(ISERROR(SEARCH("In Danger of Falling Behind Target",H88)))</formula>
    </cfRule>
    <cfRule type="containsText" dxfId="3955" priority="27" operator="containsText" text="Fully Achieved">
      <formula>NOT(ISERROR(SEARCH("Fully Achieved",H88)))</formula>
    </cfRule>
    <cfRule type="containsText" dxfId="3954" priority="28" operator="containsText" text="On track to be achieved">
      <formula>NOT(ISERROR(SEARCH("On track to be achieved",H88)))</formula>
    </cfRule>
  </conditionalFormatting>
  <conditionalFormatting sqref="V88">
    <cfRule type="containsText" dxfId="3953" priority="1" operator="containsText" text="Deleted">
      <formula>NOT(ISERROR(SEARCH("Deleted",V88)))</formula>
    </cfRule>
    <cfRule type="containsText" dxfId="3952" priority="2" operator="containsText" text="Deferred">
      <formula>NOT(ISERROR(SEARCH("Deferred",V88)))</formula>
    </cfRule>
    <cfRule type="containsText" dxfId="3951" priority="3" operator="containsText" text="Completion date within reasonable tolerance">
      <formula>NOT(ISERROR(SEARCH("Completion date within reasonable tolerance",V88)))</formula>
    </cfRule>
    <cfRule type="containsText" dxfId="3950" priority="4" operator="containsText" text="completed significantly after target deadline">
      <formula>NOT(ISERROR(SEARCH("completed significantly after target deadline",V88)))</formula>
    </cfRule>
    <cfRule type="containsText" dxfId="3949" priority="5" operator="containsText" text="Off target">
      <formula>NOT(ISERROR(SEARCH("Off target",V88)))</formula>
    </cfRule>
    <cfRule type="containsText" dxfId="3948" priority="6" operator="containsText" text="Target partially met">
      <formula>NOT(ISERROR(SEARCH("Target partially met",V88)))</formula>
    </cfRule>
    <cfRule type="containsText" dxfId="3947" priority="7" operator="containsText" text="Numerical outturn within 10% tolerance">
      <formula>NOT(ISERROR(SEARCH("Numerical outturn within 10% tolerance",V88)))</formula>
    </cfRule>
    <cfRule type="containsText" dxfId="3946" priority="8" operator="containsText" text="Numerical outturn within 5% Tolerance">
      <formula>NOT(ISERROR(SEARCH("Numerical outturn within 5% Tolerance",V88)))</formula>
    </cfRule>
    <cfRule type="containsText" dxfId="3945" priority="9" operator="containsText" text="Fully Achieved">
      <formula>NOT(ISERROR(SEARCH("Fully Achieved",V88)))</formula>
    </cfRule>
    <cfRule type="containsText" dxfId="3944" priority="10" operator="containsText" text="Update Not Provided">
      <formula>NOT(ISERROR(SEARCH("Update Not Provided",V88)))</formula>
    </cfRule>
    <cfRule type="containsText" dxfId="3943" priority="11" operator="containsText" text="Deferred">
      <formula>NOT(ISERROR(SEARCH("Deferred",V88)))</formula>
    </cfRule>
    <cfRule type="containsText" dxfId="3942" priority="12" operator="containsText" text="Update Not Provided">
      <formula>NOT(ISERROR(SEARCH("Update Not Provided",V88)))</formula>
    </cfRule>
    <cfRule type="containsText" dxfId="3941" priority="13" operator="containsText" text="Not Yet Due">
      <formula>NOT(ISERROR(SEARCH("Not Yet Due",V88)))</formula>
    </cfRule>
    <cfRule type="containsText" dxfId="3940" priority="14" operator="containsText" text="Deleted">
      <formula>NOT(ISERROR(SEARCH("Deleted",V88)))</formula>
    </cfRule>
    <cfRule type="containsText" dxfId="3939" priority="15" operator="containsText" text="Completed Behind Schedule">
      <formula>NOT(ISERROR(SEARCH("Completed Behind Schedule",V88)))</formula>
    </cfRule>
    <cfRule type="containsText" dxfId="3938" priority="16" operator="containsText" text="Off Target">
      <formula>NOT(ISERROR(SEARCH("Off Target",V88)))</formula>
    </cfRule>
    <cfRule type="containsText" dxfId="3937" priority="17" operator="containsText" text="In Danger of Falling Behind Target">
      <formula>NOT(ISERROR(SEARCH("In Danger of Falling Behind Target",V88)))</formula>
    </cfRule>
    <cfRule type="containsText" dxfId="3936" priority="18" operator="containsText" text="Fully Achieved">
      <formula>NOT(ISERROR(SEARCH("Fully Achieved",V88)))</formula>
    </cfRule>
    <cfRule type="containsText" dxfId="3935" priority="19" operator="containsText" text="On track to be achieved">
      <formula>NOT(ISERROR(SEARCH("On track to be achieved",V88)))</formula>
    </cfRule>
  </conditionalFormatting>
  <dataValidations xWindow="1719" yWindow="617" count="2">
    <dataValidation type="list" allowBlank="1" showInputMessage="1" showErrorMessage="1" promptTitle="Is target on track?" prompt="Please choose an option from the drop down list that best describes the current situation for this target." sqref="V3:V134">
      <formula1>$A$153:$A$162</formula1>
    </dataValidation>
    <dataValidation type="list" allowBlank="1" showInputMessage="1" showErrorMessage="1" promptTitle="Is target on track?" prompt="Please choose an option from the drop down list that best describes the current situation for this target." sqref="R3:R134 H3:H134 M3:M134">
      <formula1>$A$171:$A$179</formula1>
    </dataValidation>
  </dataValidations>
  <hyperlinks>
    <hyperlink ref="I80" r:id="rId1"/>
  </hyperlinks>
  <pageMargins left="0.25" right="0.25" top="0.75" bottom="0.75" header="0.3" footer="0.3"/>
  <pageSetup paperSize="8" scale="54" fitToHeight="0" orientation="landscape" r:id="rId2"/>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116"/>
  <sheetViews>
    <sheetView workbookViewId="0">
      <selection activeCell="D1" sqref="D1"/>
    </sheetView>
  </sheetViews>
  <sheetFormatPr defaultColWidth="9.33203125" defaultRowHeight="14.4"/>
  <cols>
    <col min="1" max="1" width="3.44140625" style="68" customWidth="1"/>
    <col min="2" max="9" width="9.33203125" style="68"/>
    <col min="10" max="10" width="3.44140625" style="68" customWidth="1"/>
    <col min="11" max="11" width="9.33203125" style="69" customWidth="1"/>
    <col min="12" max="18" width="9.33203125" style="68" customWidth="1"/>
    <col min="19" max="19" width="3.44140625" style="68" customWidth="1"/>
    <col min="20" max="27" width="9.33203125" style="68" customWidth="1"/>
    <col min="28" max="28" width="3.44140625" style="68" customWidth="1"/>
    <col min="29" max="36" width="9.33203125" style="68" customWidth="1"/>
    <col min="37" max="37" width="3.44140625" style="68" customWidth="1"/>
    <col min="38" max="47" width="9.33203125" style="68" customWidth="1"/>
    <col min="48" max="50" width="9.33203125" style="68"/>
    <col min="51" max="51" width="9.33203125" style="74"/>
    <col min="52" max="55" width="10" style="74" customWidth="1"/>
    <col min="56" max="16384" width="9.33203125" style="68"/>
  </cols>
  <sheetData>
    <row r="1" spans="2:56" s="67" customFormat="1" ht="35.25" customHeight="1">
      <c r="B1" s="73" t="s">
        <v>63</v>
      </c>
      <c r="K1" s="408"/>
      <c r="L1" s="408"/>
      <c r="M1" s="408"/>
      <c r="N1" s="408"/>
      <c r="O1" s="408"/>
      <c r="P1" s="408"/>
      <c r="Q1" s="408"/>
      <c r="R1" s="408"/>
      <c r="S1" s="408"/>
      <c r="T1" s="408"/>
      <c r="U1" s="408"/>
      <c r="V1" s="408"/>
      <c r="W1" s="408"/>
      <c r="X1" s="408"/>
      <c r="AY1" s="73"/>
      <c r="AZ1" s="73"/>
      <c r="BA1" s="73"/>
      <c r="BB1" s="73"/>
      <c r="BC1" s="73"/>
    </row>
    <row r="2" spans="2:56" s="67" customFormat="1" ht="35.4" hidden="1">
      <c r="K2" s="408"/>
      <c r="L2" s="408"/>
      <c r="M2" s="408"/>
      <c r="N2" s="408"/>
      <c r="O2" s="408"/>
      <c r="P2" s="408"/>
      <c r="Q2" s="408"/>
      <c r="R2" s="408"/>
      <c r="S2" s="408"/>
      <c r="T2" s="408"/>
      <c r="U2" s="408"/>
      <c r="V2" s="408"/>
      <c r="W2" s="408"/>
      <c r="X2" s="408"/>
      <c r="AY2" s="73"/>
      <c r="AZ2" s="73"/>
      <c r="BA2" s="73"/>
      <c r="BB2" s="73"/>
      <c r="BC2" s="73"/>
    </row>
    <row r="3" spans="2:56" s="67" customFormat="1" ht="35.4" hidden="1">
      <c r="K3" s="408"/>
      <c r="L3" s="408"/>
      <c r="M3" s="408"/>
      <c r="N3" s="408"/>
      <c r="O3" s="408"/>
      <c r="P3" s="408"/>
      <c r="Q3" s="408"/>
      <c r="R3" s="408"/>
      <c r="S3" s="408"/>
      <c r="T3" s="408"/>
      <c r="U3" s="408"/>
      <c r="V3" s="408"/>
      <c r="W3" s="408"/>
      <c r="X3" s="408"/>
      <c r="AY3" s="73"/>
      <c r="AZ3" s="73"/>
      <c r="BA3" s="73"/>
      <c r="BB3" s="73"/>
      <c r="BC3" s="73"/>
    </row>
    <row r="4" spans="2:56">
      <c r="N4" s="70"/>
      <c r="W4" s="70"/>
      <c r="AF4" s="70"/>
      <c r="AO4" s="70"/>
    </row>
    <row r="5" spans="2:56">
      <c r="AY5" s="75" t="s">
        <v>213</v>
      </c>
      <c r="AZ5" s="76"/>
      <c r="BA5" s="76"/>
      <c r="BB5" s="76"/>
      <c r="BC5" s="76"/>
      <c r="BD5" s="69"/>
    </row>
    <row r="6" spans="2:56">
      <c r="AY6" s="77"/>
      <c r="AZ6" s="78" t="s">
        <v>13</v>
      </c>
      <c r="BA6" s="78" t="s">
        <v>14</v>
      </c>
      <c r="BB6" s="78" t="s">
        <v>15</v>
      </c>
      <c r="BC6" s="78" t="s">
        <v>12</v>
      </c>
      <c r="BD6" s="69"/>
    </row>
    <row r="7" spans="2:56">
      <c r="AY7" s="79" t="s">
        <v>55</v>
      </c>
      <c r="AZ7" s="80">
        <f>'3a. % by Portfolio'!G5</f>
        <v>0.94444444444444442</v>
      </c>
      <c r="BA7" s="80" t="e">
        <f>'3a. % by Portfolio'!N5</f>
        <v>#DIV/0!</v>
      </c>
      <c r="BB7" s="80" t="e">
        <f>'3a. % by Portfolio'!U5</f>
        <v>#DIV/0!</v>
      </c>
      <c r="BC7" s="80" t="e">
        <f>'3a. % by Portfolio'!AB5</f>
        <v>#DIV/0!</v>
      </c>
      <c r="BD7" s="69"/>
    </row>
    <row r="8" spans="2:56">
      <c r="L8" s="71"/>
      <c r="M8" s="71"/>
      <c r="AY8" s="79" t="s">
        <v>56</v>
      </c>
      <c r="AZ8" s="80">
        <f>'3a. % by Portfolio'!G7</f>
        <v>5.5555555555555552E-2</v>
      </c>
      <c r="BA8" s="80" t="e">
        <f>'3a. % by Portfolio'!N7</f>
        <v>#DIV/0!</v>
      </c>
      <c r="BB8" s="80" t="e">
        <f>'3a. % by Portfolio'!U7</f>
        <v>#DIV/0!</v>
      </c>
      <c r="BC8" s="80" t="e">
        <f>'3a. % by Portfolio'!AB7</f>
        <v>#DIV/0!</v>
      </c>
      <c r="BD8" s="69"/>
    </row>
    <row r="9" spans="2:56">
      <c r="L9" s="71"/>
      <c r="M9" s="71"/>
      <c r="AY9" s="79" t="s">
        <v>57</v>
      </c>
      <c r="AZ9" s="80">
        <f>'3a. % by Portfolio'!G10</f>
        <v>0</v>
      </c>
      <c r="BA9" s="80" t="e">
        <f>'3a. % by Portfolio'!N10</f>
        <v>#DIV/0!</v>
      </c>
      <c r="BB9" s="80" t="e">
        <f>'3a. % by Portfolio'!U10</f>
        <v>#DIV/0!</v>
      </c>
      <c r="BC9" s="80" t="e">
        <f>'3a. % by Portfolio'!AB10</f>
        <v>#DIV/0!</v>
      </c>
      <c r="BD9" s="69"/>
    </row>
    <row r="10" spans="2:56">
      <c r="L10" s="71"/>
      <c r="M10" s="71"/>
      <c r="AY10" s="77"/>
      <c r="AZ10" s="81"/>
      <c r="BA10" s="81"/>
      <c r="BB10" s="81"/>
      <c r="BC10" s="81"/>
      <c r="BD10" s="69"/>
    </row>
    <row r="11" spans="2:56">
      <c r="AY11" s="82"/>
      <c r="AZ11" s="83"/>
      <c r="BA11" s="83"/>
      <c r="BB11" s="83"/>
      <c r="BC11" s="83"/>
      <c r="BD11" s="69"/>
    </row>
    <row r="12" spans="2:56">
      <c r="AY12" s="82"/>
      <c r="AZ12" s="83"/>
      <c r="BA12" s="83"/>
      <c r="BB12" s="83"/>
      <c r="BC12" s="83"/>
      <c r="BD12" s="69"/>
    </row>
    <row r="13" spans="2:56">
      <c r="AY13" s="82"/>
      <c r="AZ13" s="83"/>
      <c r="BA13" s="83"/>
      <c r="BB13" s="83"/>
      <c r="BC13" s="83"/>
      <c r="BD13" s="69"/>
    </row>
    <row r="14" spans="2:56">
      <c r="AY14" s="76"/>
      <c r="AZ14" s="76"/>
      <c r="BA14" s="76"/>
      <c r="BB14" s="76"/>
      <c r="BC14" s="76"/>
      <c r="BD14" s="69"/>
    </row>
    <row r="15" spans="2:56">
      <c r="AY15" s="76"/>
      <c r="AZ15" s="76"/>
      <c r="BA15" s="76"/>
      <c r="BB15" s="76"/>
      <c r="BC15" s="76"/>
      <c r="BD15" s="69"/>
    </row>
    <row r="16" spans="2:56">
      <c r="AY16" s="76"/>
      <c r="AZ16" s="76"/>
      <c r="BA16" s="76"/>
      <c r="BB16" s="76"/>
      <c r="BC16" s="76"/>
      <c r="BD16" s="69"/>
    </row>
    <row r="17" spans="12:56">
      <c r="AY17" s="76"/>
      <c r="AZ17" s="76"/>
      <c r="BA17" s="76"/>
      <c r="BB17" s="76"/>
      <c r="BC17" s="76"/>
      <c r="BD17" s="69"/>
    </row>
    <row r="18" spans="12:56">
      <c r="AY18" s="76"/>
      <c r="AZ18" s="76"/>
      <c r="BA18" s="76"/>
      <c r="BB18" s="76"/>
      <c r="BC18" s="76"/>
      <c r="BD18" s="69"/>
    </row>
    <row r="19" spans="12:56">
      <c r="AY19" s="76"/>
      <c r="AZ19" s="76"/>
      <c r="BA19" s="76"/>
      <c r="BB19" s="76"/>
      <c r="BC19" s="76"/>
      <c r="BD19" s="69"/>
    </row>
    <row r="20" spans="12:56">
      <c r="N20" s="70"/>
      <c r="W20" s="70"/>
      <c r="AF20" s="70"/>
      <c r="AO20" s="70"/>
      <c r="AY20" s="76"/>
      <c r="AZ20" s="76"/>
      <c r="BA20" s="76"/>
      <c r="BB20" s="76"/>
      <c r="BC20" s="76"/>
      <c r="BD20" s="69"/>
    </row>
    <row r="21" spans="12:56">
      <c r="AY21" s="75" t="s">
        <v>118</v>
      </c>
      <c r="AZ21" s="76"/>
      <c r="BA21" s="76"/>
      <c r="BB21" s="76"/>
      <c r="BC21" s="76"/>
      <c r="BD21" s="69"/>
    </row>
    <row r="22" spans="12:56">
      <c r="AY22" s="77"/>
      <c r="AZ22" s="78" t="s">
        <v>13</v>
      </c>
      <c r="BA22" s="78" t="s">
        <v>14</v>
      </c>
      <c r="BB22" s="78" t="s">
        <v>15</v>
      </c>
      <c r="BC22" s="78" t="s">
        <v>12</v>
      </c>
      <c r="BD22" s="69"/>
    </row>
    <row r="23" spans="12:56">
      <c r="AY23" s="79" t="s">
        <v>55</v>
      </c>
      <c r="AZ23" s="80">
        <f>'3a. % by Portfolio'!G24</f>
        <v>0.83333333333333326</v>
      </c>
      <c r="BA23" s="80" t="e">
        <f>'3a. % by Portfolio'!N24</f>
        <v>#DIV/0!</v>
      </c>
      <c r="BB23" s="80" t="e">
        <f>'3a. % by Portfolio'!U24</f>
        <v>#DIV/0!</v>
      </c>
      <c r="BC23" s="80" t="e">
        <f>'3a. % by Portfolio'!AB24</f>
        <v>#DIV/0!</v>
      </c>
      <c r="BD23" s="69"/>
    </row>
    <row r="24" spans="12:56">
      <c r="L24" s="71"/>
      <c r="M24" s="71"/>
      <c r="AY24" s="79" t="s">
        <v>56</v>
      </c>
      <c r="AZ24" s="80">
        <f>'3a. % by Portfolio'!G26</f>
        <v>0.16666666666666666</v>
      </c>
      <c r="BA24" s="80" t="e">
        <f>'3a. % by Portfolio'!N26</f>
        <v>#DIV/0!</v>
      </c>
      <c r="BB24" s="80" t="e">
        <f>'3a. % by Portfolio'!U26</f>
        <v>#DIV/0!</v>
      </c>
      <c r="BC24" s="80" t="e">
        <f>'3a. % by Portfolio'!AB26</f>
        <v>#DIV/0!</v>
      </c>
      <c r="BD24" s="69"/>
    </row>
    <row r="25" spans="12:56">
      <c r="L25" s="71"/>
      <c r="M25" s="71"/>
      <c r="AY25" s="79" t="s">
        <v>57</v>
      </c>
      <c r="AZ25" s="80">
        <f>'3a. % by Portfolio'!G29</f>
        <v>0</v>
      </c>
      <c r="BA25" s="80" t="e">
        <f>'3a. % by Portfolio'!N29</f>
        <v>#DIV/0!</v>
      </c>
      <c r="BB25" s="80" t="e">
        <f>'3a. % by Portfolio'!U29</f>
        <v>#DIV/0!</v>
      </c>
      <c r="BC25" s="80" t="e">
        <f>'3a. % by Portfolio'!AB29</f>
        <v>#DIV/0!</v>
      </c>
      <c r="BD25" s="69"/>
    </row>
    <row r="26" spans="12:56">
      <c r="L26" s="71"/>
      <c r="M26" s="71"/>
      <c r="AY26" s="76"/>
      <c r="AZ26" s="76"/>
      <c r="BA26" s="76"/>
      <c r="BB26" s="76"/>
      <c r="BC26" s="76"/>
      <c r="BD26" s="69"/>
    </row>
    <row r="27" spans="12:56">
      <c r="AY27" s="82"/>
      <c r="AZ27" s="76"/>
      <c r="BA27" s="76"/>
      <c r="BB27" s="76"/>
      <c r="BC27" s="76"/>
      <c r="BD27" s="69"/>
    </row>
    <row r="28" spans="12:56">
      <c r="AY28" s="82"/>
      <c r="AZ28" s="76"/>
      <c r="BA28" s="76"/>
      <c r="BB28" s="76"/>
      <c r="BC28" s="76"/>
      <c r="BD28" s="69"/>
    </row>
    <row r="29" spans="12:56">
      <c r="AY29" s="82"/>
      <c r="AZ29" s="76"/>
      <c r="BA29" s="76"/>
      <c r="BB29" s="76"/>
      <c r="BC29" s="76"/>
      <c r="BD29" s="69"/>
    </row>
    <row r="30" spans="12:56">
      <c r="AY30" s="76"/>
      <c r="AZ30" s="76"/>
      <c r="BA30" s="76"/>
      <c r="BB30" s="76"/>
      <c r="BC30" s="76"/>
      <c r="BD30" s="69"/>
    </row>
    <row r="31" spans="12:56">
      <c r="AY31" s="76"/>
      <c r="AZ31" s="76"/>
      <c r="BA31" s="76"/>
      <c r="BB31" s="76"/>
      <c r="BC31" s="76"/>
      <c r="BD31" s="69"/>
    </row>
    <row r="32" spans="12:56">
      <c r="AY32" s="76"/>
      <c r="AZ32" s="76"/>
      <c r="BA32" s="76"/>
      <c r="BB32" s="76"/>
      <c r="BC32" s="76"/>
      <c r="BD32" s="69"/>
    </row>
    <row r="33" spans="11:56">
      <c r="AY33" s="76"/>
      <c r="AZ33" s="76"/>
      <c r="BA33" s="76"/>
      <c r="BB33" s="76"/>
      <c r="BC33" s="76"/>
      <c r="BD33" s="69"/>
    </row>
    <row r="34" spans="11:56">
      <c r="AY34" s="76"/>
      <c r="AZ34" s="76"/>
      <c r="BA34" s="76"/>
      <c r="BB34" s="76"/>
      <c r="BC34" s="76"/>
      <c r="BD34" s="69"/>
    </row>
    <row r="35" spans="11:56">
      <c r="AY35" s="76"/>
      <c r="AZ35" s="76"/>
      <c r="BA35" s="76"/>
      <c r="BB35" s="76"/>
      <c r="BC35" s="76"/>
      <c r="BD35" s="69"/>
    </row>
    <row r="36" spans="11:56">
      <c r="N36" s="70"/>
      <c r="W36" s="70"/>
      <c r="AF36" s="70"/>
      <c r="AO36" s="70"/>
      <c r="AY36" s="76"/>
      <c r="AZ36" s="76"/>
      <c r="BA36" s="76"/>
      <c r="BB36" s="76"/>
      <c r="BC36" s="76"/>
      <c r="BD36" s="69"/>
    </row>
    <row r="37" spans="11:56">
      <c r="AY37" s="75" t="s">
        <v>215</v>
      </c>
      <c r="AZ37" s="84"/>
      <c r="BA37" s="84"/>
      <c r="BB37" s="84"/>
      <c r="BC37" s="84"/>
      <c r="BD37" s="72"/>
    </row>
    <row r="38" spans="11:56">
      <c r="AY38" s="85"/>
      <c r="AZ38" s="78" t="s">
        <v>13</v>
      </c>
      <c r="BA38" s="78" t="s">
        <v>14</v>
      </c>
      <c r="BB38" s="78" t="s">
        <v>15</v>
      </c>
      <c r="BC38" s="78" t="s">
        <v>12</v>
      </c>
      <c r="BD38" s="72"/>
    </row>
    <row r="39" spans="11:56">
      <c r="AY39" s="79" t="s">
        <v>55</v>
      </c>
      <c r="AZ39" s="80">
        <f>'3a. % by Portfolio'!G42</f>
        <v>1</v>
      </c>
      <c r="BA39" s="80" t="e">
        <f>'3a. % by Portfolio'!N42</f>
        <v>#DIV/0!</v>
      </c>
      <c r="BB39" s="80" t="e">
        <f>'3a. % by Portfolio'!U42</f>
        <v>#DIV/0!</v>
      </c>
      <c r="BC39" s="80" t="e">
        <f>'3a. % by Portfolio'!AB42</f>
        <v>#DIV/0!</v>
      </c>
      <c r="BD39" s="72"/>
    </row>
    <row r="40" spans="11:56">
      <c r="K40" s="71"/>
      <c r="L40" s="71"/>
      <c r="AY40" s="79" t="s">
        <v>56</v>
      </c>
      <c r="AZ40" s="80">
        <f>'3a. % by Portfolio'!G44</f>
        <v>0</v>
      </c>
      <c r="BA40" s="80" t="e">
        <f>'3a. % by Portfolio'!N44</f>
        <v>#DIV/0!</v>
      </c>
      <c r="BB40" s="80" t="e">
        <f>'3a. % by Portfolio'!U44</f>
        <v>#DIV/0!</v>
      </c>
      <c r="BC40" s="80" t="e">
        <f>'3a. % by Portfolio'!AB44</f>
        <v>#DIV/0!</v>
      </c>
      <c r="BD40" s="72"/>
    </row>
    <row r="41" spans="11:56">
      <c r="K41" s="71"/>
      <c r="L41" s="71"/>
      <c r="AY41" s="79" t="s">
        <v>57</v>
      </c>
      <c r="AZ41" s="80">
        <f>'3a. % by Portfolio'!G47</f>
        <v>0</v>
      </c>
      <c r="BA41" s="80" t="e">
        <f>'3a. % by Portfolio'!N47</f>
        <v>#DIV/0!</v>
      </c>
      <c r="BB41" s="80" t="e">
        <f>'3a. % by Portfolio'!U47</f>
        <v>#DIV/0!</v>
      </c>
      <c r="BC41" s="80" t="e">
        <f>'3a. % by Portfolio'!AB47</f>
        <v>#DIV/0!</v>
      </c>
      <c r="BD41" s="72"/>
    </row>
    <row r="42" spans="11:56">
      <c r="K42" s="71"/>
      <c r="L42" s="71"/>
      <c r="AY42" s="76"/>
      <c r="AZ42" s="76"/>
      <c r="BA42" s="76"/>
      <c r="BB42" s="76"/>
      <c r="BC42" s="76"/>
      <c r="BD42" s="69"/>
    </row>
    <row r="43" spans="11:56">
      <c r="AY43" s="82"/>
      <c r="AZ43" s="76"/>
      <c r="BA43" s="76"/>
      <c r="BB43" s="76"/>
      <c r="BC43" s="76"/>
      <c r="BD43" s="69"/>
    </row>
    <row r="44" spans="11:56">
      <c r="AY44" s="82"/>
      <c r="AZ44" s="76"/>
      <c r="BA44" s="76"/>
      <c r="BB44" s="76"/>
      <c r="BC44" s="76"/>
      <c r="BD44" s="69"/>
    </row>
    <row r="45" spans="11:56">
      <c r="AY45" s="82"/>
      <c r="AZ45" s="76"/>
      <c r="BA45" s="76"/>
      <c r="BB45" s="76"/>
      <c r="BC45" s="76"/>
      <c r="BD45" s="69"/>
    </row>
    <row r="46" spans="11:56">
      <c r="AY46" s="76"/>
      <c r="AZ46" s="76"/>
      <c r="BA46" s="76"/>
      <c r="BB46" s="76"/>
      <c r="BC46" s="76"/>
      <c r="BD46" s="69"/>
    </row>
    <row r="47" spans="11:56">
      <c r="AY47" s="76"/>
      <c r="AZ47" s="76"/>
      <c r="BA47" s="76"/>
      <c r="BB47" s="76"/>
      <c r="BC47" s="76"/>
      <c r="BD47" s="69"/>
    </row>
    <row r="48" spans="11:56">
      <c r="AY48" s="76"/>
      <c r="AZ48" s="76"/>
      <c r="BA48" s="76"/>
      <c r="BB48" s="76"/>
      <c r="BC48" s="76"/>
      <c r="BD48" s="69"/>
    </row>
    <row r="49" spans="12:56">
      <c r="AY49" s="76"/>
      <c r="AZ49" s="76"/>
      <c r="BA49" s="76"/>
      <c r="BB49" s="76"/>
      <c r="BC49" s="76"/>
      <c r="BD49" s="69"/>
    </row>
    <row r="50" spans="12:56">
      <c r="AY50" s="76"/>
      <c r="AZ50" s="76"/>
      <c r="BA50" s="76"/>
      <c r="BB50" s="76"/>
      <c r="BC50" s="76"/>
      <c r="BD50" s="69"/>
    </row>
    <row r="51" spans="12:56">
      <c r="AY51" s="76"/>
      <c r="AZ51" s="76"/>
      <c r="BA51" s="76"/>
      <c r="BB51" s="76"/>
      <c r="BC51" s="76"/>
      <c r="BD51" s="69"/>
    </row>
    <row r="52" spans="12:56">
      <c r="N52" s="70"/>
      <c r="W52" s="70"/>
      <c r="AF52" s="70"/>
      <c r="AO52" s="70"/>
      <c r="AY52" s="76"/>
      <c r="AZ52" s="76"/>
      <c r="BA52" s="76"/>
      <c r="BB52" s="76"/>
      <c r="BC52" s="76"/>
      <c r="BD52" s="69"/>
    </row>
    <row r="53" spans="12:56">
      <c r="AY53" s="75" t="s">
        <v>434</v>
      </c>
      <c r="AZ53" s="84"/>
      <c r="BA53" s="84"/>
      <c r="BB53" s="84"/>
      <c r="BC53" s="84"/>
      <c r="BD53" s="69"/>
    </row>
    <row r="54" spans="12:56">
      <c r="AY54" s="85"/>
      <c r="AZ54" s="78" t="s">
        <v>13</v>
      </c>
      <c r="BA54" s="78" t="s">
        <v>14</v>
      </c>
      <c r="BB54" s="78" t="s">
        <v>15</v>
      </c>
      <c r="BC54" s="78" t="s">
        <v>12</v>
      </c>
      <c r="BD54" s="69"/>
    </row>
    <row r="55" spans="12:56">
      <c r="AY55" s="79" t="s">
        <v>55</v>
      </c>
      <c r="AZ55" s="80">
        <f>'3a. % by Portfolio'!G60</f>
        <v>1</v>
      </c>
      <c r="BA55" s="80" t="e">
        <f>'3a. % by Portfolio'!N60</f>
        <v>#DIV/0!</v>
      </c>
      <c r="BB55" s="80" t="e">
        <f>'3a. % by Portfolio'!U60</f>
        <v>#DIV/0!</v>
      </c>
      <c r="BC55" s="80" t="e">
        <f>'3a. % by Portfolio'!AB60</f>
        <v>#DIV/0!</v>
      </c>
      <c r="BD55" s="69"/>
    </row>
    <row r="56" spans="12:56">
      <c r="L56" s="71"/>
      <c r="M56" s="71"/>
      <c r="AY56" s="79" t="s">
        <v>56</v>
      </c>
      <c r="AZ56" s="80">
        <f>'3a. % by Portfolio'!G62</f>
        <v>0</v>
      </c>
      <c r="BA56" s="80" t="e">
        <f>'3a. % by Portfolio'!N62</f>
        <v>#DIV/0!</v>
      </c>
      <c r="BB56" s="80" t="e">
        <f>'3a. % by Portfolio'!U62</f>
        <v>#DIV/0!</v>
      </c>
      <c r="BC56" s="80" t="e">
        <f>'3a. % by Portfolio'!AB62</f>
        <v>#DIV/0!</v>
      </c>
      <c r="BD56" s="69"/>
    </row>
    <row r="57" spans="12:56">
      <c r="L57" s="71"/>
      <c r="M57" s="71"/>
      <c r="AY57" s="79" t="s">
        <v>57</v>
      </c>
      <c r="AZ57" s="80">
        <f>'3a. % by Portfolio'!G65</f>
        <v>0</v>
      </c>
      <c r="BA57" s="80" t="e">
        <f>'3a. % by Portfolio'!N65</f>
        <v>#DIV/0!</v>
      </c>
      <c r="BB57" s="80" t="e">
        <f>'3a. % by Portfolio'!U65</f>
        <v>#DIV/0!</v>
      </c>
      <c r="BC57" s="80" t="e">
        <f>'3a. % by Portfolio'!AB65</f>
        <v>#DIV/0!</v>
      </c>
      <c r="BD57" s="69"/>
    </row>
    <row r="58" spans="12:56">
      <c r="L58" s="71"/>
      <c r="M58" s="71"/>
      <c r="AY58" s="76"/>
      <c r="AZ58" s="76"/>
      <c r="BA58" s="76"/>
      <c r="BB58" s="76"/>
      <c r="BC58" s="76"/>
      <c r="BD58" s="69"/>
    </row>
    <row r="59" spans="12:56">
      <c r="AY59" s="82"/>
      <c r="AZ59" s="76"/>
      <c r="BA59" s="76"/>
      <c r="BB59" s="76"/>
      <c r="BC59" s="76"/>
      <c r="BD59" s="69"/>
    </row>
    <row r="60" spans="12:56">
      <c r="AY60" s="82"/>
      <c r="AZ60" s="76"/>
      <c r="BA60" s="76"/>
      <c r="BB60" s="76"/>
      <c r="BC60" s="76"/>
      <c r="BD60" s="69"/>
    </row>
    <row r="61" spans="12:56">
      <c r="AY61" s="82"/>
      <c r="AZ61" s="76"/>
      <c r="BA61" s="76"/>
      <c r="BB61" s="76"/>
      <c r="BC61" s="76"/>
      <c r="BD61" s="69"/>
    </row>
    <row r="62" spans="12:56">
      <c r="AY62" s="76"/>
      <c r="AZ62" s="76"/>
      <c r="BA62" s="76"/>
      <c r="BB62" s="76"/>
      <c r="BC62" s="76"/>
      <c r="BD62" s="69"/>
    </row>
    <row r="63" spans="12:56">
      <c r="AY63" s="76"/>
      <c r="AZ63" s="76"/>
      <c r="BA63" s="76"/>
      <c r="BB63" s="76"/>
      <c r="BC63" s="76"/>
      <c r="BD63" s="69"/>
    </row>
    <row r="64" spans="12:56">
      <c r="AY64" s="76"/>
      <c r="AZ64" s="76"/>
      <c r="BA64" s="76"/>
      <c r="BB64" s="76"/>
      <c r="BC64" s="76"/>
      <c r="BD64" s="69"/>
    </row>
    <row r="65" spans="14:56">
      <c r="AY65" s="76"/>
      <c r="AZ65" s="76"/>
      <c r="BA65" s="76"/>
      <c r="BB65" s="76"/>
      <c r="BC65" s="76"/>
      <c r="BD65" s="69"/>
    </row>
    <row r="66" spans="14:56">
      <c r="AY66" s="76"/>
      <c r="AZ66" s="76"/>
      <c r="BA66" s="76"/>
      <c r="BB66" s="76"/>
      <c r="BC66" s="76"/>
      <c r="BD66" s="69"/>
    </row>
    <row r="68" spans="14:56">
      <c r="N68" s="70"/>
      <c r="W68" s="70"/>
      <c r="AF68" s="70"/>
      <c r="AO68" s="70"/>
      <c r="AY68" s="76"/>
      <c r="AZ68" s="76"/>
      <c r="BA68" s="76"/>
      <c r="BB68" s="76"/>
      <c r="BC68" s="76"/>
      <c r="BD68" s="69"/>
    </row>
    <row r="69" spans="14:56">
      <c r="AY69" s="75" t="s">
        <v>212</v>
      </c>
      <c r="AZ69" s="84"/>
      <c r="BA69" s="84"/>
      <c r="BB69" s="84"/>
      <c r="BC69" s="84"/>
    </row>
    <row r="70" spans="14:56">
      <c r="AY70" s="85"/>
      <c r="AZ70" s="78" t="s">
        <v>13</v>
      </c>
      <c r="BA70" s="78" t="s">
        <v>14</v>
      </c>
      <c r="BB70" s="78" t="s">
        <v>15</v>
      </c>
      <c r="BC70" s="78" t="s">
        <v>12</v>
      </c>
    </row>
    <row r="71" spans="14:56">
      <c r="AY71" s="79" t="s">
        <v>55</v>
      </c>
      <c r="AZ71" s="80">
        <f>'3a. % by Portfolio'!G78</f>
        <v>0.88888888888888884</v>
      </c>
      <c r="BA71" s="80" t="e">
        <f>'3a. % by Portfolio'!N78</f>
        <v>#DIV/0!</v>
      </c>
      <c r="BB71" s="80" t="e">
        <f>'3a. % by Portfolio'!U78</f>
        <v>#DIV/0!</v>
      </c>
      <c r="BC71" s="80" t="e">
        <f>'3a. % by Portfolio'!AB78</f>
        <v>#DIV/0!</v>
      </c>
    </row>
    <row r="72" spans="14:56">
      <c r="AY72" s="79" t="s">
        <v>56</v>
      </c>
      <c r="AZ72" s="80">
        <f>'3a. % by Portfolio'!G80</f>
        <v>0.1111111111111111</v>
      </c>
      <c r="BA72" s="80" t="e">
        <f>'3a. % by Portfolio'!N80</f>
        <v>#DIV/0!</v>
      </c>
      <c r="BB72" s="80" t="e">
        <f>'3a. % by Portfolio'!U80</f>
        <v>#DIV/0!</v>
      </c>
      <c r="BC72" s="80" t="e">
        <f>'3a. % by Portfolio'!AB80</f>
        <v>#DIV/0!</v>
      </c>
    </row>
    <row r="73" spans="14:56">
      <c r="AY73" s="79" t="s">
        <v>57</v>
      </c>
      <c r="AZ73" s="80">
        <f>'3a. % by Portfolio'!G83</f>
        <v>0</v>
      </c>
      <c r="BA73" s="80" t="e">
        <f>'3a. % by Portfolio'!N83</f>
        <v>#DIV/0!</v>
      </c>
      <c r="BB73" s="80" t="e">
        <f>'3a. % by Portfolio'!U83</f>
        <v>#DIV/0!</v>
      </c>
      <c r="BC73" s="80" t="e">
        <f>'3a. % by Portfolio'!AB83</f>
        <v>#DIV/0!</v>
      </c>
    </row>
    <row r="84" spans="14:56">
      <c r="N84" s="70"/>
      <c r="W84" s="70"/>
      <c r="AF84" s="70"/>
      <c r="AO84" s="70"/>
    </row>
    <row r="85" spans="14:56">
      <c r="AY85" s="75" t="s">
        <v>117</v>
      </c>
      <c r="AZ85" s="84"/>
      <c r="BA85" s="84"/>
      <c r="BB85" s="84"/>
      <c r="BC85" s="84"/>
    </row>
    <row r="86" spans="14:56">
      <c r="AY86" s="85"/>
      <c r="AZ86" s="78" t="s">
        <v>13</v>
      </c>
      <c r="BA86" s="78" t="s">
        <v>14</v>
      </c>
      <c r="BB86" s="78" t="s">
        <v>15</v>
      </c>
      <c r="BC86" s="78" t="s">
        <v>12</v>
      </c>
    </row>
    <row r="87" spans="14:56">
      <c r="AY87" s="79" t="s">
        <v>55</v>
      </c>
      <c r="AZ87" s="80">
        <f>'3a. % by Portfolio'!G96</f>
        <v>1</v>
      </c>
      <c r="BA87" s="80" t="e">
        <f>'3a. % by Portfolio'!N96</f>
        <v>#DIV/0!</v>
      </c>
      <c r="BB87" s="80" t="e">
        <f>'3a. % by Portfolio'!U96</f>
        <v>#DIV/0!</v>
      </c>
      <c r="BC87" s="80" t="e">
        <f>'3a. % by Portfolio'!AB96</f>
        <v>#DIV/0!</v>
      </c>
    </row>
    <row r="88" spans="14:56">
      <c r="AY88" s="79" t="s">
        <v>56</v>
      </c>
      <c r="AZ88" s="80">
        <f>'3a. % by Portfolio'!G98</f>
        <v>0</v>
      </c>
      <c r="BA88" s="80" t="e">
        <f>'3a. % by Portfolio'!N98</f>
        <v>#DIV/0!</v>
      </c>
      <c r="BB88" s="80" t="e">
        <f>'3a. % by Portfolio'!U98</f>
        <v>#DIV/0!</v>
      </c>
      <c r="BC88" s="80" t="e">
        <f>'3a. % by Portfolio'!AB98</f>
        <v>#DIV/0!</v>
      </c>
    </row>
    <row r="89" spans="14:56">
      <c r="AY89" s="79" t="s">
        <v>57</v>
      </c>
      <c r="AZ89" s="80">
        <f>'3a. % by Portfolio'!G101</f>
        <v>0</v>
      </c>
      <c r="BA89" s="80" t="e">
        <f>'3a. % by Portfolio'!N101</f>
        <v>#DIV/0!</v>
      </c>
      <c r="BB89" s="80" t="e">
        <f>'3a. % by Portfolio'!U101</f>
        <v>#DIV/0!</v>
      </c>
      <c r="BC89" s="80" t="e">
        <f>'3a. % by Portfolio'!AB101</f>
        <v>#DIV/0!</v>
      </c>
    </row>
    <row r="95" spans="14:56">
      <c r="AY95" s="86"/>
      <c r="AZ95" s="86"/>
      <c r="BA95" s="86"/>
      <c r="BB95" s="86"/>
      <c r="BC95" s="86"/>
      <c r="BD95" s="87"/>
    </row>
    <row r="96" spans="14:56">
      <c r="AY96" s="86"/>
      <c r="AZ96" s="86"/>
      <c r="BA96" s="86"/>
      <c r="BB96" s="86"/>
      <c r="BC96" s="86"/>
      <c r="BD96" s="87"/>
    </row>
    <row r="97" spans="14:56">
      <c r="AY97" s="86"/>
      <c r="AZ97" s="86"/>
      <c r="BA97" s="86"/>
      <c r="BB97" s="86"/>
      <c r="BC97" s="86"/>
      <c r="BD97" s="87"/>
    </row>
    <row r="98" spans="14:56">
      <c r="AY98" s="86"/>
      <c r="AZ98" s="86"/>
      <c r="BA98" s="86"/>
      <c r="BB98" s="86"/>
      <c r="BC98" s="86"/>
      <c r="BD98" s="87"/>
    </row>
    <row r="99" spans="14:56">
      <c r="AY99" s="86"/>
      <c r="AZ99" s="86"/>
      <c r="BA99" s="86"/>
      <c r="BB99" s="86"/>
      <c r="BC99" s="86"/>
      <c r="BD99" s="87"/>
    </row>
    <row r="100" spans="14:56">
      <c r="N100" s="70"/>
      <c r="W100" s="70"/>
      <c r="AF100" s="70"/>
      <c r="AO100" s="70"/>
      <c r="AY100" s="86"/>
      <c r="AZ100" s="86"/>
      <c r="BA100" s="86"/>
      <c r="BB100" s="86"/>
      <c r="BC100" s="86"/>
      <c r="BD100" s="87"/>
    </row>
    <row r="101" spans="14:56">
      <c r="AY101" s="88"/>
      <c r="AZ101" s="85"/>
      <c r="BA101" s="85"/>
      <c r="BB101" s="85"/>
      <c r="BC101" s="85"/>
      <c r="BD101" s="87"/>
    </row>
    <row r="102" spans="14:56">
      <c r="AY102" s="85"/>
      <c r="AZ102" s="81"/>
      <c r="BA102" s="81"/>
      <c r="BB102" s="81"/>
      <c r="BC102" s="81"/>
      <c r="BD102" s="87"/>
    </row>
    <row r="103" spans="14:56">
      <c r="AY103" s="85"/>
      <c r="AZ103" s="83"/>
      <c r="BA103" s="83"/>
      <c r="BB103" s="83"/>
      <c r="BC103" s="83"/>
      <c r="BD103" s="87"/>
    </row>
    <row r="104" spans="14:56">
      <c r="AY104" s="85"/>
      <c r="AZ104" s="83"/>
      <c r="BA104" s="83"/>
      <c r="BB104" s="83"/>
      <c r="BC104" s="83"/>
      <c r="BD104" s="87"/>
    </row>
    <row r="105" spans="14:56">
      <c r="AY105" s="85"/>
      <c r="AZ105" s="83"/>
      <c r="BA105" s="83"/>
      <c r="BB105" s="83"/>
      <c r="BC105" s="83"/>
      <c r="BD105" s="87"/>
    </row>
    <row r="106" spans="14:56">
      <c r="AY106" s="86"/>
      <c r="AZ106" s="86"/>
      <c r="BA106" s="86"/>
      <c r="BB106" s="86"/>
      <c r="BC106" s="86"/>
      <c r="BD106" s="87"/>
    </row>
    <row r="116" spans="14:41">
      <c r="N116" s="70" t="s">
        <v>50</v>
      </c>
      <c r="W116" s="70" t="s">
        <v>50</v>
      </c>
      <c r="AF116" s="70" t="s">
        <v>50</v>
      </c>
      <c r="AO116" s="70" t="s">
        <v>50</v>
      </c>
    </row>
  </sheetData>
  <sheetProtection algorithmName="SHA-512" hashValue="GWcRMoY39yh15LXY2DuC0qIPyo9do9brC4efnyDbm5F3pEhQ0y2OmJSttxocfpFfdCbABlrGGFA+DwOvOTrsZg==" saltValue="Hro1Mxce4Lp8XtirqwvIlw=="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25" right="0.25" top="0.75" bottom="0.75" header="0.3" footer="0.3"/>
  <pageSetup paperSize="8" scale="51" orientation="landscape" r:id="rId1"/>
  <colBreaks count="1" manualBreakCount="1">
    <brk id="46" max="11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0" customWidth="1"/>
    <col min="2" max="2" width="55.44140625" style="100" customWidth="1"/>
    <col min="3" max="3" width="46.5546875" style="123" customWidth="1"/>
    <col min="4" max="10" width="26.33203125" style="100" customWidth="1"/>
    <col min="11" max="14" width="9.33203125" style="98" customWidth="1"/>
    <col min="15" max="15" width="16.5546875" style="98" hidden="1" customWidth="1"/>
    <col min="16" max="19" width="9.33203125" style="98" hidden="1" customWidth="1"/>
    <col min="20" max="20" width="24.6640625" style="98" hidden="1" customWidth="1"/>
    <col min="21" max="25" width="9.33203125" style="98" hidden="1" customWidth="1"/>
    <col min="26" max="26" width="0" style="98" hidden="1" customWidth="1"/>
    <col min="27" max="46" width="9.33203125" style="98"/>
    <col min="47" max="16384" width="9.33203125" style="100"/>
  </cols>
  <sheetData>
    <row r="1" spans="1:46" s="90" customFormat="1" ht="24" customHeight="1">
      <c r="A1" s="89" t="s">
        <v>50</v>
      </c>
      <c r="C1" s="91"/>
    </row>
    <row r="2" spans="1:46" s="93" customFormat="1" ht="63">
      <c r="A2" s="132" t="s">
        <v>64</v>
      </c>
      <c r="B2" s="132" t="s">
        <v>0</v>
      </c>
      <c r="C2" s="132" t="s">
        <v>1</v>
      </c>
      <c r="D2" s="133" t="s">
        <v>65</v>
      </c>
      <c r="E2" s="133" t="s">
        <v>66</v>
      </c>
      <c r="F2" s="133" t="s">
        <v>67</v>
      </c>
      <c r="G2" s="133" t="s">
        <v>68</v>
      </c>
      <c r="H2" s="133" t="s">
        <v>69</v>
      </c>
      <c r="I2" s="133" t="s">
        <v>70</v>
      </c>
      <c r="J2" s="133" t="s">
        <v>71</v>
      </c>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46" ht="99.75" customHeight="1" thickBot="1">
      <c r="A3" s="113" t="e">
        <f>'1. All Data'!#REF!</f>
        <v>#REF!</v>
      </c>
      <c r="B3" s="127" t="e">
        <f>'1. All Data'!#REF!</f>
        <v>#REF!</v>
      </c>
      <c r="C3" s="129" t="e">
        <f>'1. All Data'!#REF!</f>
        <v>#REF!</v>
      </c>
      <c r="D3" s="124" t="e">
        <f>'1. All Data'!#REF!</f>
        <v>#REF!</v>
      </c>
      <c r="E3" s="130"/>
      <c r="F3" s="125" t="e">
        <f>'1. All Data'!#REF!</f>
        <v>#REF!</v>
      </c>
      <c r="G3" s="131"/>
      <c r="H3" s="124" t="e">
        <f>'1. All Data'!#REF!</f>
        <v>#REF!</v>
      </c>
      <c r="I3" s="131"/>
      <c r="J3" s="124" t="e">
        <f>'1. All Data'!#REF!</f>
        <v>#REF!</v>
      </c>
      <c r="O3" s="99" t="s">
        <v>73</v>
      </c>
    </row>
    <row r="4" spans="1:46" ht="99.75" customHeight="1" thickTop="1" thickBot="1">
      <c r="A4" s="95" t="str">
        <f>'1. All Data'!B3</f>
        <v>ID01</v>
      </c>
      <c r="B4" s="127" t="str">
        <f>'1. All Data'!C3</f>
        <v>Improve local democracy and consultation</v>
      </c>
      <c r="C4" s="128" t="str">
        <f>'1. All Data'!D3</f>
        <v>Hold regular engagement events with businesses throughout the year</v>
      </c>
      <c r="D4" s="124" t="str">
        <f>'1. All Data'!H3</f>
        <v>On Track to be Achieved</v>
      </c>
      <c r="E4" s="97"/>
      <c r="F4" s="125">
        <f>'1. All Data'!M3</f>
        <v>0</v>
      </c>
      <c r="G4" s="97"/>
      <c r="H4" s="126">
        <f>'1. All Data'!R3</f>
        <v>0</v>
      </c>
      <c r="I4" s="97"/>
      <c r="J4" s="126">
        <f>'1. All Data'!V3</f>
        <v>0</v>
      </c>
      <c r="O4" s="99" t="s">
        <v>75</v>
      </c>
      <c r="Y4" s="97" t="s">
        <v>74</v>
      </c>
    </row>
    <row r="5" spans="1:46" ht="99.75" customHeight="1" thickTop="1" thickBot="1">
      <c r="A5" s="95" t="str">
        <f>'1. All Data'!B4</f>
        <v>ID02</v>
      </c>
      <c r="B5" s="127" t="str">
        <f>'1. All Data'!C4</f>
        <v>Improve local democracy and consultation</v>
      </c>
      <c r="C5" s="128" t="str">
        <f>'1. All Data'!D4</f>
        <v>Hold Question &amp; Answer sessions with Cabinet Members using online and in-person community forums on ad hoc basis</v>
      </c>
      <c r="D5" s="124" t="str">
        <f>'1. All Data'!H4</f>
        <v>Not Yet Due</v>
      </c>
      <c r="E5" s="97"/>
      <c r="F5" s="125">
        <f>'1. All Data'!M4</f>
        <v>0</v>
      </c>
      <c r="G5" s="97"/>
      <c r="H5" s="126">
        <f>'1. All Data'!R4</f>
        <v>0</v>
      </c>
      <c r="I5" s="97"/>
      <c r="J5" s="126">
        <f>'1. All Data'!V4</f>
        <v>0</v>
      </c>
      <c r="O5" s="99" t="s">
        <v>76</v>
      </c>
      <c r="T5" s="101"/>
      <c r="Y5" s="102" t="s">
        <v>77</v>
      </c>
    </row>
    <row r="6" spans="1:46" ht="88.8" thickTop="1" thickBot="1">
      <c r="A6" s="95" t="str">
        <f>'1. All Data'!B5</f>
        <v>ID03</v>
      </c>
      <c r="B6" s="127" t="str">
        <f>'1. All Data'!C5</f>
        <v>Improve local democracy and consultation</v>
      </c>
      <c r="C6" s="128" t="str">
        <f>'1. All Data'!D5</f>
        <v>Livestream Council meetings</v>
      </c>
      <c r="D6" s="124" t="str">
        <f>'1. All Data'!H5</f>
        <v>On Track to be Achieved</v>
      </c>
      <c r="E6" s="97"/>
      <c r="F6" s="125">
        <f>'1. All Data'!M5</f>
        <v>0</v>
      </c>
      <c r="G6" s="97"/>
      <c r="H6" s="126">
        <f>'1. All Data'!R5</f>
        <v>0</v>
      </c>
      <c r="I6" s="97"/>
      <c r="J6" s="126">
        <f>'1. All Data'!V5</f>
        <v>0</v>
      </c>
      <c r="O6" s="103" t="s">
        <v>72</v>
      </c>
      <c r="T6" s="104" t="s">
        <v>77</v>
      </c>
    </row>
    <row r="7" spans="1:46" ht="99.75" customHeight="1" thickTop="1">
      <c r="A7" s="95" t="str">
        <f>'1. All Data'!B6</f>
        <v>ID04</v>
      </c>
      <c r="B7" s="127" t="str">
        <f>'1. All Data'!C6</f>
        <v>Improve local democracy and consultation</v>
      </c>
      <c r="C7" s="128" t="str">
        <f>'1. All Data'!D6</f>
        <v>Revoke Council Constitution changes from December 2022 and introduce public participation at scrutiny committees</v>
      </c>
      <c r="D7" s="124" t="str">
        <f>'1. All Data'!H6</f>
        <v>On Track to be Achieved</v>
      </c>
      <c r="E7" s="97"/>
      <c r="F7" s="125">
        <f>'1. All Data'!M6</f>
        <v>0</v>
      </c>
      <c r="G7" s="97"/>
      <c r="H7" s="126">
        <f>'1. All Data'!R6</f>
        <v>0</v>
      </c>
      <c r="I7" s="97"/>
      <c r="J7" s="126">
        <f>'1. All Data'!V6</f>
        <v>0</v>
      </c>
      <c r="T7" s="104" t="s">
        <v>78</v>
      </c>
    </row>
    <row r="8" spans="1:46" ht="99.75" customHeight="1">
      <c r="A8" s="95" t="str">
        <f>'1. All Data'!B7</f>
        <v>ID05</v>
      </c>
      <c r="B8" s="127" t="str">
        <f>'1. All Data'!C7</f>
        <v>Improve local democracy and consultation</v>
      </c>
      <c r="C8" s="128" t="str">
        <f>'1. All Data'!D7</f>
        <v>Carry out a review of the Communications, Engagement and Consultation Strategy to improve existing council communications work</v>
      </c>
      <c r="D8" s="124" t="str">
        <f>'1. All Data'!H7</f>
        <v>Not Yet Due</v>
      </c>
      <c r="E8" s="97"/>
      <c r="F8" s="125">
        <f>'1. All Data'!M7</f>
        <v>0</v>
      </c>
      <c r="G8" s="97"/>
      <c r="H8" s="126">
        <f>'1. All Data'!R7</f>
        <v>0</v>
      </c>
      <c r="I8" s="97"/>
      <c r="J8" s="126">
        <f>'1. All Data'!V7</f>
        <v>0</v>
      </c>
      <c r="T8" s="104" t="s">
        <v>74</v>
      </c>
    </row>
    <row r="9" spans="1:46" ht="99.75" customHeight="1">
      <c r="A9" s="95" t="str">
        <f>'1. All Data'!B8</f>
        <v>ID06</v>
      </c>
      <c r="B9" s="127" t="str">
        <f>'1. All Data'!C8</f>
        <v>Improve local democracy and consultation</v>
      </c>
      <c r="C9" s="128" t="str">
        <f>'1. All Data'!D8</f>
        <v>Introduce a Citizens Assembly</v>
      </c>
      <c r="D9" s="124" t="str">
        <f>'1. All Data'!H8</f>
        <v>Not Yet Due</v>
      </c>
      <c r="E9" s="96"/>
      <c r="F9" s="125">
        <f>'1. All Data'!M8</f>
        <v>0</v>
      </c>
      <c r="G9" s="97"/>
      <c r="H9" s="126">
        <f>'1. All Data'!R8</f>
        <v>0</v>
      </c>
      <c r="I9" s="97"/>
      <c r="J9" s="126">
        <f>'1. All Data'!V8</f>
        <v>0</v>
      </c>
    </row>
    <row r="10" spans="1:46" ht="99.75" customHeight="1">
      <c r="A10" s="95" t="str">
        <f>'1. All Data'!B9</f>
        <v>PB01</v>
      </c>
      <c r="B10" s="127" t="str">
        <f>'1. All Data'!C9</f>
        <v>Tackling the cost of living crisis</v>
      </c>
      <c r="C10" s="128" t="str">
        <f>'1. All Data'!D9</f>
        <v>With partners, support and advise local residents by commissioning a new local debt advice service</v>
      </c>
      <c r="D10" s="124" t="str">
        <f>'1. All Data'!H9</f>
        <v>On Track to be Achieved</v>
      </c>
      <c r="E10" s="96"/>
      <c r="F10" s="125">
        <f>'1. All Data'!M9</f>
        <v>0</v>
      </c>
      <c r="G10" s="97"/>
      <c r="H10" s="126">
        <f>'1. All Data'!R9</f>
        <v>0</v>
      </c>
      <c r="I10" s="97"/>
      <c r="J10" s="126">
        <f>'1. All Data'!V9</f>
        <v>0</v>
      </c>
    </row>
    <row r="11" spans="1:46" ht="99.75" customHeight="1">
      <c r="A11" s="95" t="str">
        <f>'1. All Data'!B10</f>
        <v>PB02</v>
      </c>
      <c r="B11" s="127" t="str">
        <f>'1. All Data'!C10</f>
        <v>Tackling the cost of living crisis</v>
      </c>
      <c r="C11" s="128" t="str">
        <f>'1. All Data'!D10</f>
        <v>Retain and enhance warm spaces and warm banks to provide continued support for residents who need help with energy bills</v>
      </c>
      <c r="D11" s="124" t="str">
        <f>'1. All Data'!H10</f>
        <v>On Track to be Achieved</v>
      </c>
      <c r="E11" s="96"/>
      <c r="F11" s="125">
        <f>'1. All Data'!M10</f>
        <v>0</v>
      </c>
      <c r="G11" s="97"/>
      <c r="H11" s="126">
        <f>'1. All Data'!R10</f>
        <v>0</v>
      </c>
      <c r="I11" s="97"/>
      <c r="J11" s="126">
        <f>'1. All Data'!V10</f>
        <v>0</v>
      </c>
    </row>
    <row r="12" spans="1:46" ht="99.75" customHeight="1">
      <c r="A12" s="95" t="str">
        <f>'1. All Data'!B11</f>
        <v>PB03</v>
      </c>
      <c r="B12" s="127" t="str">
        <f>'1. All Data'!C11</f>
        <v>Tackling the cost of living crisis</v>
      </c>
      <c r="C12" s="128" t="str">
        <f>'1. All Data'!D11</f>
        <v>Support the work of local groups around the borough by supplying relevant supplies to food banks when stock runs low</v>
      </c>
      <c r="D12" s="124" t="str">
        <f>'1. All Data'!H11</f>
        <v>On Track to be Achieved</v>
      </c>
      <c r="E12" s="97"/>
      <c r="F12" s="125">
        <f>'1. All Data'!M11</f>
        <v>0</v>
      </c>
      <c r="G12" s="97"/>
      <c r="H12" s="126">
        <f>'1. All Data'!R11</f>
        <v>0</v>
      </c>
      <c r="I12" s="104"/>
      <c r="J12" s="126">
        <f>'1. All Data'!V11</f>
        <v>0</v>
      </c>
    </row>
    <row r="13" spans="1:46" ht="99.75" customHeight="1">
      <c r="A13" s="95" t="str">
        <f>'1. All Data'!B12</f>
        <v>PB04</v>
      </c>
      <c r="B13" s="127" t="str">
        <f>'1. All Data'!C12</f>
        <v>Housing and Planning – improve homelessness prevention</v>
      </c>
      <c r="C13" s="128" t="str">
        <f>'1. All Data'!D12</f>
        <v>Review and consider improvements for night shelter facilities</v>
      </c>
      <c r="D13" s="124" t="str">
        <f>'1. All Data'!H12</f>
        <v>On Track to be Achieved</v>
      </c>
      <c r="E13" s="97"/>
      <c r="F13" s="125">
        <f>'1. All Data'!M12</f>
        <v>0</v>
      </c>
      <c r="G13" s="97"/>
      <c r="H13" s="126">
        <f>'1. All Data'!R12</f>
        <v>0</v>
      </c>
      <c r="I13" s="97"/>
      <c r="J13" s="126">
        <f>'1. All Data'!V12</f>
        <v>0</v>
      </c>
    </row>
    <row r="14" spans="1:46" ht="99.75" customHeight="1">
      <c r="A14" s="95" t="str">
        <f>'1. All Data'!B13</f>
        <v>PB05</v>
      </c>
      <c r="B14" s="127" t="str">
        <f>'1. All Data'!C13</f>
        <v>Building a Fairer and Greener Local Economy by creating municipal enterprise</v>
      </c>
      <c r="C14" s="128" t="str">
        <f>'1. All Data'!D13</f>
        <v>Produce options for a community wealth-building model to create a municipally (council and public) owned energy firm, suitable for a district authority</v>
      </c>
      <c r="D14" s="124" t="str">
        <f>'1. All Data'!H13</f>
        <v>Not Yet Due</v>
      </c>
      <c r="E14" s="97"/>
      <c r="F14" s="125">
        <f>'1. All Data'!M13</f>
        <v>0</v>
      </c>
      <c r="G14" s="97"/>
      <c r="H14" s="126">
        <f>'1. All Data'!R13</f>
        <v>0</v>
      </c>
      <c r="I14" s="97"/>
      <c r="J14" s="126">
        <f>'1. All Data'!V13</f>
        <v>0</v>
      </c>
    </row>
    <row r="15" spans="1:46" ht="99.75" customHeight="1">
      <c r="A15" s="95" t="str">
        <f>'1. All Data'!B15</f>
        <v>PB06b</v>
      </c>
      <c r="B15" s="127" t="str">
        <f>'1. All Data'!C15</f>
        <v>Building a Fairer Local Economy</v>
      </c>
      <c r="C15" s="128" t="str">
        <f>'1. All Data'!D15</f>
        <v>Incentivise existing providers to recruit new staff/apprentices</v>
      </c>
      <c r="D15" s="124" t="str">
        <f>'1. All Data'!H15</f>
        <v>Not Yet Due</v>
      </c>
      <c r="E15" s="97"/>
      <c r="F15" s="125">
        <f>'1. All Data'!M15</f>
        <v>0</v>
      </c>
      <c r="G15" s="97"/>
      <c r="H15" s="126">
        <f>'1. All Data'!R15</f>
        <v>0</v>
      </c>
      <c r="I15" s="97"/>
      <c r="J15" s="126">
        <f>'1. All Data'!V15</f>
        <v>0</v>
      </c>
    </row>
    <row r="16" spans="1:46" ht="99.75" customHeight="1">
      <c r="A16" s="95" t="str">
        <f>'1. All Data'!B16</f>
        <v>PB07</v>
      </c>
      <c r="B16" s="127" t="str">
        <f>'1. All Data'!C16</f>
        <v>Housing and Planning</v>
      </c>
      <c r="C16" s="128" t="str">
        <f>'1. All Data'!D16</f>
        <v>Review and consider improvements for making Section 106 funding process more open and transparent, via the ESBC website and Member Intranet; and consider policy changes to ESBC's s106 approach</v>
      </c>
      <c r="D16" s="124" t="str">
        <f>'1. All Data'!H16</f>
        <v>On Track to be Achieved</v>
      </c>
      <c r="E16" s="97"/>
      <c r="F16" s="125">
        <f>'1. All Data'!M16</f>
        <v>0</v>
      </c>
      <c r="G16" s="97"/>
      <c r="H16" s="126">
        <f>'1. All Data'!R16</f>
        <v>0</v>
      </c>
      <c r="I16" s="97"/>
      <c r="J16" s="126">
        <f>'1. All Data'!V16</f>
        <v>0</v>
      </c>
    </row>
    <row r="17" spans="1:10" ht="99.75" customHeight="1">
      <c r="A17" s="95" t="str">
        <f>'1. All Data'!B17</f>
        <v>PB08</v>
      </c>
      <c r="B17" s="127" t="str">
        <f>'1. All Data'!C17</f>
        <v>Standing up for communities</v>
      </c>
      <c r="C17" s="128" t="str">
        <f>'1. All Data'!D17</f>
        <v>Reshape the UK shared prosperity funding to focus more strongly on community needs</v>
      </c>
      <c r="D17" s="124" t="str">
        <f>'1. All Data'!H17</f>
        <v>On Track to be Achieved</v>
      </c>
      <c r="E17" s="97"/>
      <c r="F17" s="125">
        <f>'1. All Data'!M17</f>
        <v>0</v>
      </c>
      <c r="G17" s="97"/>
      <c r="H17" s="126">
        <f>'1. All Data'!R17</f>
        <v>0</v>
      </c>
      <c r="I17" s="97"/>
      <c r="J17" s="126">
        <f>'1. All Data'!V17</f>
        <v>0</v>
      </c>
    </row>
    <row r="18" spans="1:10" ht="99.75" customHeight="1">
      <c r="A18" s="95" t="str">
        <f>'1. All Data'!B18</f>
        <v>PB09</v>
      </c>
      <c r="B18" s="127" t="str">
        <f>'1. All Data'!C18</f>
        <v>Standing up for communities</v>
      </c>
      <c r="C18" s="128" t="str">
        <f>'1. All Data'!D18</f>
        <v>Approve the detail of UKSPF funding programmes</v>
      </c>
      <c r="D18" s="124" t="str">
        <f>'1. All Data'!H18</f>
        <v>Not Yet Due</v>
      </c>
      <c r="E18" s="97"/>
      <c r="F18" s="125">
        <f>'1. All Data'!M18</f>
        <v>0</v>
      </c>
      <c r="G18" s="97"/>
      <c r="H18" s="126">
        <f>'1. All Data'!R18</f>
        <v>0</v>
      </c>
      <c r="I18" s="97"/>
      <c r="J18" s="126">
        <f>'1. All Data'!V18</f>
        <v>0</v>
      </c>
    </row>
    <row r="19" spans="1:10" ht="99.75" customHeight="1">
      <c r="A19" s="95" t="str">
        <f>'1. All Data'!B19</f>
        <v>PB10</v>
      </c>
      <c r="B19" s="127" t="str">
        <f>'1. All Data'!C19</f>
        <v>Building a Fairer Local Economy</v>
      </c>
      <c r="C19" s="128" t="str">
        <f>'1. All Data'!D19</f>
        <v>Work with partners to create a fair employment charter</v>
      </c>
      <c r="D19" s="124" t="str">
        <f>'1. All Data'!H19</f>
        <v>Not Yet Due</v>
      </c>
      <c r="E19" s="96"/>
      <c r="F19" s="125">
        <f>'1. All Data'!M19</f>
        <v>0</v>
      </c>
      <c r="G19" s="97"/>
      <c r="H19" s="126">
        <f>'1. All Data'!R19</f>
        <v>0</v>
      </c>
      <c r="I19" s="97"/>
      <c r="J19" s="126">
        <f>'1. All Data'!V19</f>
        <v>0</v>
      </c>
    </row>
    <row r="20" spans="1:10" ht="99.75" customHeight="1">
      <c r="A20" s="95" t="str">
        <f>'1. All Data'!B20</f>
        <v>GD01</v>
      </c>
      <c r="B20" s="127" t="str">
        <f>'1. All Data'!C20</f>
        <v>Tackling the cost of living crisis</v>
      </c>
      <c r="C20" s="128" t="str">
        <f>'1. All Data'!D20</f>
        <v>Identify 150 properties with an EPC of D or below where the occupant is on Council tax reduction to offer a range of energy efficiency measures, including insulation, to reduce fuel poverty</v>
      </c>
      <c r="D20" s="124" t="str">
        <f>'1. All Data'!H20</f>
        <v>On Track to be Achieved</v>
      </c>
      <c r="E20" s="96"/>
      <c r="F20" s="125">
        <f>'1. All Data'!M20</f>
        <v>0</v>
      </c>
      <c r="G20" s="97"/>
      <c r="H20" s="126">
        <f>'1. All Data'!R20</f>
        <v>0</v>
      </c>
      <c r="I20" s="97"/>
      <c r="J20" s="126">
        <f>'1. All Data'!V20</f>
        <v>0</v>
      </c>
    </row>
    <row r="21" spans="1:10" ht="99.75" customHeight="1">
      <c r="A21" s="95" t="str">
        <f>'1. All Data'!B21</f>
        <v>GD02</v>
      </c>
      <c r="B21" s="127" t="str">
        <f>'1. All Data'!C21</f>
        <v>Tackling Envirocrime</v>
      </c>
      <c r="C21" s="128" t="str">
        <f>'1. All Data'!D21</f>
        <v>Increase levels of action taken against anti-social behaviour by reviewing the performance of mobile CCTV provision and seeking to achieve a 20% increase in the number of deployments (from 22)</v>
      </c>
      <c r="D21" s="124" t="str">
        <f>'1. All Data'!H21</f>
        <v>On Track to be Achieved</v>
      </c>
      <c r="E21" s="97"/>
      <c r="F21" s="125">
        <f>'1. All Data'!M21</f>
        <v>0</v>
      </c>
      <c r="G21" s="97"/>
      <c r="H21" s="126">
        <f>'1. All Data'!R21</f>
        <v>0</v>
      </c>
      <c r="I21" s="97"/>
      <c r="J21" s="126">
        <f>'1. All Data'!V21</f>
        <v>0</v>
      </c>
    </row>
    <row r="22" spans="1:10" ht="99.75" customHeight="1">
      <c r="A22" s="95" t="str">
        <f>'1. All Data'!B22</f>
        <v>GD03</v>
      </c>
      <c r="B22" s="127" t="str">
        <f>'1. All Data'!C22</f>
        <v>Tackling Envirocrime</v>
      </c>
      <c r="C22" s="128" t="str">
        <f>'1. All Data'!D22</f>
        <v>Increase levels of action taken against anti-social behaviour through undertaking 4 initiatives to address fly tipping under the 'Tackle the Tippers' campaign</v>
      </c>
      <c r="D22" s="124" t="str">
        <f>'1. All Data'!H22</f>
        <v>On Track to be Achieved</v>
      </c>
      <c r="E22" s="97"/>
      <c r="F22" s="125">
        <f>'1. All Data'!M22</f>
        <v>0</v>
      </c>
      <c r="G22" s="97"/>
      <c r="H22" s="126">
        <f>'1. All Data'!R22</f>
        <v>0</v>
      </c>
      <c r="I22" s="97"/>
      <c r="J22" s="126">
        <f>'1. All Data'!V22</f>
        <v>0</v>
      </c>
    </row>
    <row r="23" spans="1:10" ht="99.75" customHeight="1">
      <c r="A23" s="95" t="str">
        <f>'1. All Data'!B23</f>
        <v>GD04</v>
      </c>
      <c r="B23" s="127" t="str">
        <f>'1. All Data'!C23</f>
        <v>A Green New Deal for East Staffordshire</v>
      </c>
      <c r="C23" s="128" t="str">
        <f>'1. All Data'!D23</f>
        <v>Promote new green technologies in the borough</v>
      </c>
      <c r="D23" s="124" t="str">
        <f>'1. All Data'!H23</f>
        <v>On Track to be Achieved</v>
      </c>
      <c r="E23" s="97"/>
      <c r="F23" s="125">
        <f>'1. All Data'!M23</f>
        <v>0</v>
      </c>
      <c r="G23" s="97"/>
      <c r="H23" s="126">
        <f>'1. All Data'!R23</f>
        <v>0</v>
      </c>
      <c r="I23" s="97"/>
      <c r="J23" s="126">
        <f>'1. All Data'!V23</f>
        <v>0</v>
      </c>
    </row>
    <row r="24" spans="1:10" ht="99.75" customHeight="1">
      <c r="A24" s="95" t="str">
        <f>'1. All Data'!B24</f>
        <v>GD05</v>
      </c>
      <c r="B24" s="127" t="str">
        <f>'1. All Data'!C24</f>
        <v>A Green New Deal for East Staffordshire</v>
      </c>
      <c r="C24" s="128" t="str">
        <f>'1. All Data'!D24</f>
        <v xml:space="preserve">Promote increased use of public transport  </v>
      </c>
      <c r="D24" s="124" t="str">
        <f>'1. All Data'!H24</f>
        <v>On Track to be Achieved</v>
      </c>
      <c r="E24" s="97"/>
      <c r="F24" s="125">
        <f>'1. All Data'!M24</f>
        <v>0</v>
      </c>
      <c r="G24" s="97"/>
      <c r="H24" s="126">
        <f>'1. All Data'!R24</f>
        <v>0</v>
      </c>
      <c r="I24" s="97"/>
      <c r="J24" s="126">
        <f>'1. All Data'!V24</f>
        <v>0</v>
      </c>
    </row>
    <row r="25" spans="1:10" ht="99.75" customHeight="1">
      <c r="A25" s="95" t="str">
        <f>'1. All Data'!B25</f>
        <v>GD06</v>
      </c>
      <c r="B25" s="127" t="str">
        <f>'1. All Data'!C25</f>
        <v>A Green New Deal for East Staffordshire</v>
      </c>
      <c r="C25" s="128" t="str">
        <f>'1. All Data'!D25</f>
        <v>Work with local cycle firms to provide affordable bike rental for visitors and residents</v>
      </c>
      <c r="D25" s="124" t="str">
        <f>'1. All Data'!H25</f>
        <v>Not Yet Due</v>
      </c>
      <c r="E25" s="97"/>
      <c r="F25" s="125">
        <f>'1. All Data'!M25</f>
        <v>0</v>
      </c>
      <c r="G25" s="97"/>
      <c r="H25" s="126">
        <f>'1. All Data'!R25</f>
        <v>0</v>
      </c>
      <c r="I25" s="97"/>
      <c r="J25" s="126">
        <f>'1. All Data'!V25</f>
        <v>0</v>
      </c>
    </row>
    <row r="26" spans="1:10" ht="99.75" customHeight="1">
      <c r="A26" s="95" t="str">
        <f>'1. All Data'!B26</f>
        <v>GD07</v>
      </c>
      <c r="B26" s="127" t="str">
        <f>'1. All Data'!C26</f>
        <v>A Green New Deal for East Staffordshire</v>
      </c>
      <c r="C26" s="128" t="str">
        <f>'1. All Data'!D26</f>
        <v>Work with partners to introduce the Passivhaus housing development standard (which will keep heat loss in new homes to a minimum)</v>
      </c>
      <c r="D26" s="124" t="str">
        <f>'1. All Data'!H26</f>
        <v>Not Yet Due</v>
      </c>
      <c r="E26" s="97"/>
      <c r="F26" s="125">
        <f>'1. All Data'!M26</f>
        <v>0</v>
      </c>
      <c r="G26" s="104"/>
      <c r="H26" s="126">
        <f>'1. All Data'!R26</f>
        <v>0</v>
      </c>
      <c r="I26" s="97"/>
      <c r="J26" s="126">
        <f>'1. All Data'!V26</f>
        <v>0</v>
      </c>
    </row>
    <row r="27" spans="1:10" ht="99.75" customHeight="1">
      <c r="A27" s="95" t="str">
        <f>'1. All Data'!B27</f>
        <v>GD08</v>
      </c>
      <c r="B27" s="127" t="str">
        <f>'1. All Data'!C27</f>
        <v>A Green New Deal for East Staffordshire</v>
      </c>
      <c r="C27" s="128" t="str">
        <f>'1. All Data'!D27</f>
        <v>Find opportunities to use vertical and rooftop spaces to plant new gardens</v>
      </c>
      <c r="D27" s="124" t="str">
        <f>'1. All Data'!H27</f>
        <v>Not Yet Due</v>
      </c>
      <c r="E27" s="97"/>
      <c r="F27" s="125">
        <f>'1. All Data'!M27</f>
        <v>0</v>
      </c>
      <c r="G27" s="97"/>
      <c r="H27" s="126">
        <f>'1. All Data'!R27</f>
        <v>0</v>
      </c>
      <c r="I27" s="97"/>
      <c r="J27" s="126">
        <f>'1. All Data'!V27</f>
        <v>0</v>
      </c>
    </row>
    <row r="28" spans="1:10" ht="99.75" customHeight="1">
      <c r="A28" s="95" t="str">
        <f>'1. All Data'!B28</f>
        <v>GD09</v>
      </c>
      <c r="B28" s="127" t="str">
        <f>'1. All Data'!C28</f>
        <v>A Green New Deal for East Staffordshire</v>
      </c>
      <c r="C28" s="128" t="str">
        <f>'1. All Data'!D28</f>
        <v>Find opportunities and create a network of community orchards and wildlife corridors</v>
      </c>
      <c r="D28" s="124" t="str">
        <f>'1. All Data'!H28</f>
        <v>Not Yet Due</v>
      </c>
      <c r="E28" s="96"/>
      <c r="F28" s="125">
        <f>'1. All Data'!M28</f>
        <v>0</v>
      </c>
      <c r="G28" s="97"/>
      <c r="H28" s="126">
        <f>'1. All Data'!R28</f>
        <v>0</v>
      </c>
      <c r="I28" s="97"/>
      <c r="J28" s="126">
        <f>'1. All Data'!V28</f>
        <v>0</v>
      </c>
    </row>
    <row r="29" spans="1:10" ht="99.75" customHeight="1">
      <c r="A29" s="95" t="str">
        <f>'1. All Data'!B29</f>
        <v>GD10</v>
      </c>
      <c r="B29" s="127" t="str">
        <f>'1. All Data'!C29</f>
        <v>Tackling Envirocrime</v>
      </c>
      <c r="C29" s="128" t="str">
        <f>'1. All Data'!D29</f>
        <v>Introduce mobile fly-tipping removal vehicle</v>
      </c>
      <c r="D29" s="124" t="str">
        <f>'1. All Data'!H29</f>
        <v>On Track to be Achieved</v>
      </c>
      <c r="E29" s="97"/>
      <c r="F29" s="125">
        <f>'1. All Data'!M29</f>
        <v>0</v>
      </c>
      <c r="G29" s="105"/>
      <c r="H29" s="126">
        <f>'1. All Data'!R29</f>
        <v>0</v>
      </c>
      <c r="I29" s="97"/>
      <c r="J29" s="126">
        <f>'1. All Data'!V29</f>
        <v>0</v>
      </c>
    </row>
    <row r="30" spans="1:10" ht="99.75" customHeight="1">
      <c r="A30" s="95" t="str">
        <f>'1. All Data'!B30</f>
        <v>GD11</v>
      </c>
      <c r="B30" s="127" t="str">
        <f>'1. All Data'!C30</f>
        <v>Tackling Envirocrime</v>
      </c>
      <c r="C30" s="128" t="str">
        <f>'1. All Data'!D30</f>
        <v>Ensure fly-tipping is removed as quickly as possible (within 5 days of receipt of notice from CCE team) and disposed of in an environmentally friendly way</v>
      </c>
      <c r="D30" s="124" t="str">
        <f>'1. All Data'!H30</f>
        <v>In Danger of Falling Behind Target</v>
      </c>
      <c r="E30" s="97"/>
      <c r="F30" s="125">
        <f>'1. All Data'!M30</f>
        <v>0</v>
      </c>
      <c r="G30" s="97"/>
      <c r="H30" s="126">
        <f>'1. All Data'!R30</f>
        <v>0</v>
      </c>
      <c r="I30" s="97"/>
      <c r="J30" s="126">
        <f>'1. All Data'!V30</f>
        <v>0</v>
      </c>
    </row>
    <row r="31" spans="1:10" ht="99.75" customHeight="1">
      <c r="A31" s="95" t="str">
        <f>'1. All Data'!B31</f>
        <v>PH01</v>
      </c>
      <c r="B31" s="127" t="str">
        <f>'1. All Data'!C31</f>
        <v>Protecting our Heritage</v>
      </c>
      <c r="C31" s="128" t="str">
        <f>'1. All Data'!D31</f>
        <v>Consider creating a model of co-operative ownership of Burton Market Hall, with six monthly reporting</v>
      </c>
      <c r="D31" s="124" t="str">
        <f>'1. All Data'!H31</f>
        <v>Not Yet Due</v>
      </c>
      <c r="E31" s="97"/>
      <c r="F31" s="125">
        <f>'1. All Data'!M31</f>
        <v>0</v>
      </c>
      <c r="G31" s="97"/>
      <c r="H31" s="126">
        <f>'1. All Data'!R31</f>
        <v>0</v>
      </c>
      <c r="I31" s="97"/>
      <c r="J31" s="126">
        <f>'1. All Data'!V31</f>
        <v>0</v>
      </c>
    </row>
    <row r="32" spans="1:10" ht="99.75" customHeight="1">
      <c r="A32" s="95" t="str">
        <f>'1. All Data'!B32</f>
        <v>PH02</v>
      </c>
      <c r="B32" s="127" t="str">
        <f>'1. All Data'!C32</f>
        <v>Protecting our Heritage</v>
      </c>
      <c r="C32" s="128" t="str">
        <f>'1. All Data'!D32</f>
        <v>With the National Brewery Trust, create a timeline and plan to ensure historical archives from the closed NBC are re-housed in the future development</v>
      </c>
      <c r="D32" s="124" t="str">
        <f>'1. All Data'!H32</f>
        <v>On Track to be Achieved</v>
      </c>
      <c r="E32" s="96"/>
      <c r="F32" s="125">
        <f>'1. All Data'!M32</f>
        <v>0</v>
      </c>
      <c r="G32" s="97"/>
      <c r="H32" s="126">
        <f>'1. All Data'!R32</f>
        <v>0</v>
      </c>
      <c r="I32" s="97"/>
      <c r="J32" s="126">
        <f>'1. All Data'!V32</f>
        <v>0</v>
      </c>
    </row>
    <row r="33" spans="1:10" ht="99.75" customHeight="1">
      <c r="A33" s="95" t="str">
        <f>'1. All Data'!B33</f>
        <v>PH03</v>
      </c>
      <c r="B33" s="127" t="str">
        <f>'1. All Data'!C33</f>
        <v>Protecting our Heritage</v>
      </c>
      <c r="C33" s="128" t="str">
        <f>'1. All Data'!D33</f>
        <v>With the National Brewery Trust, contact owners of all former NBC artefacts to discuss their return to the future development</v>
      </c>
      <c r="D33" s="124" t="str">
        <f>'1. All Data'!H33</f>
        <v>On Track to be Achieved</v>
      </c>
      <c r="E33" s="97"/>
      <c r="F33" s="125">
        <f>'1. All Data'!M33</f>
        <v>0</v>
      </c>
      <c r="G33" s="97"/>
      <c r="H33" s="126">
        <f>'1. All Data'!R33</f>
        <v>0</v>
      </c>
      <c r="I33" s="97"/>
      <c r="J33" s="126">
        <f>'1. All Data'!V33</f>
        <v>0</v>
      </c>
    </row>
    <row r="34" spans="1:10" ht="99.75" customHeight="1">
      <c r="A34" s="95" t="str">
        <f>'1. All Data'!B34</f>
        <v>PH04</v>
      </c>
      <c r="B34" s="127" t="str">
        <f>'1. All Data'!C34</f>
        <v>Protecting our Heritage</v>
      </c>
      <c r="C34" s="128" t="str">
        <f>'1. All Data'!D34</f>
        <v>With the Towns Fund Board, review and adapt High Street linkages project as appropriate</v>
      </c>
      <c r="D34" s="124" t="str">
        <f>'1. All Data'!H34</f>
        <v>Not Yet Due</v>
      </c>
      <c r="E34" s="97"/>
      <c r="F34" s="125">
        <f>'1. All Data'!M34</f>
        <v>0</v>
      </c>
      <c r="G34" s="97"/>
      <c r="H34" s="126">
        <f>'1. All Data'!R34</f>
        <v>0</v>
      </c>
      <c r="I34" s="97"/>
      <c r="J34" s="126">
        <f>'1. All Data'!V34</f>
        <v>0</v>
      </c>
    </row>
    <row r="35" spans="1:10" ht="99.75" customHeight="1">
      <c r="A35" s="95" t="str">
        <f>'1. All Data'!B35</f>
        <v>PH05</v>
      </c>
      <c r="B35" s="127" t="str">
        <f>'1. All Data'!C35</f>
        <v>Protecting our Heritage</v>
      </c>
      <c r="C35" s="128" t="str">
        <f>'1. All Data'!D35</f>
        <v>Upgrade the Market Hall working group to a scrutiny committee</v>
      </c>
      <c r="D35" s="124" t="str">
        <f>'1. All Data'!H35</f>
        <v>Fully Achieved</v>
      </c>
      <c r="E35" s="96"/>
      <c r="F35" s="125">
        <f>'1. All Data'!M35</f>
        <v>0</v>
      </c>
      <c r="G35" s="97"/>
      <c r="H35" s="126">
        <f>'1. All Data'!R35</f>
        <v>0</v>
      </c>
      <c r="I35" s="97"/>
      <c r="J35" s="126">
        <f>'1. All Data'!V35</f>
        <v>0</v>
      </c>
    </row>
    <row r="36" spans="1:10" ht="99.75" customHeight="1">
      <c r="A36" s="95" t="str">
        <f>'1. All Data'!B36</f>
        <v>SC01</v>
      </c>
      <c r="B36" s="127" t="str">
        <f>'1. All Data'!C36</f>
        <v>Ensuring the right to food</v>
      </c>
      <c r="C36" s="128" t="str">
        <f>'1. All Data'!D36</f>
        <v>Work with partners to campaign for universal school meals by adopting and publicising a council motion</v>
      </c>
      <c r="D36" s="124" t="str">
        <f>'1. All Data'!H36</f>
        <v>Not Yet Due</v>
      </c>
      <c r="E36" s="97"/>
      <c r="F36" s="125">
        <f>'1. All Data'!M36</f>
        <v>0</v>
      </c>
      <c r="G36" s="97"/>
      <c r="H36" s="126">
        <f>'1. All Data'!R36</f>
        <v>0</v>
      </c>
      <c r="I36" s="97"/>
      <c r="J36" s="126">
        <f>'1. All Data'!V36</f>
        <v>0</v>
      </c>
    </row>
    <row r="37" spans="1:10" ht="99.75" customHeight="1">
      <c r="A37" s="95" t="str">
        <f>'1. All Data'!B37</f>
        <v>SC02</v>
      </c>
      <c r="B37" s="127" t="str">
        <f>'1. All Data'!C37</f>
        <v>Ensuring the right to food</v>
      </c>
      <c r="C37" s="128" t="str">
        <f>'1. All Data'!D37</f>
        <v>Introduce community kitchens in existing council facilities</v>
      </c>
      <c r="D37" s="124" t="str">
        <f>'1. All Data'!H37</f>
        <v>Not Yet Due</v>
      </c>
      <c r="E37" s="96"/>
      <c r="F37" s="125">
        <f>'1. All Data'!M37</f>
        <v>0</v>
      </c>
      <c r="G37" s="97"/>
      <c r="H37" s="126">
        <f>'1. All Data'!R37</f>
        <v>0</v>
      </c>
      <c r="I37" s="97"/>
      <c r="J37" s="126">
        <f>'1. All Data'!V37</f>
        <v>0</v>
      </c>
    </row>
    <row r="38" spans="1:10" ht="99.75" customHeight="1">
      <c r="A38" s="95" t="str">
        <f>'1. All Data'!B38</f>
        <v>SC03</v>
      </c>
      <c r="B38" s="127" t="str">
        <f>'1. All Data'!C38</f>
        <v>Ensuring the right to food</v>
      </c>
      <c r="C38" s="128" t="str">
        <f>'1. All Data'!D38</f>
        <v>Adopt and publicise the Right to Food motion at Full Council meeting</v>
      </c>
      <c r="D38" s="124" t="str">
        <f>'1. All Data'!H38</f>
        <v>On Track to be Achieved</v>
      </c>
      <c r="E38" s="97"/>
      <c r="F38" s="125">
        <f>'1. All Data'!M38</f>
        <v>0</v>
      </c>
      <c r="G38" s="105"/>
      <c r="H38" s="126">
        <f>'1. All Data'!R38</f>
        <v>0</v>
      </c>
      <c r="I38" s="97"/>
      <c r="J38" s="126">
        <f>'1. All Data'!V38</f>
        <v>0</v>
      </c>
    </row>
    <row r="39" spans="1:10" ht="99.75" customHeight="1">
      <c r="A39" s="95" t="str">
        <f>'1. All Data'!B39</f>
        <v>SC04</v>
      </c>
      <c r="B39" s="127" t="str">
        <f>'1. All Data'!C39</f>
        <v>Backing our Taxi Drivers</v>
      </c>
      <c r="C39" s="128" t="str">
        <f>'1. All Data'!D39</f>
        <v>Review Licensing policy with the trade and ensure drivers are supported in the transition to Euro 6 emission standards</v>
      </c>
      <c r="D39" s="124" t="str">
        <f>'1. All Data'!H39</f>
        <v>On Track to be Achieved</v>
      </c>
      <c r="E39" s="96"/>
      <c r="F39" s="125">
        <f>'1. All Data'!M39</f>
        <v>0</v>
      </c>
      <c r="G39" s="105"/>
      <c r="H39" s="126">
        <f>'1. All Data'!R39</f>
        <v>0</v>
      </c>
      <c r="I39" s="97"/>
      <c r="J39" s="126">
        <f>'1. All Data'!V39</f>
        <v>0</v>
      </c>
    </row>
    <row r="40" spans="1:10" ht="99.75" customHeight="1">
      <c r="A40" s="95" t="str">
        <f>'1. All Data'!B40</f>
        <v>SC05</v>
      </c>
      <c r="B40" s="127" t="str">
        <f>'1. All Data'!C40</f>
        <v>Standing up for our NHS</v>
      </c>
      <c r="C40" s="128" t="str">
        <f>'1. All Data'!D40</f>
        <v>Create a sole focus for health scrutiny in a single scrutiny committee</v>
      </c>
      <c r="D40" s="124" t="str">
        <f>'1. All Data'!H40</f>
        <v>Fully Achieved</v>
      </c>
      <c r="E40" s="97"/>
      <c r="F40" s="125">
        <f>'1. All Data'!M40</f>
        <v>0</v>
      </c>
      <c r="G40" s="97"/>
      <c r="H40" s="126">
        <f>'1. All Data'!R40</f>
        <v>0</v>
      </c>
      <c r="I40" s="97"/>
      <c r="J40" s="126">
        <f>'1. All Data'!V40</f>
        <v>0</v>
      </c>
    </row>
    <row r="41" spans="1:10" ht="99.75" customHeight="1">
      <c r="A41" s="95" t="str">
        <f>'1. All Data'!B41</f>
        <v>CRS01</v>
      </c>
      <c r="B41" s="127" t="str">
        <f>'1. All Data'!C41</f>
        <v>Licensing and Enforcement Activities-CCTV</v>
      </c>
      <c r="C41" s="128" t="str">
        <f>'1. All Data'!D41</f>
        <v>Complete roll out/ installation of fixed CCTV cameras</v>
      </c>
      <c r="D41" s="124" t="str">
        <f>'1. All Data'!H41</f>
        <v>In Danger of Falling Behind Target</v>
      </c>
      <c r="E41" s="97"/>
      <c r="F41" s="125">
        <f>'1. All Data'!M41</f>
        <v>0</v>
      </c>
      <c r="G41" s="97"/>
      <c r="H41" s="126">
        <f>'1. All Data'!R41</f>
        <v>0</v>
      </c>
      <c r="I41" s="97"/>
      <c r="J41" s="126">
        <f>'1. All Data'!V41</f>
        <v>0</v>
      </c>
    </row>
    <row r="42" spans="1:10" ht="99.75" customHeight="1">
      <c r="A42" s="95" t="str">
        <f>'1. All Data'!B42</f>
        <v>CRS02</v>
      </c>
      <c r="B42" s="127" t="str">
        <f>'1. All Data'!C42</f>
        <v>Improving Air Quality</v>
      </c>
      <c r="C42" s="128" t="str">
        <f>'1. All Data'!D42</f>
        <v>Review and update the air quality strategy and action plan</v>
      </c>
      <c r="D42" s="124" t="str">
        <f>'1. All Data'!H42</f>
        <v>Not Yet Due</v>
      </c>
      <c r="E42" s="96"/>
      <c r="F42" s="125">
        <f>'1. All Data'!M42</f>
        <v>0</v>
      </c>
      <c r="G42" s="105"/>
      <c r="H42" s="126">
        <f>'1. All Data'!R42</f>
        <v>0</v>
      </c>
      <c r="I42" s="105"/>
      <c r="J42" s="126">
        <f>'1. All Data'!V42</f>
        <v>0</v>
      </c>
    </row>
    <row r="43" spans="1:10" ht="99.75" customHeight="1">
      <c r="A43" s="95" t="str">
        <f>'1. All Data'!B43</f>
        <v>CRS03</v>
      </c>
      <c r="B43" s="127" t="str">
        <f>'1. All Data'!C43</f>
        <v>Supporting local communities</v>
      </c>
      <c r="C43" s="128" t="str">
        <f>'1. All Data'!D43</f>
        <v>Commence a Community Lottery providing funding opportunities for the local community and voluntary sector</v>
      </c>
      <c r="D43" s="124" t="str">
        <f>'1. All Data'!H43</f>
        <v>Fully Achieved</v>
      </c>
      <c r="E43" s="96"/>
      <c r="F43" s="125">
        <f>'1. All Data'!M43</f>
        <v>0</v>
      </c>
      <c r="G43" s="97"/>
      <c r="H43" s="126">
        <f>'1. All Data'!R43</f>
        <v>0</v>
      </c>
      <c r="I43" s="97"/>
      <c r="J43" s="126">
        <f>'1. All Data'!V43</f>
        <v>0</v>
      </c>
    </row>
    <row r="44" spans="1:10" ht="99.75" customHeight="1">
      <c r="A44" s="95" t="str">
        <f>'1. All Data'!B44</f>
        <v>CRS04</v>
      </c>
      <c r="B44" s="127" t="str">
        <f>'1. All Data'!C44</f>
        <v>Supporting local communities</v>
      </c>
      <c r="C44" s="128" t="str">
        <f>'1. All Data'!D44</f>
        <v>Deliver a community grant scheme to help enhance local areas</v>
      </c>
      <c r="D44" s="124" t="str">
        <f>'1. All Data'!H44</f>
        <v>On Track to be Achieved</v>
      </c>
      <c r="E44" s="96"/>
      <c r="F44" s="125">
        <f>'1. All Data'!M44</f>
        <v>0</v>
      </c>
      <c r="G44" s="97"/>
      <c r="H44" s="126">
        <f>'1. All Data'!R44</f>
        <v>0</v>
      </c>
      <c r="I44" s="97"/>
      <c r="J44" s="126">
        <f>'1. All Data'!V44</f>
        <v>0</v>
      </c>
    </row>
    <row r="45" spans="1:10" ht="99.75" customHeight="1">
      <c r="A45" s="95" t="str">
        <f>'1. All Data'!B45</f>
        <v>CRS05</v>
      </c>
      <c r="B45" s="127" t="str">
        <f>'1. All Data'!C45</f>
        <v>Supporting local communities</v>
      </c>
      <c r="C45" s="128" t="str">
        <f>'1. All Data'!D45</f>
        <v>Relaunch the Councillors Community Fund</v>
      </c>
      <c r="D45" s="124" t="str">
        <f>'1. All Data'!H45</f>
        <v>Fully Achieved</v>
      </c>
      <c r="E45" s="97"/>
      <c r="F45" s="125">
        <f>'1. All Data'!M45</f>
        <v>0</v>
      </c>
      <c r="G45" s="97"/>
      <c r="H45" s="126">
        <f>'1. All Data'!R45</f>
        <v>0</v>
      </c>
      <c r="I45" s="97"/>
      <c r="J45" s="126">
        <f>'1. All Data'!V45</f>
        <v>0</v>
      </c>
    </row>
    <row r="46" spans="1:10" ht="99.75" customHeight="1">
      <c r="A46" s="95" t="str">
        <f>'1. All Data'!B47</f>
        <v>CRS07</v>
      </c>
      <c r="B46" s="127" t="str">
        <f>'1. All Data'!C47</f>
        <v>Delivering Better Services to Support Homelessness</v>
      </c>
      <c r="C46" s="128" t="str">
        <f>'1. All Data'!D47</f>
        <v>Approve Refreshed Homelessness Strategy</v>
      </c>
      <c r="D46" s="124" t="str">
        <f>'1. All Data'!H47</f>
        <v>On Track to be Achieved</v>
      </c>
      <c r="E46" s="97"/>
      <c r="F46" s="125">
        <f>'1. All Data'!M47</f>
        <v>0</v>
      </c>
      <c r="G46" s="97"/>
      <c r="H46" s="126">
        <f>'1. All Data'!R47</f>
        <v>0</v>
      </c>
      <c r="I46" s="97"/>
      <c r="J46" s="126">
        <f>'1. All Data'!V47</f>
        <v>0</v>
      </c>
    </row>
    <row r="47" spans="1:10" ht="99.75" customHeight="1">
      <c r="A47" s="95" t="str">
        <f>'1. All Data'!B48</f>
        <v>CRS08</v>
      </c>
      <c r="B47" s="127" t="str">
        <f>'1. All Data'!C48</f>
        <v>Housing Strategy Initiatives: 
Update on Improvements to the Housing Register</v>
      </c>
      <c r="C47" s="128" t="str">
        <f>'1. All Data'!D48</f>
        <v>Produce an update report and next steps for revised Housing Register and Allocations Service Contract</v>
      </c>
      <c r="D47" s="124" t="str">
        <f>'1. All Data'!H48</f>
        <v>On Track to be Achieved</v>
      </c>
      <c r="E47" s="97"/>
      <c r="F47" s="125">
        <f>'1. All Data'!M48</f>
        <v>0</v>
      </c>
      <c r="G47" s="97"/>
      <c r="H47" s="126">
        <f>'1. All Data'!R48</f>
        <v>0</v>
      </c>
      <c r="I47" s="97"/>
      <c r="J47" s="126">
        <f>'1. All Data'!V48</f>
        <v>0</v>
      </c>
    </row>
    <row r="48" spans="1:10" ht="99.75" customHeight="1">
      <c r="A48" s="95" t="str">
        <f>'1. All Data'!B49</f>
        <v>CRS09</v>
      </c>
      <c r="B48" s="127" t="str">
        <f>'1. All Data'!C49</f>
        <v>Housing Strategy Initiatives: 
Update on Improvements to the Housing Register</v>
      </c>
      <c r="C48" s="128" t="str">
        <f>'1. All Data'!D49</f>
        <v>Performance report identifying the reduction in empty homes</v>
      </c>
      <c r="D48" s="124" t="str">
        <f>'1. All Data'!H49</f>
        <v>Not Yet Due</v>
      </c>
      <c r="E48" s="97"/>
      <c r="F48" s="125">
        <f>'1. All Data'!M49</f>
        <v>0</v>
      </c>
      <c r="G48" s="97"/>
      <c r="H48" s="126">
        <f>'1. All Data'!R49</f>
        <v>0</v>
      </c>
      <c r="I48" s="97"/>
      <c r="J48" s="126">
        <f>'1. All Data'!V49</f>
        <v>0</v>
      </c>
    </row>
    <row r="49" spans="1:47" ht="99.75" customHeight="1">
      <c r="A49" s="95" t="str">
        <f>'1. All Data'!B50</f>
        <v>CRS10</v>
      </c>
      <c r="B49" s="127" t="str">
        <f>'1. All Data'!C50</f>
        <v>Delivering Better Services to Support Homelessness</v>
      </c>
      <c r="C49" s="128" t="str">
        <f>'1. All Data'!D50</f>
        <v>Average time from appointment to initial decision for homeless applicants of 3 days</v>
      </c>
      <c r="D49" s="124" t="str">
        <f>'1. All Data'!H50</f>
        <v>On Track to be Achieved</v>
      </c>
      <c r="E49" s="97"/>
      <c r="F49" s="125">
        <f>'1. All Data'!M50</f>
        <v>0</v>
      </c>
      <c r="G49" s="97"/>
      <c r="H49" s="126">
        <f>'1. All Data'!R50</f>
        <v>0</v>
      </c>
      <c r="I49" s="97"/>
      <c r="J49" s="126">
        <f>'1. All Data'!V50</f>
        <v>0</v>
      </c>
    </row>
    <row r="50" spans="1:47" ht="99.75" customHeight="1">
      <c r="A50" s="95" t="str">
        <f>'1. All Data'!B51</f>
        <v>CRS11</v>
      </c>
      <c r="B50" s="127" t="str">
        <f>'1. All Data'!C51</f>
        <v>Delivering Better Services to Support Homelessness</v>
      </c>
      <c r="C50" s="128" t="str">
        <f>'1. All Data'!D51</f>
        <v>Maintain ‘Key to Key’ Void Turnaround to an average of 6 working days</v>
      </c>
      <c r="D50" s="124" t="str">
        <f>'1. All Data'!H51</f>
        <v>On Track to be Achieved</v>
      </c>
      <c r="E50" s="97"/>
      <c r="F50" s="125">
        <f>'1. All Data'!M51</f>
        <v>0</v>
      </c>
      <c r="G50" s="105"/>
      <c r="H50" s="126">
        <f>'1. All Data'!R51</f>
        <v>0</v>
      </c>
      <c r="I50" s="105"/>
      <c r="J50" s="126">
        <f>'1. All Data'!V51</f>
        <v>0</v>
      </c>
    </row>
    <row r="51" spans="1:47" ht="99.75" customHeight="1">
      <c r="A51" s="95" t="str">
        <f>'1. All Data'!B52</f>
        <v>CRS12</v>
      </c>
      <c r="B51" s="127" t="str">
        <f>'1. All Data'!C52</f>
        <v>Disabled Facilities Grants</v>
      </c>
      <c r="C51" s="128" t="str">
        <f>'1. All Data'!D52</f>
        <v>Improve service delivery timescales from ‘enquiry to completion’ by 10% on 22/23 performance</v>
      </c>
      <c r="D51" s="124" t="str">
        <f>'1. All Data'!H52</f>
        <v>Not Yet Due</v>
      </c>
      <c r="E51" s="96"/>
      <c r="F51" s="125">
        <f>'1. All Data'!M52</f>
        <v>0</v>
      </c>
      <c r="G51" s="97"/>
      <c r="H51" s="126">
        <f>'1. All Data'!R52</f>
        <v>0</v>
      </c>
      <c r="I51" s="97"/>
      <c r="J51" s="126">
        <f>'1. All Data'!V52</f>
        <v>0</v>
      </c>
    </row>
    <row r="52" spans="1:47" ht="99.75" customHeight="1">
      <c r="A52" s="95" t="str">
        <f>'1. All Data'!B53</f>
        <v>ECC01</v>
      </c>
      <c r="B52" s="127" t="str">
        <f>'1. All Data'!C53</f>
        <v>Climate Change Initiatives</v>
      </c>
      <c r="C52" s="128" t="str">
        <f>'1. All Data'!D53</f>
        <v>Deliver a third year review of the Council’s Climate Change and Biodiversity Action Plan including delivery against the plan</v>
      </c>
      <c r="D52" s="124" t="str">
        <f>'1. All Data'!H53</f>
        <v>On Track to be Achieved</v>
      </c>
      <c r="E52" s="96"/>
      <c r="F52" s="125">
        <f>'1. All Data'!M53</f>
        <v>0</v>
      </c>
      <c r="G52" s="97"/>
      <c r="H52" s="126">
        <f>'1. All Data'!R53</f>
        <v>0</v>
      </c>
      <c r="I52" s="97"/>
      <c r="J52" s="126">
        <f>'1. All Data'!V53</f>
        <v>0</v>
      </c>
    </row>
    <row r="53" spans="1:47" ht="99.75" customHeight="1">
      <c r="A53" s="95" t="str">
        <f>'1. All Data'!B56</f>
        <v>ECC04</v>
      </c>
      <c r="B53" s="127" t="str">
        <f>'1. All Data'!C56</f>
        <v>Climate Change Initiatives</v>
      </c>
      <c r="C53" s="128" t="str">
        <f>'1. All Data'!D56</f>
        <v>Work in partnership with external organisations to develop 4 Carbon Capture and Biodiversity areas across the Borough</v>
      </c>
      <c r="D53" s="124" t="str">
        <f>'1. All Data'!H56</f>
        <v>Not Yet Due</v>
      </c>
      <c r="E53" s="97"/>
      <c r="F53" s="125">
        <f>'1. All Data'!M56</f>
        <v>0</v>
      </c>
      <c r="G53" s="97"/>
      <c r="H53" s="126">
        <f>'1. All Data'!R56</f>
        <v>0</v>
      </c>
      <c r="I53" s="97"/>
      <c r="J53" s="126">
        <f>'1. All Data'!V56</f>
        <v>0</v>
      </c>
    </row>
    <row r="54" spans="1:47" ht="87.6">
      <c r="A54" s="95" t="str">
        <f>'1. All Data'!B57</f>
        <v>ECC05</v>
      </c>
      <c r="B54" s="127" t="str">
        <f>'1. All Data'!C57</f>
        <v>Climate Change Initiatives</v>
      </c>
      <c r="C54" s="128" t="str">
        <f>'1. All Data'!D57</f>
        <v>Investigate and identify the best locations for delivering EV off street charging points. Minimum of 4 to be identified</v>
      </c>
      <c r="D54" s="124" t="str">
        <f>'1. All Data'!H57</f>
        <v>On Track to be Achieved</v>
      </c>
      <c r="E54" s="96"/>
      <c r="F54" s="125">
        <f>'1. All Data'!M57</f>
        <v>0</v>
      </c>
      <c r="G54" s="105"/>
      <c r="H54" s="126">
        <f>'1. All Data'!R57</f>
        <v>0</v>
      </c>
      <c r="I54" s="97"/>
      <c r="J54" s="126">
        <f>'1. All Data'!V57</f>
        <v>0</v>
      </c>
    </row>
    <row r="55" spans="1:47" ht="99.75" customHeight="1">
      <c r="A55" s="95" t="str">
        <f>'1. All Data'!B58</f>
        <v>ECC06</v>
      </c>
      <c r="B55" s="127" t="str">
        <f>'1. All Data'!C58</f>
        <v>Climate Change Initiatives</v>
      </c>
      <c r="C55" s="128" t="str">
        <f>'1. All Data'!D58</f>
        <v>Deliver Borough wide entries for the ‘It’s Your Neighbourhood Park’ awards and maintain the results at 12 Gold Awards and 10 Silver Gilts</v>
      </c>
      <c r="D55" s="124" t="str">
        <f>'1. All Data'!H58</f>
        <v>Not Yet Due</v>
      </c>
      <c r="E55" s="97"/>
      <c r="F55" s="125">
        <f>'1. All Data'!M58</f>
        <v>0</v>
      </c>
      <c r="G55" s="97"/>
      <c r="H55" s="126">
        <f>'1. All Data'!R58</f>
        <v>0</v>
      </c>
      <c r="I55" s="97"/>
      <c r="J55" s="126">
        <f>'1. All Data'!V58</f>
        <v>0</v>
      </c>
    </row>
    <row r="56" spans="1:47" ht="99.75" customHeight="1">
      <c r="A56" s="95" t="str">
        <f>'1. All Data'!B59</f>
        <v>ECC07</v>
      </c>
      <c r="B56" s="127" t="str">
        <f>'1. All Data'!C59</f>
        <v>Climate Change Initiatives</v>
      </c>
      <c r="C56" s="128" t="str">
        <f>'1. All Data'!D59</f>
        <v>Support an additional entry to the ‘It’s Your Neighbourhood Park awards scheme during 2023/24</v>
      </c>
      <c r="D56" s="124" t="str">
        <f>'1. All Data'!H59</f>
        <v>Fully Achieved</v>
      </c>
      <c r="E56" s="97"/>
      <c r="F56" s="125">
        <f>'1. All Data'!M59</f>
        <v>0</v>
      </c>
      <c r="G56" s="97"/>
      <c r="H56" s="126">
        <f>'1. All Data'!R59</f>
        <v>0</v>
      </c>
      <c r="I56" s="97"/>
      <c r="J56" s="126">
        <f>'1. All Data'!V59</f>
        <v>0</v>
      </c>
      <c r="AU56" s="98"/>
    </row>
    <row r="57" spans="1:47" s="111" customFormat="1" ht="87.6">
      <c r="A57" s="95" t="str">
        <f>'1. All Data'!B60</f>
        <v>ECC08</v>
      </c>
      <c r="B57" s="127" t="str">
        <f>'1. All Data'!C60</f>
        <v>Climate Change Initiatives</v>
      </c>
      <c r="C57" s="128" t="str">
        <f>'1. All Data'!D60</f>
        <v>Deliver the In Bloom awards and sustain the number of Gold awards at a minimum of 3, across all categories</v>
      </c>
      <c r="D57" s="124" t="str">
        <f>'1. All Data'!H60</f>
        <v>Not Yet Due</v>
      </c>
      <c r="E57" s="96"/>
      <c r="F57" s="125">
        <f>'1. All Data'!M60</f>
        <v>0</v>
      </c>
      <c r="G57" s="97"/>
      <c r="H57" s="126">
        <f>'1. All Data'!R60</f>
        <v>0</v>
      </c>
      <c r="I57" s="97"/>
      <c r="J57" s="126">
        <f>'1. All Data'!V60</f>
        <v>0</v>
      </c>
      <c r="K57" s="106"/>
      <c r="L57" s="106"/>
      <c r="M57" s="106"/>
      <c r="N57" s="107"/>
      <c r="O57" s="107"/>
      <c r="P57" s="107"/>
      <c r="Q57" s="107"/>
      <c r="R57" s="107"/>
      <c r="S57" s="106"/>
      <c r="T57" s="106"/>
      <c r="U57" s="106"/>
      <c r="V57" s="106"/>
      <c r="W57" s="106"/>
      <c r="X57" s="108"/>
      <c r="Y57" s="108"/>
      <c r="Z57" s="108"/>
      <c r="AA57" s="108"/>
      <c r="AB57" s="109"/>
      <c r="AC57" s="94"/>
      <c r="AD57" s="110"/>
      <c r="AE57" s="110"/>
      <c r="AF57" s="110"/>
      <c r="AG57" s="110"/>
      <c r="AH57" s="110"/>
      <c r="AI57" s="110"/>
      <c r="AJ57" s="110"/>
      <c r="AK57" s="110"/>
      <c r="AL57" s="110"/>
      <c r="AM57" s="110"/>
      <c r="AN57" s="110"/>
      <c r="AO57" s="110"/>
      <c r="AP57" s="110"/>
      <c r="AQ57" s="110"/>
      <c r="AR57" s="110"/>
      <c r="AS57" s="110"/>
      <c r="AT57" s="110"/>
      <c r="AU57" s="110"/>
    </row>
    <row r="58" spans="1:47" ht="99.75" customHeight="1">
      <c r="A58" s="95" t="str">
        <f>'1. All Data'!B63</f>
        <v>ECC11</v>
      </c>
      <c r="B58" s="127" t="str">
        <f>'1. All Data'!C63</f>
        <v>Open Spaces initiatives</v>
      </c>
      <c r="C58" s="128" t="str">
        <f>'1. All Data'!D63</f>
        <v>Increase the number of volunteering opportunities from 3 to 6 per week at both the Horticulture Centre and/or Go Garden</v>
      </c>
      <c r="D58" s="124" t="str">
        <f>'1. All Data'!H63</f>
        <v>On Track to be Achieved</v>
      </c>
      <c r="E58" s="97"/>
      <c r="F58" s="125">
        <f>'1. All Data'!M63</f>
        <v>0</v>
      </c>
      <c r="G58" s="97"/>
      <c r="H58" s="126">
        <f>'1. All Data'!R63</f>
        <v>0</v>
      </c>
      <c r="I58" s="97"/>
      <c r="J58" s="126">
        <f>'1. All Data'!V63</f>
        <v>0</v>
      </c>
    </row>
    <row r="59" spans="1:47" ht="99.75" customHeight="1">
      <c r="A59" s="95" t="str">
        <f>'1. All Data'!B64</f>
        <v>ECC12</v>
      </c>
      <c r="B59" s="127" t="str">
        <f>'1. All Data'!C64</f>
        <v>Open Spaces initiatives</v>
      </c>
      <c r="C59" s="128" t="str">
        <f>'1. All Data'!D64</f>
        <v>Provide a 6 monthly update report on the performance of the grounds maintenance contractor</v>
      </c>
      <c r="D59" s="124" t="str">
        <f>'1. All Data'!H64</f>
        <v>On Track to be Achieved</v>
      </c>
      <c r="E59" s="96"/>
      <c r="F59" s="125">
        <f>'1. All Data'!M64</f>
        <v>0</v>
      </c>
      <c r="G59" s="97"/>
      <c r="H59" s="126">
        <f>'1. All Data'!R64</f>
        <v>0</v>
      </c>
      <c r="I59" s="97"/>
      <c r="J59" s="126">
        <f>'1. All Data'!V64</f>
        <v>0</v>
      </c>
    </row>
    <row r="60" spans="1:47" ht="99.75" customHeight="1">
      <c r="A60" s="95" t="str">
        <f>'1. All Data'!B65</f>
        <v>ECC13a</v>
      </c>
      <c r="B60" s="127" t="str">
        <f>'1. All Data'!C65</f>
        <v>Maintain Performance For Street Cleansing</v>
      </c>
      <c r="C60" s="128" t="str">
        <f>'1. All Data'!D65</f>
        <v>Litter, 0% (using NI195 survey methodology)</v>
      </c>
      <c r="D60" s="124" t="str">
        <f>'1. All Data'!H65</f>
        <v>Not Yet Due</v>
      </c>
      <c r="E60" s="97"/>
      <c r="F60" s="125">
        <f>'1. All Data'!M65</f>
        <v>0</v>
      </c>
      <c r="G60" s="112"/>
      <c r="H60" s="126">
        <f>'1. All Data'!R65</f>
        <v>0</v>
      </c>
      <c r="I60" s="112"/>
      <c r="J60" s="126">
        <f>'1. All Data'!V65</f>
        <v>0</v>
      </c>
    </row>
    <row r="61" spans="1:47" s="116" customFormat="1" ht="69.75" customHeight="1">
      <c r="A61" s="95" t="str">
        <f>'1. All Data'!B69</f>
        <v>ECC14</v>
      </c>
      <c r="B61" s="127" t="str">
        <f>'1. All Data'!C69</f>
        <v>Minimise The Number Of Missed Bin Collections</v>
      </c>
      <c r="C61" s="128" t="str">
        <f>'1. All Data'!D69</f>
        <v>Number Of Missed Bin Collections: Achieve 99.97% successful bin collections across the Borough</v>
      </c>
      <c r="D61" s="124" t="str">
        <f>'1. All Data'!H69</f>
        <v>On Track to be Achieved</v>
      </c>
      <c r="E61" s="96"/>
      <c r="F61" s="125">
        <f>'1. All Data'!M69</f>
        <v>0</v>
      </c>
      <c r="G61" s="114"/>
      <c r="H61" s="126">
        <f>'1. All Data'!R69</f>
        <v>0</v>
      </c>
      <c r="I61" s="114"/>
      <c r="J61" s="126">
        <f>'1. All Data'!V69</f>
        <v>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row>
    <row r="62" spans="1:47" ht="99.75" customHeight="1">
      <c r="A62" s="95" t="str">
        <f>'1. All Data'!B70</f>
        <v>ECC15</v>
      </c>
      <c r="B62" s="127" t="str">
        <f>'1. All Data'!C70</f>
        <v>Getting ready for the future</v>
      </c>
      <c r="C62" s="128" t="str">
        <f>'1. All Data'!D70</f>
        <v>Go live with the data-modelling of the waste management round configuration</v>
      </c>
      <c r="D62" s="124" t="str">
        <f>'1. All Data'!H70</f>
        <v>Fully Achieved</v>
      </c>
      <c r="E62" s="97"/>
      <c r="F62" s="125">
        <f>'1. All Data'!M70</f>
        <v>0</v>
      </c>
      <c r="G62" s="97"/>
      <c r="H62" s="126">
        <f>'1. All Data'!R70</f>
        <v>0</v>
      </c>
      <c r="I62" s="97"/>
      <c r="J62" s="126">
        <f>'1. All Data'!V70</f>
        <v>0</v>
      </c>
    </row>
    <row r="63" spans="1:47" ht="99.75" customHeight="1">
      <c r="A63" s="95" t="str">
        <f>'1. All Data'!B71</f>
        <v>ECC16</v>
      </c>
      <c r="B63" s="127" t="str">
        <f>'1. All Data'!C71</f>
        <v>Getting ready for the future</v>
      </c>
      <c r="C63" s="128" t="str">
        <f>'1. All Data'!D71</f>
        <v xml:space="preserve">Report to Cabinet on the new round configuration and procurement requirements of the new waste management vehicles </v>
      </c>
      <c r="D63" s="124" t="str">
        <f>'1. All Data'!H71</f>
        <v>On Track to be Achieved</v>
      </c>
      <c r="E63" s="97"/>
      <c r="F63" s="125">
        <f>'1. All Data'!M71</f>
        <v>0</v>
      </c>
      <c r="G63" s="97"/>
      <c r="H63" s="126">
        <f>'1. All Data'!R71</f>
        <v>0</v>
      </c>
      <c r="I63" s="97"/>
      <c r="J63" s="126">
        <f>'1. All Data'!V71</f>
        <v>0</v>
      </c>
    </row>
    <row r="64" spans="1:47" ht="99.75" customHeight="1">
      <c r="A64" s="95" t="str">
        <f>'1. All Data'!B72</f>
        <v>ECC17</v>
      </c>
      <c r="B64" s="127" t="str">
        <f>'1. All Data'!C72</f>
        <v xml:space="preserve">Maintain Performance On Recycling </v>
      </c>
      <c r="C64" s="128" t="str">
        <f>'1. All Data'!D72</f>
        <v xml:space="preserve">Consider implementation of Food Waste strategy </v>
      </c>
      <c r="D64" s="124" t="str">
        <f>'1. All Data'!H72</f>
        <v>On Track to be Achieved</v>
      </c>
      <c r="E64" s="97"/>
      <c r="F64" s="125">
        <f>'1. All Data'!M72</f>
        <v>0</v>
      </c>
      <c r="G64" s="97"/>
      <c r="H64" s="126">
        <f>'1. All Data'!R72</f>
        <v>0</v>
      </c>
      <c r="I64" s="97"/>
      <c r="J64" s="126">
        <f>'1. All Data'!V72</f>
        <v>0</v>
      </c>
    </row>
    <row r="65" spans="1:10" ht="99.75" customHeight="1">
      <c r="A65" s="95" t="str">
        <f>'1. All Data'!B73</f>
        <v>ECC18</v>
      </c>
      <c r="B65" s="127" t="str">
        <f>'1. All Data'!C73</f>
        <v>Getting ready for the future</v>
      </c>
      <c r="C65" s="128" t="str">
        <f>'1. All Data'!D73</f>
        <v>Prepare a Depot Strategy to identify options to future proof the service</v>
      </c>
      <c r="D65" s="124" t="str">
        <f>'1. All Data'!H73</f>
        <v>On Track to be Achieved</v>
      </c>
      <c r="E65" s="97"/>
      <c r="F65" s="125">
        <f>'1. All Data'!M73</f>
        <v>0</v>
      </c>
      <c r="G65" s="97"/>
      <c r="H65" s="126">
        <f>'1. All Data'!R73</f>
        <v>0</v>
      </c>
      <c r="I65" s="97"/>
      <c r="J65" s="126">
        <f>'1. All Data'!V73</f>
        <v>0</v>
      </c>
    </row>
    <row r="66" spans="1:10" ht="99.75" customHeight="1">
      <c r="A66" s="95" t="str">
        <f>'1. All Data'!B74</f>
        <v>ECC19</v>
      </c>
      <c r="B66" s="127" t="str">
        <f>'1. All Data'!C74</f>
        <v>Improve Performance On Waste Reduction</v>
      </c>
      <c r="C66" s="128" t="str">
        <f>'1. All Data'!D74</f>
        <v>Residual Household Waste Per Household: Upper Quartile</v>
      </c>
      <c r="D66" s="124" t="str">
        <f>'1. All Data'!H74</f>
        <v>In Danger of Falling Behind Target</v>
      </c>
      <c r="E66" s="97"/>
      <c r="F66" s="125">
        <f>'1. All Data'!M74</f>
        <v>0</v>
      </c>
      <c r="G66" s="97"/>
      <c r="H66" s="126">
        <f>'1. All Data'!R74</f>
        <v>0</v>
      </c>
      <c r="I66" s="97"/>
      <c r="J66" s="126">
        <f>'1. All Data'!V74</f>
        <v>0</v>
      </c>
    </row>
    <row r="67" spans="1:10" ht="99.75" customHeight="1">
      <c r="A67" s="95" t="str">
        <f>'1. All Data'!B75</f>
        <v>ECC20</v>
      </c>
      <c r="B67" s="127" t="str">
        <f>'1. All Data'!C75</f>
        <v xml:space="preserve">Maintain Performance On Recycling </v>
      </c>
      <c r="C67" s="128" t="str">
        <f>'1. All Data'!D75</f>
        <v>Household Waste Recycled and Composted: Upper Quartile</v>
      </c>
      <c r="D67" s="124" t="str">
        <f>'1. All Data'!H75</f>
        <v>In Danger of Falling Behind Target</v>
      </c>
      <c r="E67" s="97"/>
      <c r="F67" s="125">
        <f>'1. All Data'!M75</f>
        <v>0</v>
      </c>
      <c r="G67" s="97"/>
      <c r="H67" s="126">
        <f>'1. All Data'!R75</f>
        <v>0</v>
      </c>
      <c r="I67" s="97"/>
      <c r="J67" s="126">
        <f>'1. All Data'!V75</f>
        <v>0</v>
      </c>
    </row>
    <row r="68" spans="1:10" ht="99.75" customHeight="1">
      <c r="A68" s="95" t="str">
        <f>'1. All Data'!B76</f>
        <v>ECC21</v>
      </c>
      <c r="B68" s="127" t="str">
        <f>'1. All Data'!C76</f>
        <v>Getting ready for the future</v>
      </c>
      <c r="C68" s="128" t="str">
        <f>'1. All Data'!D76</f>
        <v>Carry out Green Vehicle Trial on collection rounds</v>
      </c>
      <c r="D68" s="124" t="str">
        <f>'1. All Data'!H76</f>
        <v>Not Yet Due</v>
      </c>
      <c r="E68" s="97"/>
      <c r="F68" s="125">
        <f>'1. All Data'!M76</f>
        <v>0</v>
      </c>
      <c r="G68" s="97"/>
      <c r="H68" s="126">
        <f>'1. All Data'!R76</f>
        <v>0</v>
      </c>
      <c r="I68" s="97"/>
      <c r="J68" s="126">
        <f>'1. All Data'!V76</f>
        <v>0</v>
      </c>
    </row>
    <row r="69" spans="1:10" ht="99.75" customHeight="1">
      <c r="A69" s="95" t="str">
        <f>'1. All Data'!B77</f>
        <v>ECC22</v>
      </c>
      <c r="B69" s="127" t="str">
        <f>'1. All Data'!C77</f>
        <v>Getting ready for the future</v>
      </c>
      <c r="C69" s="128" t="str">
        <f>'1. All Data'!D77</f>
        <v>Options review on the approach for the Council’s fleet of small mechanical street cleaning vehicles</v>
      </c>
      <c r="D69" s="124" t="str">
        <f>'1. All Data'!H77</f>
        <v>Not Yet Due</v>
      </c>
      <c r="E69" s="97"/>
      <c r="F69" s="125">
        <f>'1. All Data'!M77</f>
        <v>0</v>
      </c>
      <c r="G69" s="105"/>
      <c r="H69" s="126">
        <f>'1. All Data'!R77</f>
        <v>0</v>
      </c>
      <c r="I69" s="105"/>
      <c r="J69" s="126">
        <f>'1. All Data'!V77</f>
        <v>0</v>
      </c>
    </row>
    <row r="70" spans="1:10" ht="99.75" customHeight="1">
      <c r="A70" s="95" t="str">
        <f>'1. All Data'!B78</f>
        <v>ECC23</v>
      </c>
      <c r="B70" s="127" t="str">
        <f>'1. All Data'!C78</f>
        <v>Review of Car Parking Services</v>
      </c>
      <c r="C70" s="128" t="str">
        <f>'1. All Data'!D78</f>
        <v>Undertake a wide ranging review of the current car parking arrangements, including but not limited to; the Parking App, the charging regime and enforcement</v>
      </c>
      <c r="D70" s="124" t="str">
        <f>'1. All Data'!H78</f>
        <v>Not Yet Due</v>
      </c>
      <c r="E70" s="97"/>
      <c r="F70" s="125">
        <f>'1. All Data'!M78</f>
        <v>0</v>
      </c>
      <c r="G70" s="105"/>
      <c r="H70" s="126">
        <f>'1. All Data'!R78</f>
        <v>0</v>
      </c>
      <c r="I70" s="105"/>
      <c r="J70" s="126">
        <f>'1. All Data'!V78</f>
        <v>0</v>
      </c>
    </row>
    <row r="71" spans="1:10" ht="99.75" customHeight="1">
      <c r="A71" s="95" t="str">
        <f>'1. All Data'!B79</f>
        <v>TCD01</v>
      </c>
      <c r="B71" s="127" t="str">
        <f>'1. All Data'!C79</f>
        <v>Market Hall Development</v>
      </c>
      <c r="C71" s="128" t="str">
        <f>'1. All Data'!D79</f>
        <v>Consider the outcome of an independent HM Treasury Green Book compliant business case assessment on future  options for the Market Hall</v>
      </c>
      <c r="D71" s="124" t="str">
        <f>'1. All Data'!H79</f>
        <v>On Track to be Achieved</v>
      </c>
      <c r="E71" s="97"/>
      <c r="F71" s="125">
        <f>'1. All Data'!M79</f>
        <v>0</v>
      </c>
      <c r="G71" s="105"/>
      <c r="H71" s="126">
        <f>'1. All Data'!R79</f>
        <v>0</v>
      </c>
      <c r="I71" s="105"/>
      <c r="J71" s="126">
        <f>'1. All Data'!V79</f>
        <v>0</v>
      </c>
    </row>
    <row r="72" spans="1:10" ht="99.75" customHeight="1">
      <c r="A72" s="95" t="str">
        <f>'1. All Data'!B80</f>
        <v>TCD02</v>
      </c>
      <c r="B72" s="127" t="str">
        <f>'1. All Data'!C80</f>
        <v>Developing Tourism within the Borough</v>
      </c>
      <c r="C72" s="128" t="str">
        <f>'1. All Data'!D80</f>
        <v>Launch a grant scheme to support local Tourism businesses to develop projects and activity</v>
      </c>
      <c r="D72" s="124" t="str">
        <f>'1. All Data'!H80</f>
        <v>Fully Achieved</v>
      </c>
      <c r="E72" s="96"/>
      <c r="F72" s="125">
        <f>'1. All Data'!M80</f>
        <v>0</v>
      </c>
      <c r="G72" s="97"/>
      <c r="H72" s="126">
        <f>'1. All Data'!R80</f>
        <v>0</v>
      </c>
      <c r="I72" s="97"/>
      <c r="J72" s="126">
        <f>'1. All Data'!V80</f>
        <v>0</v>
      </c>
    </row>
    <row r="73" spans="1:10" ht="99.75" customHeight="1">
      <c r="A73" s="95" t="str">
        <f>'1. All Data'!B81</f>
        <v>TCD03</v>
      </c>
      <c r="B73" s="127" t="str">
        <f>'1. All Data'!C81</f>
        <v>Developing Tourism within the Borough</v>
      </c>
      <c r="C73" s="128" t="str">
        <f>'1. All Data'!D81</f>
        <v xml:space="preserve">Develop a Tourism framework and Strategic Plan </v>
      </c>
      <c r="D73" s="124" t="str">
        <f>'1. All Data'!H81</f>
        <v>On Track to be Achieved</v>
      </c>
      <c r="E73" s="97"/>
      <c r="F73" s="125">
        <f>'1. All Data'!M81</f>
        <v>0</v>
      </c>
      <c r="G73" s="97"/>
      <c r="H73" s="126">
        <f>'1. All Data'!R81</f>
        <v>0</v>
      </c>
      <c r="I73" s="97"/>
      <c r="J73" s="126">
        <f>'1. All Data'!V81</f>
        <v>0</v>
      </c>
    </row>
    <row r="74" spans="1:10" ht="99.75" customHeight="1">
      <c r="A74" s="95" t="str">
        <f>'1. All Data'!B83</f>
        <v>TCD05</v>
      </c>
      <c r="B74" s="127" t="str">
        <f>'1. All Data'!C83</f>
        <v>Developing Tourism within the Borough</v>
      </c>
      <c r="C74" s="128" t="str">
        <f>'1. All Data'!D83</f>
        <v>Complete review of way marking around Burton town centre</v>
      </c>
      <c r="D74" s="124" t="str">
        <f>'1. All Data'!H83</f>
        <v>Not Yet Due</v>
      </c>
      <c r="E74" s="97"/>
      <c r="F74" s="125">
        <f>'1. All Data'!M83</f>
        <v>0</v>
      </c>
      <c r="G74" s="105"/>
      <c r="H74" s="126">
        <f>'1. All Data'!R83</f>
        <v>0</v>
      </c>
      <c r="I74" s="97"/>
      <c r="J74" s="126">
        <f>'1. All Data'!V83</f>
        <v>0</v>
      </c>
    </row>
    <row r="75" spans="1:10" ht="99.75" customHeight="1">
      <c r="A75" s="95" t="str">
        <f>'1. All Data'!B86</f>
        <v>TCD08</v>
      </c>
      <c r="B75" s="127" t="str">
        <f>'1. All Data'!C86</f>
        <v>Brewhouse and Town Hall Service</v>
      </c>
      <c r="C75" s="128" t="str">
        <f>'1. All Data'!D86</f>
        <v>Complete the refurbishment of the Brewhouse roof</v>
      </c>
      <c r="D75" s="124" t="str">
        <f>'1. All Data'!H86</f>
        <v>On Track to be Achieved</v>
      </c>
      <c r="E75" s="97"/>
      <c r="F75" s="125">
        <f>'1. All Data'!M86</f>
        <v>0</v>
      </c>
      <c r="G75" s="97"/>
      <c r="H75" s="126">
        <f>'1. All Data'!R86</f>
        <v>0</v>
      </c>
      <c r="I75" s="97"/>
      <c r="J75" s="126">
        <f>'1. All Data'!V86</f>
        <v>0</v>
      </c>
    </row>
    <row r="76" spans="1:10" ht="99.75" customHeight="1">
      <c r="A76" s="95" t="str">
        <f>'1. All Data'!B89</f>
        <v>TCD10</v>
      </c>
      <c r="B76" s="127" t="str">
        <f>'1. All Data'!C89</f>
        <v xml:space="preserve">Supporting Sport and Leisure Delivery </v>
      </c>
      <c r="C76" s="128" t="str">
        <f>'1. All Data'!D89</f>
        <v>Review outdoor sports provision in Uttoxeter, including the proposed Sports Hub and other potential outdoor sports sites</v>
      </c>
      <c r="D76" s="124" t="str">
        <f>'1. All Data'!H89</f>
        <v>Not Yet Due</v>
      </c>
      <c r="E76" s="97"/>
      <c r="F76" s="125">
        <f>'1. All Data'!M89</f>
        <v>0</v>
      </c>
      <c r="G76" s="97"/>
      <c r="H76" s="126">
        <f>'1. All Data'!R89</f>
        <v>0</v>
      </c>
      <c r="I76" s="97"/>
      <c r="J76" s="126">
        <f>'1. All Data'!V89</f>
        <v>0</v>
      </c>
    </row>
    <row r="77" spans="1:10" ht="87.6">
      <c r="A77" s="95" t="str">
        <f>'1. All Data'!B90</f>
        <v>TCD11</v>
      </c>
      <c r="B77" s="127" t="str">
        <f>'1. All Data'!C90</f>
        <v>Supporting Sport and Leisure Delivery</v>
      </c>
      <c r="C77" s="128" t="str">
        <f>'1. All Data'!D90</f>
        <v>Updated Playing Pitch Strategy and review of indoor facilities completed</v>
      </c>
      <c r="D77" s="124" t="str">
        <f>'1. All Data'!H90</f>
        <v>On Track to be Achieved</v>
      </c>
      <c r="E77" s="96"/>
      <c r="F77" s="125">
        <f>'1. All Data'!M90</f>
        <v>0</v>
      </c>
      <c r="G77" s="97"/>
      <c r="H77" s="126">
        <f>'1. All Data'!R90</f>
        <v>0</v>
      </c>
      <c r="I77" s="97"/>
      <c r="J77" s="126">
        <f>'1. All Data'!V90</f>
        <v>0</v>
      </c>
    </row>
    <row r="78" spans="1:10" ht="99.75" customHeight="1">
      <c r="A78" s="95" t="str">
        <f>'1. All Data'!B93</f>
        <v>TCD14</v>
      </c>
      <c r="B78" s="127" t="str">
        <f>'1. All Data'!C93</f>
        <v>Developing Healthy Lifestyles</v>
      </c>
      <c r="C78" s="128" t="str">
        <f>'1. All Data'!D93</f>
        <v>Support the Better Health programme into the delivery phase and represent East Staffordshire through quarterly meetings</v>
      </c>
      <c r="D78" s="124" t="str">
        <f>'1. All Data'!H93</f>
        <v>On Track to be Achieved</v>
      </c>
      <c r="E78" s="96"/>
      <c r="F78" s="125">
        <f>'1. All Data'!M93</f>
        <v>0</v>
      </c>
      <c r="G78" s="104"/>
      <c r="H78" s="126">
        <f>'1. All Data'!R93</f>
        <v>0</v>
      </c>
      <c r="I78" s="104"/>
      <c r="J78" s="126">
        <f>'1. All Data'!V93</f>
        <v>0</v>
      </c>
    </row>
    <row r="79" spans="1:10" ht="99.75" customHeight="1">
      <c r="A79" s="95" t="str">
        <f>'1. All Data'!B94</f>
        <v>TCD15</v>
      </c>
      <c r="B79" s="127" t="str">
        <f>'1. All Data'!C94</f>
        <v>Supporting Sport and Leisure Delivery</v>
      </c>
      <c r="C79" s="128" t="str">
        <f>'1. All Data'!D94</f>
        <v>Undertake a review of the grant funding process that currently takes place through the East Staffordshire Sports Council</v>
      </c>
      <c r="D79" s="124" t="str">
        <f>'1. All Data'!H94</f>
        <v>On Track to be Achieved</v>
      </c>
      <c r="E79" s="96"/>
      <c r="F79" s="125">
        <f>'1. All Data'!M94</f>
        <v>0</v>
      </c>
      <c r="G79" s="97"/>
      <c r="H79" s="126">
        <f>'1. All Data'!R94</f>
        <v>0</v>
      </c>
      <c r="I79" s="97"/>
      <c r="J79" s="126">
        <f>'1. All Data'!V94</f>
        <v>0</v>
      </c>
    </row>
    <row r="80" spans="1:10" ht="99.75" customHeight="1">
      <c r="A80" s="95" t="str">
        <f>'1. All Data'!B95</f>
        <v>RAD01</v>
      </c>
      <c r="B80" s="127" t="str">
        <f>'1. All Data'!C95</f>
        <v>Deliver the Burton upon Trent High Street Regeneration Project</v>
      </c>
      <c r="C80" s="128" t="str">
        <f>'1. All Data'!D95</f>
        <v>Launch the temporary National Archive 
Centre and Regeneration Update Hub 
following completion of works and relocation of the collection</v>
      </c>
      <c r="D80" s="124" t="str">
        <f>'1. All Data'!H95</f>
        <v>On Track to be Achieved</v>
      </c>
      <c r="E80" s="97"/>
      <c r="F80" s="125">
        <f>'1. All Data'!M95</f>
        <v>0</v>
      </c>
      <c r="G80" s="97"/>
      <c r="H80" s="126">
        <f>'1. All Data'!R95</f>
        <v>0</v>
      </c>
      <c r="I80" s="97"/>
      <c r="J80" s="126">
        <f>'1. All Data'!V95</f>
        <v>0</v>
      </c>
    </row>
    <row r="81" spans="1:46" ht="99.75" customHeight="1">
      <c r="A81" s="95" t="str">
        <f>'1. All Data'!B96</f>
        <v>RAD02</v>
      </c>
      <c r="B81" s="127" t="str">
        <f>'1. All Data'!C96</f>
        <v>Deliver the Burton upon Trent High Street Regeneration Project</v>
      </c>
      <c r="C81" s="128" t="str">
        <f>'1. All Data'!D96</f>
        <v xml:space="preserve">Continue to work in partnership with the Heritage Working Group and other stakeholders to develop the museum and heritage centre proposals for the High Street </v>
      </c>
      <c r="D81" s="124" t="str">
        <f>'1. All Data'!H96</f>
        <v>Not Yet Due</v>
      </c>
      <c r="E81" s="97"/>
      <c r="F81" s="125">
        <f>'1. All Data'!M96</f>
        <v>0</v>
      </c>
      <c r="G81" s="97"/>
      <c r="H81" s="126">
        <f>'1. All Data'!R96</f>
        <v>0</v>
      </c>
      <c r="I81" s="97"/>
      <c r="J81" s="126">
        <f>'1. All Data'!V96</f>
        <v>0</v>
      </c>
    </row>
    <row r="82" spans="1:46" s="111" customFormat="1" ht="87.6">
      <c r="A82" s="95" t="str">
        <f>'1. All Data'!B97</f>
        <v>RAD03</v>
      </c>
      <c r="B82" s="127" t="str">
        <f>'1. All Data'!C97</f>
        <v>Deliver the Burton upon Trent High Street Regeneration Project</v>
      </c>
      <c r="C82" s="128" t="str">
        <f>'1. All Data'!D97</f>
        <v xml:space="preserve">Work with partners to support the delivery of the three partner Towns Fund projects </v>
      </c>
      <c r="D82" s="124" t="str">
        <f>'1. All Data'!H97</f>
        <v>Not Yet Due</v>
      </c>
      <c r="E82" s="96"/>
      <c r="F82" s="125">
        <f>'1. All Data'!M97</f>
        <v>0</v>
      </c>
      <c r="G82" s="97"/>
      <c r="H82" s="126">
        <f>'1. All Data'!R97</f>
        <v>0</v>
      </c>
      <c r="I82" s="97"/>
      <c r="J82" s="126">
        <f>'1. All Data'!V97</f>
        <v>0</v>
      </c>
      <c r="K82" s="117"/>
      <c r="L82" s="117"/>
      <c r="M82" s="118"/>
      <c r="N82" s="119"/>
      <c r="O82" s="119"/>
      <c r="P82" s="119"/>
      <c r="Q82" s="119"/>
      <c r="R82" s="118"/>
      <c r="S82" s="117"/>
      <c r="T82" s="117"/>
      <c r="U82" s="117"/>
      <c r="V82" s="120"/>
      <c r="W82" s="117"/>
      <c r="X82" s="118"/>
      <c r="Y82" s="118"/>
      <c r="Z82" s="118"/>
      <c r="AA82" s="118"/>
      <c r="AB82" s="109"/>
      <c r="AC82" s="94"/>
      <c r="AD82" s="110"/>
      <c r="AE82" s="110"/>
      <c r="AF82" s="110"/>
      <c r="AG82" s="110"/>
      <c r="AH82" s="110"/>
      <c r="AI82" s="110"/>
      <c r="AJ82" s="110"/>
      <c r="AK82" s="110"/>
      <c r="AL82" s="110"/>
      <c r="AM82" s="110"/>
      <c r="AN82" s="110"/>
      <c r="AO82" s="110"/>
      <c r="AP82" s="110"/>
      <c r="AQ82" s="110"/>
      <c r="AR82" s="110"/>
      <c r="AS82" s="110"/>
      <c r="AT82" s="110"/>
    </row>
    <row r="83" spans="1:46" s="116" customFormat="1" ht="103.5" customHeight="1">
      <c r="A83" s="95" t="str">
        <f>'1. All Data'!B98</f>
        <v>RAD04</v>
      </c>
      <c r="B83" s="127" t="str">
        <f>'1. All Data'!C98</f>
        <v>Improve the Washlands as a regional attraction</v>
      </c>
      <c r="C83" s="128" t="str">
        <f>'1. All Data'!D98</f>
        <v>Appoint contractors to deliver Washlands Enhancement Project</v>
      </c>
      <c r="D83" s="124" t="str">
        <f>'1. All Data'!H98</f>
        <v>On Track to be Achieved</v>
      </c>
      <c r="E83" s="97"/>
      <c r="F83" s="125">
        <f>'1. All Data'!M98</f>
        <v>0</v>
      </c>
      <c r="G83" s="121"/>
      <c r="H83" s="126">
        <f>'1. All Data'!R98</f>
        <v>0</v>
      </c>
      <c r="I83" s="121"/>
      <c r="J83" s="126">
        <f>'1. All Data'!V98</f>
        <v>0</v>
      </c>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row>
    <row r="84" spans="1:46" ht="99.75" customHeight="1">
      <c r="A84" s="95" t="str">
        <f>'1. All Data'!B99</f>
        <v>RAD05</v>
      </c>
      <c r="B84" s="127" t="str">
        <f>'1. All Data'!C99</f>
        <v>Improve the Washlands as a regional attraction</v>
      </c>
      <c r="C84" s="128" t="str">
        <f>'1. All Data'!D99</f>
        <v xml:space="preserve">Submit planning application for a Washlands Visitor Centre </v>
      </c>
      <c r="D84" s="124" t="str">
        <f>'1. All Data'!H99</f>
        <v>In Danger of Falling Behind Target</v>
      </c>
      <c r="E84" s="96"/>
      <c r="F84" s="125">
        <f>'1. All Data'!M99</f>
        <v>0</v>
      </c>
      <c r="G84" s="97"/>
      <c r="H84" s="126">
        <f>'1. All Data'!R99</f>
        <v>0</v>
      </c>
      <c r="I84" s="97"/>
      <c r="J84" s="126">
        <f>'1. All Data'!V99</f>
        <v>0</v>
      </c>
    </row>
    <row r="85" spans="1:46" ht="99.75" customHeight="1">
      <c r="A85" s="95" t="str">
        <f>'1. All Data'!B100</f>
        <v>RAD06</v>
      </c>
      <c r="B85" s="127" t="str">
        <f>'1. All Data'!C100</f>
        <v>Improve the Washlands as a regional attraction</v>
      </c>
      <c r="C85" s="128" t="str">
        <f>'1. All Data'!D100</f>
        <v xml:space="preserve">Commence the construction of the Washlands Visitor Centre (subject to planning) </v>
      </c>
      <c r="D85" s="124" t="str">
        <f>'1. All Data'!H100</f>
        <v>In Danger of Falling Behind Target</v>
      </c>
      <c r="E85" s="96"/>
      <c r="F85" s="125">
        <f>'1. All Data'!M100</f>
        <v>0</v>
      </c>
      <c r="G85" s="97"/>
      <c r="H85" s="126">
        <f>'1. All Data'!R100</f>
        <v>0</v>
      </c>
      <c r="I85" s="97"/>
      <c r="J85" s="126">
        <f>'1. All Data'!V100</f>
        <v>0</v>
      </c>
    </row>
    <row r="86" spans="1:46" ht="99.75" customHeight="1">
      <c r="A86" s="95" t="str">
        <f>'1. All Data'!B101</f>
        <v>RAD07</v>
      </c>
      <c r="B86" s="127" t="str">
        <f>'1. All Data'!C101</f>
        <v>Improve the Washlands as a regional attraction</v>
      </c>
      <c r="C86" s="128" t="str">
        <f>'1. All Data'!D101</f>
        <v xml:space="preserve">Finalise designs for the Garden of Remembrance enhancements </v>
      </c>
      <c r="D86" s="124" t="str">
        <f>'1. All Data'!H101</f>
        <v>On Track to be Achieved</v>
      </c>
      <c r="E86" s="96"/>
      <c r="F86" s="125">
        <f>'1. All Data'!M101</f>
        <v>0</v>
      </c>
      <c r="G86" s="105"/>
      <c r="H86" s="126">
        <f>'1. All Data'!R101</f>
        <v>0</v>
      </c>
      <c r="I86" s="97"/>
      <c r="J86" s="126">
        <f>'1. All Data'!V101</f>
        <v>0</v>
      </c>
    </row>
    <row r="87" spans="1:46" ht="99.75" customHeight="1">
      <c r="A87" s="95" t="str">
        <f>'1. All Data'!B102</f>
        <v>RAD08</v>
      </c>
      <c r="B87" s="127" t="str">
        <f>'1. All Data'!C102</f>
        <v>Take forward regeneration in Uttoxeter</v>
      </c>
      <c r="C87" s="128" t="str">
        <f>'1. All Data'!D102</f>
        <v>Consider findings of Maltings regeneration project consultation</v>
      </c>
      <c r="D87" s="124" t="str">
        <f>'1. All Data'!H102</f>
        <v>On Track to be Achieved</v>
      </c>
      <c r="E87" s="96"/>
      <c r="F87" s="125">
        <f>'1. All Data'!M102</f>
        <v>0</v>
      </c>
      <c r="G87" s="97"/>
      <c r="H87" s="126">
        <f>'1. All Data'!R102</f>
        <v>0</v>
      </c>
      <c r="I87" s="97"/>
      <c r="J87" s="126">
        <f>'1. All Data'!V102</f>
        <v>0</v>
      </c>
    </row>
    <row r="88" spans="1:46" ht="99.75" customHeight="1">
      <c r="A88" s="95" t="str">
        <f>'1. All Data'!B103</f>
        <v>RAD09</v>
      </c>
      <c r="B88" s="127" t="str">
        <f>'1. All Data'!C103</f>
        <v>Take forward regeneration in Uttoxeter</v>
      </c>
      <c r="C88" s="128" t="str">
        <f>'1. All Data'!D103</f>
        <v>Agree purchase of Uttoxeter former Co-op building</v>
      </c>
      <c r="D88" s="124" t="str">
        <f>'1. All Data'!H103</f>
        <v>On Track to be Achieved</v>
      </c>
      <c r="E88" s="96"/>
      <c r="F88" s="125">
        <f>'1. All Data'!M103</f>
        <v>0</v>
      </c>
      <c r="G88" s="97"/>
      <c r="H88" s="126">
        <f>'1. All Data'!R103</f>
        <v>0</v>
      </c>
      <c r="I88" s="97"/>
      <c r="J88" s="126">
        <f>'1. All Data'!V103</f>
        <v>0</v>
      </c>
    </row>
    <row r="89" spans="1:46" ht="99.75" customHeight="1">
      <c r="A89" s="95" t="str">
        <f>'1. All Data'!B104</f>
        <v>RAD10</v>
      </c>
      <c r="B89" s="127" t="str">
        <f>'1. All Data'!C104</f>
        <v>Take forward regeneration in Uttoxeter</v>
      </c>
      <c r="C89" s="128" t="str">
        <f>'1. All Data'!D104</f>
        <v>Consider the best approach to acquiring the remainder of the Maltings precinct and review proposals to regenerate the Maltings area</v>
      </c>
      <c r="D89" s="124" t="str">
        <f>'1. All Data'!H104</f>
        <v>Not Yet Due</v>
      </c>
      <c r="E89" s="97"/>
      <c r="F89" s="125">
        <f>'1. All Data'!M104</f>
        <v>0</v>
      </c>
      <c r="G89" s="97"/>
      <c r="H89" s="126">
        <f>'1. All Data'!R104</f>
        <v>0</v>
      </c>
      <c r="I89" s="97"/>
      <c r="J89" s="126">
        <f>'1. All Data'!V104</f>
        <v>0</v>
      </c>
    </row>
    <row r="90" spans="1:46" ht="99.75" customHeight="1">
      <c r="A90" s="95" t="str">
        <f>'1. All Data'!B106</f>
        <v>RAD12</v>
      </c>
      <c r="B90" s="127" t="str">
        <f>'1. All Data'!C106</f>
        <v>Support economic growth in East Staffordshire</v>
      </c>
      <c r="C90" s="128" t="str">
        <f>'1. All Data'!D106</f>
        <v>Continue to work in preparation of accessing external funding opportunities, when available, including the third round of the Levelling Up Fund</v>
      </c>
      <c r="D90" s="124" t="str">
        <f>'1. All Data'!H106</f>
        <v>Not Yet Due</v>
      </c>
      <c r="E90" s="96"/>
      <c r="F90" s="125">
        <f>'1. All Data'!M106</f>
        <v>0</v>
      </c>
      <c r="G90" s="97"/>
      <c r="H90" s="126">
        <f>'1. All Data'!R106</f>
        <v>0</v>
      </c>
      <c r="I90" s="97"/>
      <c r="J90" s="126">
        <f>'1. All Data'!V106</f>
        <v>0</v>
      </c>
    </row>
    <row r="91" spans="1:46" ht="99.75" customHeight="1">
      <c r="A91" s="95" t="str">
        <f>'1. All Data'!B107</f>
        <v>RAD13</v>
      </c>
      <c r="B91" s="127" t="str">
        <f>'1. All Data'!C107</f>
        <v>Major Planning Applications Determined Within 13 Weeks</v>
      </c>
      <c r="C91" s="128" t="str">
        <f>'1. All Data'!D107</f>
        <v>Top Quartile as measured against relevant DLUHC figures</v>
      </c>
      <c r="D91" s="124" t="str">
        <f>'1. All Data'!H107</f>
        <v>On Track to be Achieved</v>
      </c>
      <c r="E91" s="97"/>
      <c r="F91" s="125">
        <f>'1. All Data'!M107</f>
        <v>0</v>
      </c>
      <c r="G91" s="97"/>
      <c r="H91" s="126">
        <f>'1. All Data'!R107</f>
        <v>0</v>
      </c>
      <c r="I91" s="97"/>
      <c r="J91" s="126">
        <f>'1. All Data'!V107</f>
        <v>0</v>
      </c>
    </row>
    <row r="92" spans="1:46" ht="99.75" customHeight="1">
      <c r="A92" s="95" t="str">
        <f>'1. All Data'!B108</f>
        <v>RAD14</v>
      </c>
      <c r="B92" s="127" t="str">
        <f>'1. All Data'!C108</f>
        <v>Minor Planning Applications Determined Within 8 Weeks</v>
      </c>
      <c r="C92" s="128" t="str">
        <f>'1. All Data'!D108</f>
        <v>Top Quartile as measured against relevant DLUHC figures</v>
      </c>
      <c r="D92" s="124" t="str">
        <f>'1. All Data'!H108</f>
        <v>On Track to be Achieved</v>
      </c>
      <c r="E92" s="96"/>
      <c r="F92" s="125">
        <f>'1. All Data'!M108</f>
        <v>0</v>
      </c>
      <c r="G92" s="97"/>
      <c r="H92" s="126">
        <f>'1. All Data'!R108</f>
        <v>0</v>
      </c>
      <c r="I92" s="97"/>
      <c r="J92" s="126">
        <f>'1. All Data'!V108</f>
        <v>0</v>
      </c>
    </row>
    <row r="93" spans="1:46" ht="99.75" customHeight="1">
      <c r="A93" s="95" t="str">
        <f>'1. All Data'!B109</f>
        <v>RAD15</v>
      </c>
      <c r="B93" s="127" t="str">
        <f>'1. All Data'!C109</f>
        <v>Other Planning Applications Determined in 8 Weeks</v>
      </c>
      <c r="C93" s="128" t="str">
        <f>'1. All Data'!D109</f>
        <v>Top Quartile as measured against relevant MHCLG figures</v>
      </c>
      <c r="D93" s="124" t="str">
        <f>'1. All Data'!H109</f>
        <v>On Track to be Achieved</v>
      </c>
      <c r="E93" s="96"/>
      <c r="F93" s="125">
        <f>'1. All Data'!M109</f>
        <v>0</v>
      </c>
      <c r="G93" s="97"/>
      <c r="H93" s="126">
        <f>'1. All Data'!R109</f>
        <v>0</v>
      </c>
      <c r="I93" s="97"/>
      <c r="J93" s="126">
        <f>'1. All Data'!V109</f>
        <v>0</v>
      </c>
    </row>
    <row r="94" spans="1:46" ht="99.75" customHeight="1">
      <c r="A94" s="95" t="str">
        <f>'1. All Data'!B110</f>
        <v>RAD16</v>
      </c>
      <c r="B94" s="127" t="str">
        <f>'1. All Data'!C110</f>
        <v>SMARTER Planning Services</v>
      </c>
      <c r="C94" s="128" t="str">
        <f>'1. All Data'!D110</f>
        <v>Review Planning feedback survey data</v>
      </c>
      <c r="D94" s="124" t="str">
        <f>'1. All Data'!H110</f>
        <v>On Track to be Achieved</v>
      </c>
      <c r="E94" s="96"/>
      <c r="F94" s="125">
        <f>'1. All Data'!M110</f>
        <v>0</v>
      </c>
      <c r="G94" s="97"/>
      <c r="H94" s="126">
        <f>'1. All Data'!R110</f>
        <v>0</v>
      </c>
      <c r="I94" s="97"/>
      <c r="J94" s="126">
        <f>'1. All Data'!V110</f>
        <v>0</v>
      </c>
    </row>
    <row r="95" spans="1:46" ht="99.75" customHeight="1">
      <c r="A95" s="95" t="str">
        <f>'1. All Data'!B111</f>
        <v>RAD17</v>
      </c>
      <c r="B95" s="127" t="str">
        <f>'1. All Data'!C111</f>
        <v>SMARTER Planning Services</v>
      </c>
      <c r="C95" s="128" t="str">
        <f>'1. All Data'!D111</f>
        <v>Consider reintroduction of planning pre application advice</v>
      </c>
      <c r="D95" s="124" t="str">
        <f>'1. All Data'!H111</f>
        <v>On Track to be Achieved</v>
      </c>
      <c r="E95" s="96"/>
      <c r="F95" s="125">
        <f>'1. All Data'!M111</f>
        <v>0</v>
      </c>
      <c r="G95" s="97"/>
      <c r="H95" s="126">
        <f>'1. All Data'!R111</f>
        <v>0</v>
      </c>
      <c r="I95" s="97"/>
      <c r="J95" s="126">
        <f>'1. All Data'!V111</f>
        <v>0</v>
      </c>
    </row>
    <row r="96" spans="1:46" ht="99.75" customHeight="1">
      <c r="A96" s="95" t="str">
        <f>'1. All Data'!B112</f>
        <v>RAD18a</v>
      </c>
      <c r="B96" s="127" t="str">
        <f>'1. All Data'!C112</f>
        <v>Keeping Members informed on Planning Matters</v>
      </c>
      <c r="C96" s="128" t="str">
        <f>'1. All Data'!D112</f>
        <v>9 x Planning Committee Member training sessions</v>
      </c>
      <c r="D96" s="124" t="str">
        <f>'1. All Data'!H112</f>
        <v>On Track to be Achieved</v>
      </c>
      <c r="E96" s="97"/>
      <c r="F96" s="125">
        <f>'1. All Data'!M112</f>
        <v>0</v>
      </c>
      <c r="G96" s="97"/>
      <c r="H96" s="126">
        <f>'1. All Data'!R112</f>
        <v>0</v>
      </c>
      <c r="I96" s="97"/>
      <c r="J96" s="126">
        <f>'1. All Data'!V112</f>
        <v>0</v>
      </c>
    </row>
    <row r="97" spans="1:10" ht="99.75" customHeight="1">
      <c r="A97" s="95" t="str">
        <f>'1. All Data'!B114</f>
        <v>RAD19</v>
      </c>
      <c r="B97" s="127" t="str">
        <f>'1. All Data'!C114</f>
        <v>Monitor Performance of the Local Plan</v>
      </c>
      <c r="C97" s="128" t="str">
        <f>'1. All Data'!D114</f>
        <v>Complete the annual review of the Local Plan</v>
      </c>
      <c r="D97" s="124" t="str">
        <f>'1. All Data'!H114</f>
        <v>On Track to be Achieved</v>
      </c>
      <c r="E97" s="97"/>
      <c r="F97" s="125">
        <f>'1. All Data'!M114</f>
        <v>0</v>
      </c>
      <c r="G97" s="97"/>
      <c r="H97" s="126">
        <f>'1. All Data'!R114</f>
        <v>0</v>
      </c>
      <c r="I97" s="97"/>
      <c r="J97" s="126">
        <f>'1. All Data'!V114</f>
        <v>0</v>
      </c>
    </row>
    <row r="98" spans="1:10" ht="99.75" customHeight="1">
      <c r="A98" s="95" t="str">
        <f>'1. All Data'!B115</f>
        <v>FTM01</v>
      </c>
      <c r="B98" s="127" t="str">
        <f>'1. All Data'!C115</f>
        <v>Delivering Better Services to Support the Cost of Living Crisis</v>
      </c>
      <c r="C98" s="128" t="str">
        <f>'1. All Data'!D115</f>
        <v>Conduct a review of Local Council Tax Reduction Scheme</v>
      </c>
      <c r="D98" s="124" t="str">
        <f>'1. All Data'!H115</f>
        <v>On Track to be Achieved</v>
      </c>
      <c r="E98" s="96"/>
      <c r="F98" s="125">
        <f>'1. All Data'!M115</f>
        <v>0</v>
      </c>
      <c r="G98" s="105"/>
      <c r="H98" s="126">
        <f>'1. All Data'!R115</f>
        <v>0</v>
      </c>
      <c r="I98" s="97"/>
      <c r="J98" s="126">
        <f>'1. All Data'!V115</f>
        <v>0</v>
      </c>
    </row>
    <row r="99" spans="1:10" ht="99.75" customHeight="1">
      <c r="A99" s="95" t="str">
        <f>'1. All Data'!B116</f>
        <v>FTM02</v>
      </c>
      <c r="B99" s="127" t="str">
        <f>'1. All Data'!C116</f>
        <v>Delivering Better Services to Support the Cost of Living Crisis</v>
      </c>
      <c r="C99" s="128" t="str">
        <f>'1. All Data'!D116</f>
        <v xml:space="preserve">Time Taken to Process Benefit New Claims and Change Events (Previously NI 181)
Average time: 4.5 days  </v>
      </c>
      <c r="D99" s="124" t="str">
        <f>'1. All Data'!H116</f>
        <v>On Track to be Achieved</v>
      </c>
      <c r="E99" s="97"/>
      <c r="F99" s="125">
        <f>'1. All Data'!M116</f>
        <v>0</v>
      </c>
      <c r="G99" s="104"/>
      <c r="H99" s="126">
        <f>'1. All Data'!R116</f>
        <v>0</v>
      </c>
      <c r="I99" s="97"/>
      <c r="J99" s="126">
        <f>'1. All Data'!V116</f>
        <v>0</v>
      </c>
    </row>
    <row r="100" spans="1:10" ht="99.75" customHeight="1">
      <c r="A100" s="95" t="str">
        <f>'1. All Data'!B117</f>
        <v>FTM03a</v>
      </c>
      <c r="B100" s="127" t="str">
        <f>'1. All Data'!C117</f>
        <v xml:space="preserve">Continue to Maximise Income Through Effective Collection Processes </v>
      </c>
      <c r="C100" s="128" t="str">
        <f>'1. All Data'!D117</f>
        <v>Former Years Arrears for: 
Council Tax: 2,500,000</v>
      </c>
      <c r="D100" s="124" t="str">
        <f>'1. All Data'!H117</f>
        <v>On Track to be Achieved</v>
      </c>
      <c r="E100" s="97"/>
      <c r="F100" s="125">
        <f>'1. All Data'!M117</f>
        <v>0</v>
      </c>
      <c r="G100" s="97"/>
      <c r="H100" s="126">
        <f>'1. All Data'!R117</f>
        <v>0</v>
      </c>
      <c r="I100" s="97"/>
      <c r="J100" s="126">
        <f>'1. All Data'!V117</f>
        <v>0</v>
      </c>
    </row>
    <row r="101" spans="1:10" ht="99.75" customHeight="1">
      <c r="A101" s="95" t="str">
        <f>'1. All Data'!B120</f>
        <v>FTM04a</v>
      </c>
      <c r="B101" s="127" t="str">
        <f>'1. All Data'!C120</f>
        <v>Working Towards the Reduction of Claimant Error Housing Benefit Overpayments (HBOPs)</v>
      </c>
      <c r="C101" s="128" t="str">
        <f>'1. All Data'!D120</f>
        <v xml:space="preserve">% HBOPs recovered During the Year: 90% </v>
      </c>
      <c r="D101" s="124" t="str">
        <f>'1. All Data'!H120</f>
        <v>On Track to be Achieved</v>
      </c>
      <c r="E101" s="97"/>
      <c r="F101" s="125">
        <f>'1. All Data'!M120</f>
        <v>0</v>
      </c>
      <c r="G101" s="97"/>
      <c r="H101" s="126">
        <f>'1. All Data'!R120</f>
        <v>0</v>
      </c>
      <c r="I101" s="97"/>
      <c r="J101" s="126">
        <f>'1. All Data'!V120</f>
        <v>0</v>
      </c>
    </row>
    <row r="102" spans="1:10" ht="99.75" customHeight="1">
      <c r="A102" s="95" t="str">
        <f>'1. All Data'!B123</f>
        <v>FTM05a</v>
      </c>
      <c r="B102" s="127" t="str">
        <f>'1. All Data'!C123</f>
        <v xml:space="preserve">Continue to Maximise Income Through Effective Collection Processes 
(Previously BV 9) </v>
      </c>
      <c r="C102" s="128" t="str">
        <f>'1. All Data'!D123</f>
        <v xml:space="preserve">Collection Rates of - 
    Council Tax : 98% </v>
      </c>
      <c r="D102" s="124" t="str">
        <f>'1. All Data'!H123</f>
        <v>On Track to be Achieved</v>
      </c>
      <c r="E102" s="96"/>
      <c r="F102" s="125">
        <f>'1. All Data'!M123</f>
        <v>0</v>
      </c>
      <c r="G102" s="97"/>
      <c r="H102" s="126">
        <f>'1. All Data'!R123</f>
        <v>0</v>
      </c>
      <c r="I102" s="97"/>
      <c r="J102" s="126">
        <f>'1. All Data'!V123</f>
        <v>0</v>
      </c>
    </row>
    <row r="103" spans="1:10" ht="99.75" customHeight="1">
      <c r="A103" s="95" t="str">
        <f>'1. All Data'!B125</f>
        <v>FTM06</v>
      </c>
      <c r="B103" s="127" t="str">
        <f>'1. All Data'!C125</f>
        <v>Improving Financial Stewardship</v>
      </c>
      <c r="C103" s="128" t="str">
        <f>'1. All Data'!D125</f>
        <v>Approve the revised Treasury Management Strategy</v>
      </c>
      <c r="D103" s="124" t="str">
        <f>'1. All Data'!H125</f>
        <v>Not Yet Due</v>
      </c>
      <c r="E103" s="96"/>
      <c r="F103" s="125">
        <f>'1. All Data'!M125</f>
        <v>0</v>
      </c>
      <c r="G103" s="97"/>
      <c r="H103" s="126">
        <f>'1. All Data'!R125</f>
        <v>0</v>
      </c>
      <c r="I103" s="97"/>
      <c r="J103" s="126">
        <f>'1. All Data'!V125</f>
        <v>0</v>
      </c>
    </row>
    <row r="104" spans="1:10" ht="99.75" customHeight="1">
      <c r="A104" s="95" t="str">
        <f>'1. All Data'!B126</f>
        <v>FTM07</v>
      </c>
      <c r="B104" s="127" t="str">
        <f>'1. All Data'!C126</f>
        <v>Improving Financial Stewardship</v>
      </c>
      <c r="C104" s="128" t="str">
        <f>'1. All Data'!D126</f>
        <v>Approve the revised Medium Term Financial Strategy</v>
      </c>
      <c r="D104" s="124" t="str">
        <f>'1. All Data'!H126</f>
        <v>Not Yet Due</v>
      </c>
      <c r="E104" s="97"/>
      <c r="F104" s="125">
        <f>'1. All Data'!M126</f>
        <v>0</v>
      </c>
      <c r="G104" s="97"/>
      <c r="H104" s="126">
        <f>'1. All Data'!R126</f>
        <v>0</v>
      </c>
      <c r="I104" s="97"/>
      <c r="J104" s="126">
        <f>'1. All Data'!V126</f>
        <v>0</v>
      </c>
    </row>
    <row r="105" spans="1:10" ht="99.75" customHeight="1">
      <c r="A105" s="95" t="e">
        <f>'1. All Data'!#REF!</f>
        <v>#REF!</v>
      </c>
      <c r="B105" s="127" t="e">
        <f>'1. All Data'!#REF!</f>
        <v>#REF!</v>
      </c>
      <c r="C105" s="128" t="e">
        <f>'1. All Data'!#REF!</f>
        <v>#REF!</v>
      </c>
      <c r="D105" s="124" t="e">
        <f>'1. All Data'!#REF!</f>
        <v>#REF!</v>
      </c>
      <c r="E105" s="97"/>
      <c r="F105" s="125" t="e">
        <f>'1. All Data'!#REF!</f>
        <v>#REF!</v>
      </c>
      <c r="G105" s="97"/>
      <c r="H105" s="126" t="e">
        <f>'1. All Data'!#REF!</f>
        <v>#REF!</v>
      </c>
      <c r="I105" s="97"/>
      <c r="J105" s="126" t="e">
        <f>'1. All Data'!#REF!</f>
        <v>#REF!</v>
      </c>
    </row>
    <row r="106" spans="1:10" ht="99.75" customHeight="1">
      <c r="A106" s="95" t="e">
        <f>'1. All Data'!#REF!</f>
        <v>#REF!</v>
      </c>
      <c r="B106" s="127" t="e">
        <f>'1. All Data'!#REF!</f>
        <v>#REF!</v>
      </c>
      <c r="C106" s="128" t="e">
        <f>'1. All Data'!#REF!</f>
        <v>#REF!</v>
      </c>
      <c r="D106" s="124" t="e">
        <f>'1. All Data'!#REF!</f>
        <v>#REF!</v>
      </c>
      <c r="E106" s="97"/>
      <c r="F106" s="125" t="e">
        <f>'1. All Data'!#REF!</f>
        <v>#REF!</v>
      </c>
      <c r="G106" s="97"/>
      <c r="H106" s="126" t="e">
        <f>'1. All Data'!#REF!</f>
        <v>#REF!</v>
      </c>
      <c r="I106" s="97"/>
      <c r="J106" s="126" t="e">
        <f>'1. All Data'!#REF!</f>
        <v>#REF!</v>
      </c>
    </row>
    <row r="107" spans="1:10" ht="99.75" customHeight="1">
      <c r="A107" s="95" t="e">
        <f>'1. All Data'!#REF!</f>
        <v>#REF!</v>
      </c>
      <c r="B107" s="127" t="e">
        <f>'1. All Data'!#REF!</f>
        <v>#REF!</v>
      </c>
      <c r="C107" s="128" t="e">
        <f>'1. All Data'!#REF!</f>
        <v>#REF!</v>
      </c>
      <c r="D107" s="124" t="e">
        <f>'1. All Data'!#REF!</f>
        <v>#REF!</v>
      </c>
      <c r="E107" s="97"/>
      <c r="F107" s="125" t="e">
        <f>'1. All Data'!#REF!</f>
        <v>#REF!</v>
      </c>
      <c r="G107" s="97"/>
      <c r="H107" s="126" t="e">
        <f>'1. All Data'!#REF!</f>
        <v>#REF!</v>
      </c>
      <c r="I107" s="97"/>
      <c r="J107" s="126" t="e">
        <f>'1. All Data'!#REF!</f>
        <v>#REF!</v>
      </c>
    </row>
    <row r="108" spans="1:10" ht="99.75" customHeight="1">
      <c r="A108" s="95" t="e">
        <f>'1. All Data'!#REF!</f>
        <v>#REF!</v>
      </c>
      <c r="B108" s="127" t="e">
        <f>'1. All Data'!#REF!</f>
        <v>#REF!</v>
      </c>
      <c r="C108" s="128" t="e">
        <f>'1. All Data'!#REF!</f>
        <v>#REF!</v>
      </c>
      <c r="D108" s="124" t="e">
        <f>'1. All Data'!#REF!</f>
        <v>#REF!</v>
      </c>
      <c r="E108" s="97"/>
      <c r="F108" s="125" t="e">
        <f>'1. All Data'!#REF!</f>
        <v>#REF!</v>
      </c>
      <c r="G108" s="97"/>
      <c r="H108" s="126" t="e">
        <f>'1. All Data'!#REF!</f>
        <v>#REF!</v>
      </c>
      <c r="I108" s="97"/>
      <c r="J108" s="126" t="e">
        <f>'1. All Data'!#REF!</f>
        <v>#REF!</v>
      </c>
    </row>
    <row r="109" spans="1:10" ht="99.75" customHeight="1">
      <c r="A109" s="95" t="e">
        <f>'1. All Data'!#REF!</f>
        <v>#REF!</v>
      </c>
      <c r="B109" s="127" t="e">
        <f>'1. All Data'!#REF!</f>
        <v>#REF!</v>
      </c>
      <c r="C109" s="128" t="e">
        <f>'1. All Data'!#REF!</f>
        <v>#REF!</v>
      </c>
      <c r="D109" s="124" t="e">
        <f>'1. All Data'!#REF!</f>
        <v>#REF!</v>
      </c>
      <c r="E109" s="97"/>
      <c r="F109" s="125" t="e">
        <f>'1. All Data'!#REF!</f>
        <v>#REF!</v>
      </c>
      <c r="G109" s="97"/>
      <c r="H109" s="126" t="e">
        <f>'1. All Data'!#REF!</f>
        <v>#REF!</v>
      </c>
      <c r="I109" s="97"/>
      <c r="J109" s="126" t="e">
        <f>'1. All Data'!#REF!</f>
        <v>#REF!</v>
      </c>
    </row>
    <row r="110" spans="1:10" ht="99.75" customHeight="1">
      <c r="A110" s="95" t="e">
        <f>'1. All Data'!#REF!</f>
        <v>#REF!</v>
      </c>
      <c r="B110" s="127" t="e">
        <f>'1. All Data'!#REF!</f>
        <v>#REF!</v>
      </c>
      <c r="C110" s="128" t="e">
        <f>'1. All Data'!#REF!</f>
        <v>#REF!</v>
      </c>
      <c r="D110" s="124" t="e">
        <f>'1. All Data'!#REF!</f>
        <v>#REF!</v>
      </c>
      <c r="E110" s="96"/>
      <c r="F110" s="125" t="e">
        <f>'1. All Data'!#REF!</f>
        <v>#REF!</v>
      </c>
      <c r="G110" s="97"/>
      <c r="H110" s="126" t="e">
        <f>'1. All Data'!#REF!</f>
        <v>#REF!</v>
      </c>
      <c r="I110" s="104"/>
      <c r="J110" s="126" t="e">
        <f>'1. All Data'!#REF!</f>
        <v>#REF!</v>
      </c>
    </row>
    <row r="111" spans="1:10" s="98" customFormat="1">
      <c r="C111" s="122"/>
    </row>
    <row r="112" spans="1:10" s="98" customFormat="1">
      <c r="C112" s="122"/>
    </row>
    <row r="113" spans="3:3" s="98" customFormat="1">
      <c r="C113" s="122"/>
    </row>
    <row r="114" spans="3:3" s="98" customFormat="1">
      <c r="C114" s="122"/>
    </row>
    <row r="115" spans="3:3" s="98" customFormat="1">
      <c r="C115" s="122"/>
    </row>
    <row r="116" spans="3:3" s="98" customFormat="1">
      <c r="C116" s="122"/>
    </row>
    <row r="117" spans="3:3" s="98" customFormat="1">
      <c r="C117" s="122"/>
    </row>
    <row r="118" spans="3:3" s="98" customFormat="1">
      <c r="C118" s="122"/>
    </row>
    <row r="119" spans="3:3" s="98" customFormat="1">
      <c r="C119" s="122"/>
    </row>
    <row r="120" spans="3:3" s="98" customFormat="1">
      <c r="C120" s="122"/>
    </row>
    <row r="121" spans="3:3" s="98" customFormat="1">
      <c r="C121" s="122"/>
    </row>
    <row r="122" spans="3:3" s="98" customFormat="1">
      <c r="C122" s="122"/>
    </row>
    <row r="123" spans="3:3" s="98" customFormat="1">
      <c r="C123" s="122"/>
    </row>
    <row r="124" spans="3:3" s="98" customFormat="1">
      <c r="C124" s="122"/>
    </row>
    <row r="125" spans="3:3" s="98" customFormat="1">
      <c r="C125" s="122"/>
    </row>
    <row r="126" spans="3:3" s="98" customFormat="1">
      <c r="C126" s="122"/>
    </row>
    <row r="127" spans="3:3" s="98" customFormat="1">
      <c r="C127" s="122"/>
    </row>
    <row r="128" spans="3:3" s="98" customFormat="1">
      <c r="C128" s="122"/>
    </row>
    <row r="129" spans="3:3">
      <c r="C129" s="122"/>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4"/>
      <c r="B1" s="135"/>
      <c r="C1" s="136"/>
    </row>
    <row r="2" spans="1:3">
      <c r="A2" s="137"/>
      <c r="B2" s="138"/>
      <c r="C2" s="139"/>
    </row>
    <row r="3" spans="1:3">
      <c r="A3" s="137"/>
      <c r="B3" s="138"/>
      <c r="C3" s="139"/>
    </row>
    <row r="4" spans="1:3">
      <c r="A4" s="137"/>
      <c r="B4" s="138"/>
      <c r="C4" s="139"/>
    </row>
    <row r="5" spans="1:3">
      <c r="A5" s="137"/>
      <c r="B5" s="138"/>
      <c r="C5" s="139"/>
    </row>
    <row r="6" spans="1:3">
      <c r="A6" s="137"/>
      <c r="B6" s="138"/>
      <c r="C6" s="139"/>
    </row>
    <row r="7" spans="1:3">
      <c r="A7" s="137"/>
      <c r="B7" s="138"/>
      <c r="C7" s="139"/>
    </row>
    <row r="8" spans="1:3">
      <c r="A8" s="137"/>
      <c r="B8" s="138"/>
      <c r="C8" s="139"/>
    </row>
    <row r="9" spans="1:3">
      <c r="A9" s="137"/>
      <c r="B9" s="138"/>
      <c r="C9" s="139"/>
    </row>
    <row r="10" spans="1:3">
      <c r="A10" s="137"/>
      <c r="B10" s="138"/>
      <c r="C10" s="139"/>
    </row>
    <row r="11" spans="1:3">
      <c r="A11" s="137"/>
      <c r="B11" s="138"/>
      <c r="C11" s="139"/>
    </row>
    <row r="12" spans="1:3">
      <c r="A12" s="137"/>
      <c r="B12" s="138"/>
      <c r="C12" s="139"/>
    </row>
    <row r="13" spans="1:3">
      <c r="A13" s="137"/>
      <c r="B13" s="138"/>
      <c r="C13" s="139"/>
    </row>
    <row r="14" spans="1:3">
      <c r="A14" s="137"/>
      <c r="B14" s="138"/>
      <c r="C14" s="139"/>
    </row>
    <row r="15" spans="1:3">
      <c r="A15" s="137"/>
      <c r="B15" s="138"/>
      <c r="C15" s="139"/>
    </row>
    <row r="16" spans="1:3">
      <c r="A16" s="137"/>
      <c r="B16" s="138"/>
      <c r="C16" s="139"/>
    </row>
    <row r="17" spans="1:3">
      <c r="A17" s="137"/>
      <c r="B17" s="138"/>
      <c r="C17" s="139"/>
    </row>
    <row r="18" spans="1:3">
      <c r="A18" s="140"/>
      <c r="B18" s="141"/>
      <c r="C18" s="14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tabSelected="1" zoomScale="60" zoomScaleNormal="60" workbookViewId="0">
      <selection activeCell="B2" sqref="B2:B3"/>
    </sheetView>
  </sheetViews>
  <sheetFormatPr defaultColWidth="9.33203125" defaultRowHeight="14.4"/>
  <cols>
    <col min="1" max="1" width="9.33203125" style="30"/>
    <col min="2" max="2" width="49.5546875" style="4" customWidth="1"/>
    <col min="3" max="3" width="27.33203125" style="4" customWidth="1"/>
    <col min="4" max="4" width="27.33203125" style="53" customWidth="1"/>
    <col min="5" max="8" width="27.33203125" style="4" customWidth="1"/>
    <col min="9" max="40" width="9.33203125" style="30"/>
    <col min="41" max="16384" width="9.33203125" style="4"/>
  </cols>
  <sheetData>
    <row r="1" spans="1:40" s="30" customFormat="1" ht="33" customHeight="1" thickBot="1">
      <c r="B1" s="31"/>
      <c r="D1" s="32"/>
    </row>
    <row r="2" spans="1:40" ht="40.5" customHeight="1" thickTop="1" thickBot="1">
      <c r="B2" s="362" t="s">
        <v>430</v>
      </c>
      <c r="C2" s="364" t="s">
        <v>55</v>
      </c>
      <c r="D2" s="365"/>
      <c r="E2" s="366" t="s">
        <v>56</v>
      </c>
      <c r="F2" s="367"/>
      <c r="G2" s="368" t="s">
        <v>57</v>
      </c>
      <c r="H2" s="368"/>
    </row>
    <row r="3" spans="1:40" ht="50.25" customHeight="1" thickTop="1" thickBot="1">
      <c r="B3" s="363"/>
      <c r="C3" s="33" t="s">
        <v>58</v>
      </c>
      <c r="D3" s="34" t="s">
        <v>59</v>
      </c>
      <c r="E3" s="35" t="s">
        <v>58</v>
      </c>
      <c r="F3" s="36" t="s">
        <v>59</v>
      </c>
      <c r="G3" s="54" t="s">
        <v>58</v>
      </c>
      <c r="H3" s="55" t="s">
        <v>59</v>
      </c>
    </row>
    <row r="4" spans="1:40" s="41" customFormat="1" ht="22.2"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Priority'!C5+'2a. % By Priority'!C6</f>
        <v>82</v>
      </c>
      <c r="D5" s="45">
        <f>'2a. % By Priority'!G5</f>
        <v>0.93181818181818188</v>
      </c>
      <c r="E5" s="46">
        <f>'2a. % By Priority'!C7</f>
        <v>6</v>
      </c>
      <c r="F5" s="36">
        <f>'2a. % By Priority'!G7</f>
        <v>6.8181818181818177E-2</v>
      </c>
      <c r="G5" s="56">
        <f>'2a. % By Priority'!C10+'2a. % By Priority'!C11</f>
        <v>0</v>
      </c>
      <c r="H5" s="57">
        <f>'2a. % By Priority'!G10</f>
        <v>0</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2.2"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431</v>
      </c>
      <c r="C7" s="44">
        <f>'2a. % By Priority'!C23+'2a. % By Priority'!C24</f>
        <v>3</v>
      </c>
      <c r="D7" s="45">
        <f>'2a. % By Priority'!G23</f>
        <v>1</v>
      </c>
      <c r="E7" s="52">
        <f>'2a. % By Priority'!C25</f>
        <v>0</v>
      </c>
      <c r="F7" s="36">
        <f>'2a. % By Priority'!G25</f>
        <v>0</v>
      </c>
      <c r="G7" s="56">
        <f>'2a. % By Priority'!C28+'2a. % By Priority'!C29</f>
        <v>0</v>
      </c>
      <c r="H7" s="57">
        <f>'2a. % By Priority'!G28</f>
        <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422</v>
      </c>
      <c r="C8" s="44">
        <f>'2a. % By Priority'!C41+'2a. % By Priority'!C42</f>
        <v>6</v>
      </c>
      <c r="D8" s="45">
        <f>'2a. % By Priority'!G41</f>
        <v>1</v>
      </c>
      <c r="E8" s="52">
        <f>'2a. % By Priority'!C43</f>
        <v>0</v>
      </c>
      <c r="F8" s="36">
        <f>'2a. % By Priority'!G43</f>
        <v>0</v>
      </c>
      <c r="G8" s="56">
        <f>'2a. % By Priority'!C46+'2a. % By Priority'!C47</f>
        <v>0</v>
      </c>
      <c r="H8" s="57">
        <f>'2a. % By Priority'!G46</f>
        <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423</v>
      </c>
      <c r="C9" s="44">
        <f>'2a. % By Priority'!C59+'2a. % By Priority'!C60</f>
        <v>6</v>
      </c>
      <c r="D9" s="45">
        <f>'2a. % By Priority'!G59</f>
        <v>0.8571428571428571</v>
      </c>
      <c r="E9" s="52">
        <f>'2a. % By Priority'!C61</f>
        <v>1</v>
      </c>
      <c r="F9" s="36">
        <f>'2a. % By Priority'!G61</f>
        <v>0.14285714285714285</v>
      </c>
      <c r="G9" s="56">
        <f>'2a. % By Priority'!C64+'2a. % By Priority'!C65</f>
        <v>0</v>
      </c>
      <c r="H9" s="57">
        <f>'2a. % By Priority'!G64</f>
        <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306" t="s">
        <v>424</v>
      </c>
      <c r="C10" s="44">
        <f>'2a. % By Priority'!C77+'2a. % By Priority'!C78</f>
        <v>3</v>
      </c>
      <c r="D10" s="45">
        <f>'2a. % By Priority'!G77</f>
        <v>1</v>
      </c>
      <c r="E10" s="52">
        <f>'2a. % By Priority'!C79</f>
        <v>0</v>
      </c>
      <c r="F10" s="36">
        <f>'2a. % By Priority'!G79</f>
        <v>0</v>
      </c>
      <c r="G10" s="56">
        <f>'2a. % By Priority'!C82+'2a. % By Priority'!C83</f>
        <v>0</v>
      </c>
      <c r="H10" s="57">
        <f>'2a. % By Priority'!G82</f>
        <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306" t="s">
        <v>425</v>
      </c>
      <c r="C11" s="44">
        <f>'2a. % By Priority'!C95+'2a. % By Priority'!C96</f>
        <v>3</v>
      </c>
      <c r="D11" s="45">
        <f>'2a. % By Priority'!G95</f>
        <v>1</v>
      </c>
      <c r="E11" s="52">
        <f>'2a. % By Priority'!C97</f>
        <v>0</v>
      </c>
      <c r="F11" s="36">
        <f>'2a. % By Priority'!G97</f>
        <v>0</v>
      </c>
      <c r="G11" s="56">
        <f>'2a. % By Priority'!C100+'2a. % By Priority'!C101</f>
        <v>0</v>
      </c>
      <c r="H11" s="57">
        <f>'2a. % By Priority'!G100</f>
        <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2.2" thickTop="1" thickBot="1">
      <c r="A12" s="42"/>
      <c r="B12" s="48" t="s">
        <v>435</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213</v>
      </c>
      <c r="C13" s="60">
        <f>'3a. % by Portfolio'!C5+'3a. % by Portfolio'!C6</f>
        <v>17</v>
      </c>
      <c r="D13" s="61">
        <f>'3a. % by Portfolio'!G5</f>
        <v>0.94444444444444442</v>
      </c>
      <c r="E13" s="62">
        <f>'3a. % by Portfolio'!C7</f>
        <v>1</v>
      </c>
      <c r="F13" s="63">
        <f>'3a. % by Portfolio'!G7</f>
        <v>5.5555555555555552E-2</v>
      </c>
      <c r="G13" s="64">
        <f>'3a. % by Portfolio'!C10+'3a. % by Portfolio'!C11</f>
        <v>0</v>
      </c>
      <c r="H13" s="65">
        <f>'3a. % by Portfolio'!G10</f>
        <v>0</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118</v>
      </c>
      <c r="C14" s="60">
        <f>'3a. % by Portfolio'!C24+'3a. % by Portfolio'!C25</f>
        <v>15</v>
      </c>
      <c r="D14" s="61">
        <f>'3a. % by Portfolio'!G24</f>
        <v>0.83333333333333326</v>
      </c>
      <c r="E14" s="66">
        <f>'3a. % by Portfolio'!C26</f>
        <v>3</v>
      </c>
      <c r="F14" s="63">
        <f>'3a. % by Portfolio'!G26</f>
        <v>0.16666666666666666</v>
      </c>
      <c r="G14" s="64">
        <f>'3a. % by Portfolio'!C29+'3a. % by Portfolio'!C30</f>
        <v>0</v>
      </c>
      <c r="H14" s="65">
        <f>'3a. % by Portfolio'!G29</f>
        <v>0</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215</v>
      </c>
      <c r="C15" s="60">
        <f>'3a. % by Portfolio'!C42+'3a. % by Portfolio'!C43</f>
        <v>9</v>
      </c>
      <c r="D15" s="61">
        <f>'3a. % by Portfolio'!G42</f>
        <v>1</v>
      </c>
      <c r="E15" s="66">
        <f>'3a. % by Portfolio'!C44</f>
        <v>0</v>
      </c>
      <c r="F15" s="63">
        <f>'3a. % by Portfolio'!G44</f>
        <v>0</v>
      </c>
      <c r="G15" s="64">
        <f>'3a. % by Portfolio'!C47+'3a. % by Portfolio'!C48</f>
        <v>0</v>
      </c>
      <c r="H15" s="65">
        <f>'3a. % by Portfolio'!G47</f>
        <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434</v>
      </c>
      <c r="C16" s="60">
        <f>'3a. % by Portfolio'!C60+'3a. % by Portfolio'!C61</f>
        <v>9</v>
      </c>
      <c r="D16" s="61">
        <f>'3a. % by Portfolio'!G60</f>
        <v>1</v>
      </c>
      <c r="E16" s="66">
        <f>'3a. % by Portfolio'!C62</f>
        <v>0</v>
      </c>
      <c r="F16" s="63">
        <f>'3a. % by Portfolio'!G62</f>
        <v>0</v>
      </c>
      <c r="G16" s="64">
        <f>'3a. % by Portfolio'!C65+'3a. % by Portfolio'!C66</f>
        <v>0</v>
      </c>
      <c r="H16" s="65">
        <f>'3a. % by Portfolio'!G65</f>
        <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212</v>
      </c>
      <c r="C17" s="60">
        <f>'3a. % by Portfolio'!C78+'3a. % by Portfolio'!C79</f>
        <v>16</v>
      </c>
      <c r="D17" s="61">
        <f>'3a. % by Portfolio'!G78</f>
        <v>0.88888888888888884</v>
      </c>
      <c r="E17" s="66">
        <f>'3a. % by Portfolio'!C80</f>
        <v>2</v>
      </c>
      <c r="F17" s="63">
        <f>'3a. % by Portfolio'!G80</f>
        <v>0.1111111111111111</v>
      </c>
      <c r="G17" s="64">
        <f>'3a. % by Portfolio'!C83+'3a. % by Portfolio'!C84</f>
        <v>0</v>
      </c>
      <c r="H17" s="65">
        <f>'3a. % by Portfolio'!G83</f>
        <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117</v>
      </c>
      <c r="C18" s="60">
        <f>'3a. % by Portfolio'!C96+'3a. % by Portfolio'!C97</f>
        <v>16</v>
      </c>
      <c r="D18" s="61">
        <f>'3a. % by Portfolio'!G96</f>
        <v>1</v>
      </c>
      <c r="E18" s="66">
        <f>'3a. % by Portfolio'!C98</f>
        <v>0</v>
      </c>
      <c r="F18" s="63">
        <f>'3a. % by Portfolio'!G98</f>
        <v>0</v>
      </c>
      <c r="G18" s="64">
        <f>'3a. % by Portfolio'!C101+'3a. % by Portfolio'!C102</f>
        <v>0</v>
      </c>
      <c r="H18" s="65">
        <f>'3a. % by Portfolio'!G101</f>
        <v>0</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 thickTop="1">
      <c r="D19" s="32"/>
      <c r="E19" s="339"/>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workbookViewId="0"/>
  </sheetViews>
  <sheetFormatPr defaultColWidth="9.33203125" defaultRowHeight="14.4"/>
  <cols>
    <col min="1" max="1" width="9.33203125" style="30"/>
    <col min="2" max="2" width="49.5546875" style="4" customWidth="1"/>
    <col min="3" max="3" width="27.33203125" style="4" customWidth="1"/>
    <col min="4" max="4" width="27.33203125" style="53" customWidth="1"/>
    <col min="5" max="8" width="27.33203125" style="4" customWidth="1"/>
    <col min="9" max="40" width="9.33203125" style="30"/>
    <col min="41" max="16384" width="9.33203125" style="4"/>
  </cols>
  <sheetData>
    <row r="1" spans="1:40" s="30" customFormat="1" ht="33" customHeight="1" thickBot="1">
      <c r="B1" s="31"/>
      <c r="D1" s="32"/>
    </row>
    <row r="2" spans="1:40" ht="40.5" customHeight="1" thickTop="1" thickBot="1">
      <c r="B2" s="362" t="s">
        <v>440</v>
      </c>
      <c r="C2" s="364" t="s">
        <v>55</v>
      </c>
      <c r="D2" s="365"/>
      <c r="E2" s="366" t="s">
        <v>56</v>
      </c>
      <c r="F2" s="367"/>
      <c r="G2" s="368" t="s">
        <v>57</v>
      </c>
      <c r="H2" s="368"/>
    </row>
    <row r="3" spans="1:40" ht="50.25" customHeight="1" thickTop="1" thickBot="1">
      <c r="B3" s="363"/>
      <c r="C3" s="33" t="s">
        <v>58</v>
      </c>
      <c r="D3" s="34" t="s">
        <v>59</v>
      </c>
      <c r="E3" s="35" t="s">
        <v>58</v>
      </c>
      <c r="F3" s="36" t="s">
        <v>59</v>
      </c>
      <c r="G3" s="54" t="s">
        <v>58</v>
      </c>
      <c r="H3" s="55" t="s">
        <v>59</v>
      </c>
    </row>
    <row r="4" spans="1:40" s="41" customFormat="1" ht="22.2"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Priority'!J5+'2a. % By Priority'!J6</f>
        <v>0</v>
      </c>
      <c r="D5" s="45" t="e">
        <f>'2a. % By Priority'!N5</f>
        <v>#DIV/0!</v>
      </c>
      <c r="E5" s="46">
        <f>'2a. % By Priority'!J7</f>
        <v>0</v>
      </c>
      <c r="F5" s="36" t="e">
        <f>'2a. % By Priority'!N7</f>
        <v>#DIV/0!</v>
      </c>
      <c r="G5" s="56">
        <f>'2a. % By Priority'!J10+'2a. % By Priority'!J11</f>
        <v>0</v>
      </c>
      <c r="H5" s="57" t="e">
        <f>'2a. % By Priority'!N10</f>
        <v>#DIV/0!</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2.2"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431</v>
      </c>
      <c r="C7" s="44">
        <f>'2a. % By Priority'!J23+'2a. % By Priority'!J24</f>
        <v>0</v>
      </c>
      <c r="D7" s="45" t="e">
        <f>'2a. % By Priority'!N23</f>
        <v>#DIV/0!</v>
      </c>
      <c r="E7" s="52">
        <f>'2a. % By Priority'!J25</f>
        <v>0</v>
      </c>
      <c r="F7" s="36" t="e">
        <f>'2a. % By Priority'!N25</f>
        <v>#DIV/0!</v>
      </c>
      <c r="G7" s="56">
        <f>'2a. % By Priority'!J28+'2a. % By Priority'!J29</f>
        <v>0</v>
      </c>
      <c r="H7" s="57" t="e">
        <f>'2a. % By Priority'!N28</f>
        <v>#DIV/0!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422</v>
      </c>
      <c r="C8" s="44">
        <f>'2a. % By Priority'!J41+'2a. % By Priority'!J42</f>
        <v>0</v>
      </c>
      <c r="D8" s="45" t="e">
        <f>'2a. % By Priority'!N41</f>
        <v>#DIV/0!</v>
      </c>
      <c r="E8" s="52">
        <f>'2a. % By Priority'!J43</f>
        <v>0</v>
      </c>
      <c r="F8" s="36" t="e">
        <f>'2a. % By Priority'!N43</f>
        <v>#DIV/0!</v>
      </c>
      <c r="G8" s="56">
        <f>'2a. % By Priority'!J46+'2a. % By Priority'!J47</f>
        <v>0</v>
      </c>
      <c r="H8" s="57" t="e">
        <f>'2a. % By Priority'!N46</f>
        <v>#DIV/0!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423</v>
      </c>
      <c r="C9" s="44">
        <f>'2a. % By Priority'!J59+'2a. % By Priority'!J60</f>
        <v>0</v>
      </c>
      <c r="D9" s="45" t="e">
        <f>'2a. % By Priority'!N59</f>
        <v>#DIV/0!</v>
      </c>
      <c r="E9" s="52">
        <f>'2a. % By Priority'!J61</f>
        <v>0</v>
      </c>
      <c r="F9" s="36" t="e">
        <f>'2a. % By Priority'!N61</f>
        <v>#DIV/0!</v>
      </c>
      <c r="G9" s="56">
        <f>'2a. % By Priority'!J64+'2a. % By Priority'!J65</f>
        <v>0</v>
      </c>
      <c r="H9" s="57" t="e">
        <f>'2a. % By Priority'!N64</f>
        <v>#DIV/0!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306" t="s">
        <v>424</v>
      </c>
      <c r="C10" s="44">
        <f>'2a. % By Priority'!J77+'2a. % By Priority'!J78</f>
        <v>0</v>
      </c>
      <c r="D10" s="45" t="e">
        <f>'2a. % By Priority'!N77</f>
        <v>#DIV/0!</v>
      </c>
      <c r="E10" s="52">
        <f>'2a. % By Priority'!J79</f>
        <v>0</v>
      </c>
      <c r="F10" s="36" t="e">
        <f>'2a. % By Priority'!N79</f>
        <v>#DIV/0!</v>
      </c>
      <c r="G10" s="56">
        <f>'2a. % By Priority'!J82+'2a. % By Priority'!J83</f>
        <v>0</v>
      </c>
      <c r="H10" s="57" t="e">
        <f>'2a. % By Priority'!N82</f>
        <v>#DIV/0!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306" t="s">
        <v>425</v>
      </c>
      <c r="C11" s="44">
        <f>'2a. % By Priority'!J95+'2a. % By Priority'!J96</f>
        <v>0</v>
      </c>
      <c r="D11" s="45" t="e">
        <f>'2a. % By Priority'!N95</f>
        <v>#DIV/0!</v>
      </c>
      <c r="E11" s="52">
        <f>'2a. % By Priority'!J97</f>
        <v>0</v>
      </c>
      <c r="F11" s="36" t="e">
        <f>'2a. % By Priority'!N97</f>
        <v>#DIV/0!</v>
      </c>
      <c r="G11" s="56">
        <f>'2a. % By Priority'!J100+'2a. % By Priority'!J101</f>
        <v>0</v>
      </c>
      <c r="H11" s="57" t="e">
        <f>'2a. % By Priority'!N100</f>
        <v>#DIV/0!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2.2" thickTop="1" thickBot="1">
      <c r="A12" s="42"/>
      <c r="B12" s="48" t="s">
        <v>435</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213</v>
      </c>
      <c r="C13" s="60">
        <f>'3a. % by Portfolio'!J5+'3a. % by Portfolio'!J6</f>
        <v>0</v>
      </c>
      <c r="D13" s="61" t="e">
        <f>'3a. % by Portfolio'!N5</f>
        <v>#DIV/0!</v>
      </c>
      <c r="E13" s="62">
        <f>'3a. % by Portfolio'!J7</f>
        <v>0</v>
      </c>
      <c r="F13" s="63" t="e">
        <f>'3a. % by Portfolio'!N7</f>
        <v>#DIV/0!</v>
      </c>
      <c r="G13" s="64">
        <f>'3a. % by Portfolio'!J10+'3a. % by Portfolio'!J11</f>
        <v>0</v>
      </c>
      <c r="H13" s="65" t="e">
        <f>'3a. % by Portfolio'!N10</f>
        <v>#DIV/0!</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118</v>
      </c>
      <c r="C14" s="60">
        <f>'3a. % by Portfolio'!J24+'3a. % by Portfolio'!J25</f>
        <v>0</v>
      </c>
      <c r="D14" s="61" t="e">
        <f>'3a. % by Portfolio'!N24</f>
        <v>#DIV/0!</v>
      </c>
      <c r="E14" s="66">
        <f>'3a. % by Portfolio'!J26</f>
        <v>0</v>
      </c>
      <c r="F14" s="63" t="e">
        <f>'3a. % by Portfolio'!N26</f>
        <v>#DIV/0!</v>
      </c>
      <c r="G14" s="64">
        <f>'3a. % by Portfolio'!J29+'3a. % by Portfolio'!J30</f>
        <v>0</v>
      </c>
      <c r="H14" s="65" t="e">
        <f>'3a. % by Portfolio'!N29</f>
        <v>#DIV/0!</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215</v>
      </c>
      <c r="C15" s="60">
        <f>'3a. % by Portfolio'!J42+'3a. % by Portfolio'!J43</f>
        <v>0</v>
      </c>
      <c r="D15" s="61" t="e">
        <f>'3a. % by Portfolio'!N42</f>
        <v>#DIV/0!</v>
      </c>
      <c r="E15" s="66">
        <f>'3a. % by Portfolio'!J44</f>
        <v>0</v>
      </c>
      <c r="F15" s="63" t="e">
        <f>'3a. % by Portfolio'!N44</f>
        <v>#DIV/0!</v>
      </c>
      <c r="G15" s="64">
        <f>'3a. % by Portfolio'!J47+'3a. % by Portfolio'!J48</f>
        <v>0</v>
      </c>
      <c r="H15" s="65" t="e">
        <f>'3a. % by Portfolio'!N47</f>
        <v>#DIV/0!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434</v>
      </c>
      <c r="C16" s="60">
        <f>'3a. % by Portfolio'!J60+'3a. % by Portfolio'!J61</f>
        <v>0</v>
      </c>
      <c r="D16" s="61" t="e">
        <f>'3a. % by Portfolio'!N60</f>
        <v>#DIV/0!</v>
      </c>
      <c r="E16" s="66">
        <f>'3a. % by Portfolio'!J62</f>
        <v>0</v>
      </c>
      <c r="F16" s="63" t="e">
        <f>'3a. % by Portfolio'!N62</f>
        <v>#DIV/0!</v>
      </c>
      <c r="G16" s="64">
        <f>'3a. % by Portfolio'!J65+'3a. % by Portfolio'!J66</f>
        <v>0</v>
      </c>
      <c r="H16" s="65" t="e">
        <f>'3a. % by Portfolio'!N65</f>
        <v>#DIV/0!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212</v>
      </c>
      <c r="C17" s="60">
        <f>'3a. % by Portfolio'!J78+'3a. % by Portfolio'!J79</f>
        <v>0</v>
      </c>
      <c r="D17" s="61" t="e">
        <f>'3a. % by Portfolio'!N78</f>
        <v>#DIV/0!</v>
      </c>
      <c r="E17" s="66">
        <f>'3a. % by Portfolio'!J80</f>
        <v>0</v>
      </c>
      <c r="F17" s="63" t="e">
        <f>'3a. % by Portfolio'!N80</f>
        <v>#DIV/0!</v>
      </c>
      <c r="G17" s="64">
        <f>'3a. % by Portfolio'!J83+'3a. % by Portfolio'!J84</f>
        <v>0</v>
      </c>
      <c r="H17" s="65" t="e">
        <f>'3a. % by Portfolio'!N83</f>
        <v>#DIV/0!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117</v>
      </c>
      <c r="C18" s="60">
        <f>'3a. % by Portfolio'!J96+'3a. % by Portfolio'!J97</f>
        <v>0</v>
      </c>
      <c r="D18" s="61" t="e">
        <f>'3a. % by Portfolio'!N96</f>
        <v>#DIV/0!</v>
      </c>
      <c r="E18" s="66">
        <f>'3a. % by Portfolio'!J98</f>
        <v>0</v>
      </c>
      <c r="F18" s="63" t="e">
        <f>'3a. % by Portfolio'!N98</f>
        <v>#DIV/0!</v>
      </c>
      <c r="G18" s="64">
        <f>'3a. % by Portfolio'!J101+'3a. % by Portfolio'!J102</f>
        <v>0</v>
      </c>
      <c r="H18" s="65" t="e">
        <f>'3a. % by Portfolio'!N101</f>
        <v>#DIV/0!</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 thickTop="1">
      <c r="D19" s="32"/>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workbookViewId="0"/>
  </sheetViews>
  <sheetFormatPr defaultColWidth="9.33203125" defaultRowHeight="14.4"/>
  <cols>
    <col min="1" max="1" width="9.33203125" style="30"/>
    <col min="2" max="2" width="49.5546875" style="4" customWidth="1"/>
    <col min="3" max="3" width="27.33203125" style="4" customWidth="1"/>
    <col min="4" max="4" width="27.33203125" style="53" customWidth="1"/>
    <col min="5" max="8" width="27.33203125" style="4" customWidth="1"/>
    <col min="9" max="40" width="9.33203125" style="30"/>
    <col min="41" max="16384" width="9.33203125" style="4"/>
  </cols>
  <sheetData>
    <row r="1" spans="1:40" s="30" customFormat="1" ht="33" customHeight="1" thickBot="1">
      <c r="B1" s="31"/>
      <c r="D1" s="32"/>
    </row>
    <row r="2" spans="1:40" ht="40.5" customHeight="1" thickTop="1" thickBot="1">
      <c r="B2" s="362" t="s">
        <v>441</v>
      </c>
      <c r="C2" s="364" t="s">
        <v>55</v>
      </c>
      <c r="D2" s="365"/>
      <c r="E2" s="366" t="s">
        <v>56</v>
      </c>
      <c r="F2" s="367"/>
      <c r="G2" s="368" t="s">
        <v>57</v>
      </c>
      <c r="H2" s="368"/>
    </row>
    <row r="3" spans="1:40" ht="50.25" customHeight="1" thickTop="1" thickBot="1">
      <c r="B3" s="363"/>
      <c r="C3" s="33" t="s">
        <v>58</v>
      </c>
      <c r="D3" s="34" t="s">
        <v>59</v>
      </c>
      <c r="E3" s="35" t="s">
        <v>58</v>
      </c>
      <c r="F3" s="36" t="s">
        <v>59</v>
      </c>
      <c r="G3" s="54" t="s">
        <v>58</v>
      </c>
      <c r="H3" s="55" t="s">
        <v>59</v>
      </c>
    </row>
    <row r="4" spans="1:40" s="41" customFormat="1" ht="22.2"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Priority'!Q5+'2a. % By Priority'!Q6</f>
        <v>0</v>
      </c>
      <c r="D5" s="45" t="e">
        <f>'2a. % By Priority'!U5</f>
        <v>#DIV/0!</v>
      </c>
      <c r="E5" s="46">
        <f>'2a. % By Priority'!Q7</f>
        <v>0</v>
      </c>
      <c r="F5" s="36" t="e">
        <f>'2a. % By Priority'!U7</f>
        <v>#DIV/0!</v>
      </c>
      <c r="G5" s="56">
        <f>'2a. % By Priority'!Q10+'2a. % By Priority'!Q11</f>
        <v>0</v>
      </c>
      <c r="H5" s="57" t="e">
        <f>'2a. % By Priority'!U10</f>
        <v>#DIV/0!</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2.2"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431</v>
      </c>
      <c r="C7" s="44">
        <f>'2a. % By Priority'!Q23+'2a. % By Priority'!Q24</f>
        <v>0</v>
      </c>
      <c r="D7" s="45" t="e">
        <f>'2a. % By Priority'!U23</f>
        <v>#DIV/0!</v>
      </c>
      <c r="E7" s="52">
        <f>'2a. % By Priority'!Q25</f>
        <v>0</v>
      </c>
      <c r="F7" s="36" t="e">
        <f>'2a. % By Priority'!U25</f>
        <v>#DIV/0!</v>
      </c>
      <c r="G7" s="56">
        <f>'2a. % By Priority'!Q28+'2a. % By Priority'!Q29</f>
        <v>0</v>
      </c>
      <c r="H7" s="57" t="e">
        <f>'2a. % By Priority'!U28</f>
        <v>#DIV/0!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422</v>
      </c>
      <c r="C8" s="44">
        <f>'2a. % By Priority'!Q41+'2a. % By Priority'!Q42</f>
        <v>0</v>
      </c>
      <c r="D8" s="45" t="e">
        <f>'2a. % By Priority'!U41</f>
        <v>#DIV/0!</v>
      </c>
      <c r="E8" s="52">
        <f>'2a. % By Priority'!Q43</f>
        <v>0</v>
      </c>
      <c r="F8" s="36" t="e">
        <f>'2a. % By Priority'!U43</f>
        <v>#DIV/0!</v>
      </c>
      <c r="G8" s="56">
        <f>'2a. % By Priority'!Q46+'2a. % By Priority'!Q47</f>
        <v>0</v>
      </c>
      <c r="H8" s="57" t="e">
        <f>'2a. % By Priority'!U46</f>
        <v>#DIV/0!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423</v>
      </c>
      <c r="C9" s="44">
        <f>'2a. % By Priority'!Q59+'2a. % By Priority'!Q60</f>
        <v>0</v>
      </c>
      <c r="D9" s="45" t="e">
        <f>'2a. % By Priority'!U59</f>
        <v>#DIV/0!</v>
      </c>
      <c r="E9" s="52">
        <f>'2a. % By Priority'!Q61</f>
        <v>0</v>
      </c>
      <c r="F9" s="36" t="e">
        <f>'2a. % By Priority'!U61</f>
        <v>#DIV/0!</v>
      </c>
      <c r="G9" s="56">
        <f>'2a. % By Priority'!Q64+'2a. % By Priority'!Q65</f>
        <v>0</v>
      </c>
      <c r="H9" s="57" t="e">
        <f>'2a. % By Priority'!U64</f>
        <v>#DIV/0!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306" t="s">
        <v>424</v>
      </c>
      <c r="C10" s="44">
        <f>'2a. % By Priority'!Q77+'2a. % By Priority'!Q78</f>
        <v>0</v>
      </c>
      <c r="D10" s="45" t="e">
        <f>'2a. % By Priority'!U77</f>
        <v>#DIV/0!</v>
      </c>
      <c r="E10" s="52">
        <f>'2a. % By Priority'!Q79</f>
        <v>0</v>
      </c>
      <c r="F10" s="36" t="e">
        <f>'2a. % By Priority'!U79</f>
        <v>#DIV/0!</v>
      </c>
      <c r="G10" s="56">
        <f>'2a. % By Priority'!Q82+'2a. % By Priority'!Q83</f>
        <v>0</v>
      </c>
      <c r="H10" s="57" t="e">
        <f>'2a. % By Priority'!U82</f>
        <v>#DIV/0!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306" t="s">
        <v>425</v>
      </c>
      <c r="C11" s="44">
        <f>'2a. % By Priority'!Q95+'2a. % By Priority'!Q96</f>
        <v>0</v>
      </c>
      <c r="D11" s="45" t="e">
        <f>'2a. % By Priority'!U95</f>
        <v>#DIV/0!</v>
      </c>
      <c r="E11" s="52">
        <f>'2a. % By Priority'!Q97</f>
        <v>0</v>
      </c>
      <c r="F11" s="36" t="e">
        <f>'2a. % By Priority'!U97</f>
        <v>#DIV/0!</v>
      </c>
      <c r="G11" s="56">
        <f>'2a. % By Priority'!Q100+'2a. % By Priority'!Q101</f>
        <v>0</v>
      </c>
      <c r="H11" s="57" t="e">
        <f>'2a. % By Priority'!U100</f>
        <v>#DIV/0!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2.2" thickTop="1" thickBot="1">
      <c r="A12" s="42"/>
      <c r="B12" s="48" t="s">
        <v>435</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213</v>
      </c>
      <c r="C13" s="60">
        <f>'3a. % by Portfolio'!Q5+'3a. % by Portfolio'!Q6</f>
        <v>0</v>
      </c>
      <c r="D13" s="61" t="e">
        <f>'3a. % by Portfolio'!U5</f>
        <v>#DIV/0!</v>
      </c>
      <c r="E13" s="62">
        <f>'3a. % by Portfolio'!Q7</f>
        <v>0</v>
      </c>
      <c r="F13" s="63" t="e">
        <f>'3a. % by Portfolio'!U7</f>
        <v>#DIV/0!</v>
      </c>
      <c r="G13" s="64">
        <f>'3a. % by Portfolio'!Q10+'3a. % by Portfolio'!Q11</f>
        <v>0</v>
      </c>
      <c r="H13" s="65" t="e">
        <f>'3a. % by Portfolio'!U10</f>
        <v>#DIV/0!</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118</v>
      </c>
      <c r="C14" s="60">
        <f>'3a. % by Portfolio'!Q24+'3a. % by Portfolio'!Q25</f>
        <v>0</v>
      </c>
      <c r="D14" s="61" t="e">
        <f>'3a. % by Portfolio'!U24</f>
        <v>#DIV/0!</v>
      </c>
      <c r="E14" s="66">
        <f>'3a. % by Portfolio'!Q26</f>
        <v>0</v>
      </c>
      <c r="F14" s="63" t="e">
        <f>'3a. % by Portfolio'!U26</f>
        <v>#DIV/0!</v>
      </c>
      <c r="G14" s="64">
        <f>'3a. % by Portfolio'!Q29+'3a. % by Portfolio'!Q30</f>
        <v>0</v>
      </c>
      <c r="H14" s="65" t="e">
        <f>'3a. % by Portfolio'!U29</f>
        <v>#DIV/0!</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215</v>
      </c>
      <c r="C15" s="60">
        <f>'3a. % by Portfolio'!Q42+'3a. % by Portfolio'!Q43</f>
        <v>0</v>
      </c>
      <c r="D15" s="61" t="e">
        <f>'3a. % by Portfolio'!U42</f>
        <v>#DIV/0!</v>
      </c>
      <c r="E15" s="66">
        <f>'3a. % by Portfolio'!Q44</f>
        <v>0</v>
      </c>
      <c r="F15" s="63" t="e">
        <f>'3a. % by Portfolio'!U44</f>
        <v>#DIV/0!</v>
      </c>
      <c r="G15" s="64">
        <f>'3a. % by Portfolio'!Q47+'3a. % by Portfolio'!Q48</f>
        <v>0</v>
      </c>
      <c r="H15" s="65" t="e">
        <f>'3a. % by Portfolio'!U47</f>
        <v>#DIV/0!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434</v>
      </c>
      <c r="C16" s="60">
        <f>'3a. % by Portfolio'!Q60+'3a. % by Portfolio'!Q61</f>
        <v>0</v>
      </c>
      <c r="D16" s="61" t="e">
        <f>'3a. % by Portfolio'!U60</f>
        <v>#DIV/0!</v>
      </c>
      <c r="E16" s="66">
        <f>'3a. % by Portfolio'!Q62</f>
        <v>0</v>
      </c>
      <c r="F16" s="63" t="e">
        <f>'3a. % by Portfolio'!U62</f>
        <v>#DIV/0!</v>
      </c>
      <c r="G16" s="64">
        <f>'3a. % by Portfolio'!Q65+'3a. % by Portfolio'!Q66</f>
        <v>0</v>
      </c>
      <c r="H16" s="65" t="e">
        <f>'3a. % by Portfolio'!U65</f>
        <v>#DIV/0!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212</v>
      </c>
      <c r="C17" s="60">
        <f>'3a. % by Portfolio'!Q78+'3a. % by Portfolio'!Q79</f>
        <v>0</v>
      </c>
      <c r="D17" s="61" t="e">
        <f>'3a. % by Portfolio'!U78</f>
        <v>#DIV/0!</v>
      </c>
      <c r="E17" s="66">
        <f>'3a. % by Portfolio'!Q80</f>
        <v>0</v>
      </c>
      <c r="F17" s="63" t="e">
        <f>'3a. % by Portfolio'!U80</f>
        <v>#DIV/0!</v>
      </c>
      <c r="G17" s="64">
        <f>'3a. % by Portfolio'!Q83+'3a. % by Portfolio'!Q84</f>
        <v>0</v>
      </c>
      <c r="H17" s="65" t="e">
        <f>'3a. % by Portfolio'!U83</f>
        <v>#DIV/0!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117</v>
      </c>
      <c r="C18" s="60">
        <f>'3a. % by Portfolio'!Q96+'3a. % by Portfolio'!Q97</f>
        <v>0</v>
      </c>
      <c r="D18" s="61" t="e">
        <f>'3a. % by Portfolio'!U96</f>
        <v>#DIV/0!</v>
      </c>
      <c r="E18" s="66">
        <f>'3a. % by Portfolio'!Q98</f>
        <v>0</v>
      </c>
      <c r="F18" s="63" t="e">
        <f>'3a. % by Portfolio'!U98</f>
        <v>#DIV/0!</v>
      </c>
      <c r="G18" s="64">
        <f>'3a. % by Portfolio'!Q101+'3a. % by Portfolio'!Q102</f>
        <v>0</v>
      </c>
      <c r="H18" s="65" t="e">
        <f>'3a. % by Portfolio'!U101</f>
        <v>#DIV/0!</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 thickTop="1">
      <c r="D19" s="32"/>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workbookViewId="0"/>
  </sheetViews>
  <sheetFormatPr defaultColWidth="9.33203125" defaultRowHeight="14.4"/>
  <cols>
    <col min="1" max="1" width="9.33203125" style="30"/>
    <col min="2" max="2" width="49.5546875" style="4" customWidth="1"/>
    <col min="3" max="3" width="27.33203125" style="4" customWidth="1"/>
    <col min="4" max="4" width="27.33203125" style="53" customWidth="1"/>
    <col min="5" max="8" width="27.33203125" style="4" customWidth="1"/>
    <col min="9" max="40" width="9.33203125" style="30"/>
    <col min="41" max="16384" width="9.33203125" style="4"/>
  </cols>
  <sheetData>
    <row r="1" spans="1:40" s="30" customFormat="1" ht="33" customHeight="1" thickBot="1">
      <c r="B1" s="31"/>
      <c r="D1" s="32"/>
    </row>
    <row r="2" spans="1:40" ht="40.5" customHeight="1" thickTop="1" thickBot="1">
      <c r="B2" s="362" t="s">
        <v>442</v>
      </c>
      <c r="C2" s="364" t="s">
        <v>55</v>
      </c>
      <c r="D2" s="365"/>
      <c r="E2" s="366" t="s">
        <v>56</v>
      </c>
      <c r="F2" s="367"/>
      <c r="G2" s="368" t="s">
        <v>57</v>
      </c>
      <c r="H2" s="368"/>
    </row>
    <row r="3" spans="1:40" ht="50.25" customHeight="1" thickTop="1" thickBot="1">
      <c r="B3" s="363"/>
      <c r="C3" s="33" t="s">
        <v>58</v>
      </c>
      <c r="D3" s="34" t="s">
        <v>59</v>
      </c>
      <c r="E3" s="35" t="s">
        <v>58</v>
      </c>
      <c r="F3" s="36" t="s">
        <v>59</v>
      </c>
      <c r="G3" s="54" t="s">
        <v>58</v>
      </c>
      <c r="H3" s="55" t="s">
        <v>59</v>
      </c>
    </row>
    <row r="4" spans="1:40" s="41" customFormat="1" ht="22.2"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Priority'!X5+'2a. % By Priority'!X6</f>
        <v>0</v>
      </c>
      <c r="D5" s="45" t="e">
        <f>'2a. % By Priority'!AB5</f>
        <v>#DIV/0!</v>
      </c>
      <c r="E5" s="46">
        <f>'2a. % By Priority'!X7+'2a. % By Priority'!X8+'2a. % By Priority'!X9</f>
        <v>0</v>
      </c>
      <c r="F5" s="36" t="e">
        <f>'2a. % By Priority'!AB7</f>
        <v>#DIV/0!</v>
      </c>
      <c r="G5" s="56">
        <f>'2a. % By Priority'!X10+'2a. % By Priority'!X11</f>
        <v>0</v>
      </c>
      <c r="H5" s="57" t="e">
        <f>'2a. % By Priority'!AB10</f>
        <v>#DIV/0!</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2.2"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431</v>
      </c>
      <c r="C7" s="44">
        <f>'2a. % By Priority'!X23+'2a. % By Priority'!X24</f>
        <v>0</v>
      </c>
      <c r="D7" s="45" t="e">
        <f>'2a. % By Priority'!AB23</f>
        <v>#DIV/0!</v>
      </c>
      <c r="E7" s="52">
        <f>'2a. % By Priority'!X25+'2a. % By Priority'!X26+'2a. % By Priority'!X27</f>
        <v>0</v>
      </c>
      <c r="F7" s="36" t="e">
        <f>'2a. % By Priority'!AB25</f>
        <v>#DIV/0!</v>
      </c>
      <c r="G7" s="56">
        <f>'2a. % By Priority'!X28+'2a. % By Priority'!X29</f>
        <v>0</v>
      </c>
      <c r="H7" s="57" t="e">
        <f>'2a. % By Priority'!AB28</f>
        <v>#DIV/0!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422</v>
      </c>
      <c r="C8" s="44">
        <f>'2a. % By Priority'!X41+'2a. % By Priority'!X42</f>
        <v>0</v>
      </c>
      <c r="D8" s="45" t="e">
        <f>'2a. % By Priority'!AB41</f>
        <v>#DIV/0!</v>
      </c>
      <c r="E8" s="52">
        <f>'2a. % By Priority'!X43+'2a. % By Priority'!X44+'2a. % By Priority'!X45</f>
        <v>0</v>
      </c>
      <c r="F8" s="36" t="e">
        <f>'2a. % By Priority'!AB43</f>
        <v>#DIV/0!</v>
      </c>
      <c r="G8" s="56">
        <f>'2a. % By Priority'!X46+'2a. % By Priority'!X47</f>
        <v>0</v>
      </c>
      <c r="H8" s="57" t="e">
        <f>'2a. % By Priority'!AB46</f>
        <v>#DIV/0!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423</v>
      </c>
      <c r="C9" s="44">
        <f>'2a. % By Priority'!X59+'2a. % By Priority'!X60</f>
        <v>0</v>
      </c>
      <c r="D9" s="45" t="e">
        <f>'2a. % By Priority'!AB59</f>
        <v>#DIV/0!</v>
      </c>
      <c r="E9" s="52">
        <f>'2a. % By Priority'!X61+'2a. % By Priority'!X62+'2a. % By Priority'!X63</f>
        <v>0</v>
      </c>
      <c r="F9" s="36" t="e">
        <f>'2a. % By Priority'!AB61</f>
        <v>#DIV/0!</v>
      </c>
      <c r="G9" s="56">
        <f>'2a. % By Priority'!X64+'2a. % By Priority'!X65</f>
        <v>0</v>
      </c>
      <c r="H9" s="57" t="e">
        <f>'2a. % By Priority'!AB64</f>
        <v>#DIV/0!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306" t="s">
        <v>424</v>
      </c>
      <c r="C10" s="44">
        <f>'2a. % By Priority'!X77+'2a. % By Priority'!X78</f>
        <v>0</v>
      </c>
      <c r="D10" s="45" t="e">
        <f>'2a. % By Priority'!AB77</f>
        <v>#DIV/0!</v>
      </c>
      <c r="E10" s="52">
        <f>'2a. % By Priority'!X79+'2a. % By Priority'!X80+'2a. % By Priority'!X81</f>
        <v>0</v>
      </c>
      <c r="F10" s="36" t="e">
        <f>'2a. % By Priority'!AB79</f>
        <v>#DIV/0!</v>
      </c>
      <c r="G10" s="56">
        <f>'2a. % By Priority'!X82+'2a. % By Priority'!X83</f>
        <v>0</v>
      </c>
      <c r="H10" s="57" t="e">
        <f>'2a. % By Priority'!AB82</f>
        <v>#DIV/0!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306" t="s">
        <v>425</v>
      </c>
      <c r="C11" s="44">
        <f>'2a. % By Priority'!X95+'2a. % By Priority'!X96</f>
        <v>0</v>
      </c>
      <c r="D11" s="45" t="e">
        <f>'2a. % By Priority'!AB95</f>
        <v>#DIV/0!</v>
      </c>
      <c r="E11" s="52">
        <f>'2a. % By Priority'!X97+'2a. % By Priority'!X98+'2a. % By Priority'!X99</f>
        <v>0</v>
      </c>
      <c r="F11" s="36" t="e">
        <f>'2a. % By Priority'!AB97</f>
        <v>#DIV/0!</v>
      </c>
      <c r="G11" s="56">
        <f>'2a. % By Priority'!X100+'2a. % By Priority'!X101</f>
        <v>0</v>
      </c>
      <c r="H11" s="57" t="e">
        <f>'2a. % By Priority'!AB100</f>
        <v>#DIV/0!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2.2" thickTop="1" thickBot="1">
      <c r="A12" s="42"/>
      <c r="B12" s="48" t="s">
        <v>435</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213</v>
      </c>
      <c r="C13" s="60">
        <f>'3a. % by Portfolio'!X5+'3a. % by Portfolio'!X6</f>
        <v>0</v>
      </c>
      <c r="D13" s="61" t="e">
        <f>'3a. % by Portfolio'!AB5</f>
        <v>#DIV/0!</v>
      </c>
      <c r="E13" s="62">
        <f>'3a. % by Portfolio'!X7+'3a. % by Portfolio'!X8+'3a. % by Portfolio'!X9</f>
        <v>0</v>
      </c>
      <c r="F13" s="63" t="e">
        <f>'3a. % by Portfolio'!AB7</f>
        <v>#DIV/0!</v>
      </c>
      <c r="G13" s="64">
        <f>'3a. % by Portfolio'!X10+'3a. % by Portfolio'!X11</f>
        <v>0</v>
      </c>
      <c r="H13" s="65" t="e">
        <f>'3a. % by Portfolio'!AB10</f>
        <v>#DIV/0!</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118</v>
      </c>
      <c r="C14" s="60">
        <f>'3a. % by Portfolio'!X24+'3a. % by Portfolio'!X25</f>
        <v>0</v>
      </c>
      <c r="D14" s="61" t="e">
        <f>'3a. % by Portfolio'!AB24</f>
        <v>#DIV/0!</v>
      </c>
      <c r="E14" s="66">
        <f>'3a. % by Portfolio'!X26+'3a. % by Portfolio'!X27+'3a. % by Portfolio'!X28</f>
        <v>0</v>
      </c>
      <c r="F14" s="63" t="e">
        <f>'3a. % by Portfolio'!AB26</f>
        <v>#DIV/0!</v>
      </c>
      <c r="G14" s="64">
        <f>'3a. % by Portfolio'!X29+'3a. % by Portfolio'!X30</f>
        <v>0</v>
      </c>
      <c r="H14" s="65" t="e">
        <f>'3a. % by Portfolio'!AB29</f>
        <v>#DIV/0!</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215</v>
      </c>
      <c r="C15" s="60">
        <f>'3a. % by Portfolio'!X42+'3a. % by Portfolio'!X43</f>
        <v>0</v>
      </c>
      <c r="D15" s="61" t="e">
        <f>'3a. % by Portfolio'!AB42</f>
        <v>#DIV/0!</v>
      </c>
      <c r="E15" s="66">
        <f>'3a. % by Portfolio'!X44+'3a. % by Portfolio'!X45+'3a. % by Portfolio'!X46</f>
        <v>0</v>
      </c>
      <c r="F15" s="63" t="e">
        <f>'3a. % by Portfolio'!AB44</f>
        <v>#DIV/0!</v>
      </c>
      <c r="G15" s="64">
        <f>'3a. % by Portfolio'!X47+'3a. % by Portfolio'!X48</f>
        <v>0</v>
      </c>
      <c r="H15" s="65" t="e">
        <f>'3a. % by Portfolio'!AB47</f>
        <v>#DIV/0!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434</v>
      </c>
      <c r="C16" s="60">
        <f>'3a. % by Portfolio'!X60+'3a. % by Portfolio'!X61</f>
        <v>0</v>
      </c>
      <c r="D16" s="61" t="e">
        <f>'3a. % by Portfolio'!AB60</f>
        <v>#DIV/0!</v>
      </c>
      <c r="E16" s="66">
        <f>'3a. % by Portfolio'!X62+'3a. % by Portfolio'!X63+'3a. % by Portfolio'!X64</f>
        <v>0</v>
      </c>
      <c r="F16" s="63" t="e">
        <f>'3a. % by Portfolio'!AB62</f>
        <v>#DIV/0!</v>
      </c>
      <c r="G16" s="64">
        <f>'3a. % by Portfolio'!X65+'3a. % by Portfolio'!X66</f>
        <v>0</v>
      </c>
      <c r="H16" s="65" t="e">
        <f>'3a. % by Portfolio'!AB65</f>
        <v>#DIV/0!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212</v>
      </c>
      <c r="C17" s="60">
        <f>'3a. % by Portfolio'!X78+'3a. % by Portfolio'!X79</f>
        <v>0</v>
      </c>
      <c r="D17" s="61" t="e">
        <f>'3a. % by Portfolio'!AB78</f>
        <v>#DIV/0!</v>
      </c>
      <c r="E17" s="66">
        <f>'3a. % by Portfolio'!X80+'3a. % by Portfolio'!X81+'3a. % by Portfolio'!X82</f>
        <v>0</v>
      </c>
      <c r="F17" s="63" t="e">
        <f>'3a. % by Portfolio'!AB80</f>
        <v>#DIV/0!</v>
      </c>
      <c r="G17" s="64">
        <f>'3a. % by Portfolio'!X83+'3a. % by Portfolio'!X84</f>
        <v>0</v>
      </c>
      <c r="H17" s="65" t="e">
        <f>'3a. % by Portfolio'!AB83</f>
        <v>#DIV/0!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117</v>
      </c>
      <c r="C18" s="60">
        <f>'3a. % by Portfolio'!X96+'3a. % by Portfolio'!X97</f>
        <v>0</v>
      </c>
      <c r="D18" s="61" t="e">
        <f>'3a. % by Portfolio'!AB96</f>
        <v>#DIV/0!</v>
      </c>
      <c r="E18" s="66">
        <f>'3a. % by Portfolio'!X98+'3a. % by Portfolio'!X99+'3a. % by Portfolio'!X100</f>
        <v>0</v>
      </c>
      <c r="F18" s="63" t="e">
        <f>'3a. % by Portfolio'!AB98</f>
        <v>#DIV/0!</v>
      </c>
      <c r="G18" s="64">
        <f>'3a. % by Portfolio'!X101+'3a. % by Portfolio'!X102</f>
        <v>0</v>
      </c>
      <c r="H18" s="65" t="e">
        <f>'3a. % by Portfolio'!AB101</f>
        <v>#DIV/0!</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 thickTop="1">
      <c r="D19" s="32"/>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5"/>
  <sheetViews>
    <sheetView zoomScale="80" zoomScaleNormal="80" workbookViewId="0">
      <pane xSplit="1" ySplit="1" topLeftCell="B2" activePane="bottomRight" state="frozen"/>
      <selection pane="topRight" activeCell="B1" sqref="B1"/>
      <selection pane="bottomLeft" activeCell="A2" sqref="A2"/>
      <selection pane="bottomRight" activeCell="B4" sqref="B4"/>
    </sheetView>
  </sheetViews>
  <sheetFormatPr defaultColWidth="9.33203125" defaultRowHeight="13.8"/>
  <cols>
    <col min="1" max="1" width="2.33203125" style="157" customWidth="1"/>
    <col min="2" max="2" width="38.6640625" style="157" customWidth="1"/>
    <col min="3" max="3" width="13.5546875" style="154" customWidth="1"/>
    <col min="4" max="4" width="13.6640625" style="154" customWidth="1"/>
    <col min="5" max="5" width="16.44140625" style="154" customWidth="1"/>
    <col min="6" max="6" width="14.33203125" style="154" customWidth="1"/>
    <col min="7" max="7" width="17.33203125" style="154" customWidth="1"/>
    <col min="8" max="8" width="4.5546875" style="154" customWidth="1"/>
    <col min="9" max="9" width="38.6640625" style="157" hidden="1" customWidth="1"/>
    <col min="10" max="10" width="13.5546875" style="154" hidden="1" customWidth="1"/>
    <col min="11" max="11" width="13.6640625" style="154" hidden="1" customWidth="1"/>
    <col min="12" max="12" width="16.44140625" style="154" hidden="1" customWidth="1"/>
    <col min="13" max="13" width="14.33203125" style="154" hidden="1" customWidth="1"/>
    <col min="14" max="14" width="17.33203125" style="154" hidden="1" customWidth="1"/>
    <col min="15" max="15" width="4.5546875" style="154" hidden="1" customWidth="1"/>
    <col min="16" max="16" width="38.6640625" style="157" hidden="1" customWidth="1"/>
    <col min="17" max="17" width="13.5546875" style="154" hidden="1" customWidth="1"/>
    <col min="18" max="18" width="13.6640625" style="154" hidden="1" customWidth="1"/>
    <col min="19" max="19" width="16.44140625" style="154" hidden="1" customWidth="1"/>
    <col min="20" max="20" width="14.33203125" style="154" hidden="1" customWidth="1"/>
    <col min="21" max="21" width="17.33203125" style="154" hidden="1" customWidth="1"/>
    <col min="22" max="22" width="4.5546875" style="154" hidden="1" customWidth="1"/>
    <col min="23" max="23" width="55.44140625" style="154" hidden="1" customWidth="1"/>
    <col min="24" max="24" width="14.5546875" style="154" hidden="1" customWidth="1"/>
    <col min="25" max="27" width="17.33203125" style="154" hidden="1" customWidth="1"/>
    <col min="28" max="28" width="17.33203125" style="181" hidden="1" customWidth="1"/>
    <col min="29" max="29" width="1.6640625" style="157" hidden="1" customWidth="1"/>
    <col min="30" max="30" width="12" style="157" hidden="1" customWidth="1"/>
    <col min="31" max="32" width="9.33203125" style="157" customWidth="1"/>
    <col min="33" max="16384" width="9.33203125" style="157"/>
  </cols>
  <sheetData>
    <row r="1" spans="2:31" s="151" customFormat="1" ht="21">
      <c r="B1" s="143" t="s">
        <v>444</v>
      </c>
      <c r="C1" s="144"/>
      <c r="D1" s="145"/>
      <c r="E1" s="145"/>
      <c r="F1" s="145"/>
      <c r="G1" s="145"/>
      <c r="H1" s="146"/>
      <c r="I1" s="143" t="s">
        <v>437</v>
      </c>
      <c r="J1" s="144"/>
      <c r="K1" s="145"/>
      <c r="L1" s="145"/>
      <c r="M1" s="145"/>
      <c r="N1" s="145"/>
      <c r="O1" s="146"/>
      <c r="P1" s="147" t="s">
        <v>438</v>
      </c>
      <c r="Q1" s="144"/>
      <c r="R1" s="145"/>
      <c r="S1" s="145"/>
      <c r="T1" s="145"/>
      <c r="U1" s="145"/>
      <c r="V1" s="146"/>
      <c r="W1" s="148" t="s">
        <v>439</v>
      </c>
      <c r="X1" s="149"/>
      <c r="Y1" s="149"/>
      <c r="Z1" s="149"/>
      <c r="AA1" s="149"/>
      <c r="AB1" s="150"/>
    </row>
    <row r="2" spans="2:31" ht="15.6">
      <c r="B2" s="152"/>
      <c r="C2" s="153"/>
      <c r="D2" s="153"/>
      <c r="E2" s="153"/>
      <c r="F2" s="153"/>
      <c r="G2" s="153"/>
      <c r="I2" s="152"/>
      <c r="J2" s="153"/>
      <c r="K2" s="153"/>
      <c r="L2" s="153"/>
      <c r="M2" s="153"/>
      <c r="N2" s="153"/>
      <c r="P2" s="152"/>
      <c r="Q2" s="153"/>
      <c r="R2" s="153"/>
      <c r="S2" s="153"/>
      <c r="T2" s="153"/>
      <c r="U2" s="153"/>
      <c r="W2" s="155"/>
      <c r="X2" s="155"/>
      <c r="Y2" s="155"/>
      <c r="Z2" s="155"/>
      <c r="AA2" s="155"/>
      <c r="AB2" s="156"/>
    </row>
    <row r="3" spans="2:31" ht="15.6">
      <c r="B3" s="158" t="s">
        <v>41</v>
      </c>
      <c r="C3" s="159"/>
      <c r="D3" s="159"/>
      <c r="E3" s="159"/>
      <c r="F3" s="159"/>
      <c r="G3" s="160"/>
      <c r="I3" s="158" t="s">
        <v>41</v>
      </c>
      <c r="J3" s="159"/>
      <c r="K3" s="159"/>
      <c r="L3" s="159"/>
      <c r="M3" s="159"/>
      <c r="N3" s="160"/>
      <c r="P3" s="158" t="s">
        <v>41</v>
      </c>
      <c r="Q3" s="159"/>
      <c r="R3" s="159"/>
      <c r="S3" s="159"/>
      <c r="T3" s="159"/>
      <c r="U3" s="160"/>
      <c r="W3" s="161" t="s">
        <v>41</v>
      </c>
      <c r="X3" s="162"/>
      <c r="Y3" s="162"/>
      <c r="Z3" s="162"/>
      <c r="AA3" s="162"/>
      <c r="AB3" s="163"/>
    </row>
    <row r="4" spans="2:31" s="154" customFormat="1" ht="39" customHeight="1">
      <c r="B4" s="164" t="s">
        <v>42</v>
      </c>
      <c r="C4" s="164" t="s">
        <v>43</v>
      </c>
      <c r="D4" s="164" t="s">
        <v>44</v>
      </c>
      <c r="E4" s="164" t="s">
        <v>45</v>
      </c>
      <c r="F4" s="164" t="s">
        <v>46</v>
      </c>
      <c r="G4" s="164" t="s">
        <v>47</v>
      </c>
      <c r="I4" s="164" t="s">
        <v>42</v>
      </c>
      <c r="J4" s="164" t="s">
        <v>43</v>
      </c>
      <c r="K4" s="164" t="s">
        <v>44</v>
      </c>
      <c r="L4" s="164" t="s">
        <v>45</v>
      </c>
      <c r="M4" s="164" t="s">
        <v>46</v>
      </c>
      <c r="N4" s="164" t="s">
        <v>47</v>
      </c>
      <c r="P4" s="164" t="s">
        <v>42</v>
      </c>
      <c r="Q4" s="164" t="s">
        <v>43</v>
      </c>
      <c r="R4" s="164" t="s">
        <v>44</v>
      </c>
      <c r="S4" s="164" t="s">
        <v>45</v>
      </c>
      <c r="T4" s="164" t="s">
        <v>46</v>
      </c>
      <c r="U4" s="164" t="s">
        <v>47</v>
      </c>
      <c r="W4" s="164" t="s">
        <v>42</v>
      </c>
      <c r="X4" s="164" t="s">
        <v>43</v>
      </c>
      <c r="Y4" s="164" t="s">
        <v>44</v>
      </c>
      <c r="Z4" s="164" t="s">
        <v>45</v>
      </c>
      <c r="AA4" s="164" t="s">
        <v>46</v>
      </c>
      <c r="AB4" s="164" t="s">
        <v>47</v>
      </c>
    </row>
    <row r="5" spans="2:31" ht="30.75" customHeight="1">
      <c r="B5" s="227" t="s">
        <v>48</v>
      </c>
      <c r="C5" s="167">
        <f>COUNTIF('1. All Data'!$H$3:$H$134,"Fully Achieved")</f>
        <v>9</v>
      </c>
      <c r="D5" s="168">
        <f>C5/C16</f>
        <v>6.8181818181818177E-2</v>
      </c>
      <c r="E5" s="369">
        <f>D5+D6</f>
        <v>0.6212121212121211</v>
      </c>
      <c r="F5" s="168">
        <f>C5/C17</f>
        <v>0.10227272727272728</v>
      </c>
      <c r="G5" s="371">
        <f>F5+F6</f>
        <v>0.93181818181818188</v>
      </c>
      <c r="I5" s="227" t="s">
        <v>48</v>
      </c>
      <c r="J5" s="167">
        <f>COUNTIF('1. All Data'!$M$3:$M$136,"Fully Achieved")</f>
        <v>0</v>
      </c>
      <c r="K5" s="168" t="e">
        <f>J5/J16</f>
        <v>#DIV/0!</v>
      </c>
      <c r="L5" s="369" t="e">
        <f>K5+K6</f>
        <v>#DIV/0!</v>
      </c>
      <c r="M5" s="168" t="e">
        <f>J5/J17</f>
        <v>#DIV/0!</v>
      </c>
      <c r="N5" s="371" t="e">
        <f>M5+M6</f>
        <v>#DIV/0!</v>
      </c>
      <c r="P5" s="227" t="s">
        <v>48</v>
      </c>
      <c r="Q5" s="167">
        <f>COUNTIF('1. All Data'!$R$3:$R$134,"Fully Achieved")</f>
        <v>0</v>
      </c>
      <c r="R5" s="168" t="e">
        <f>Q5/Q16</f>
        <v>#DIV/0!</v>
      </c>
      <c r="S5" s="369" t="e">
        <f>R5+R6</f>
        <v>#DIV/0!</v>
      </c>
      <c r="T5" s="168" t="e">
        <f>Q5/Q17</f>
        <v>#DIV/0!</v>
      </c>
      <c r="U5" s="371" t="e">
        <f>T5+T6</f>
        <v>#DIV/0!</v>
      </c>
      <c r="W5" s="227" t="s">
        <v>48</v>
      </c>
      <c r="X5" s="167">
        <f>COUNTIF('1. All Data'!$V$3:$V$134,"Fully Achieved")</f>
        <v>0</v>
      </c>
      <c r="Y5" s="168" t="e">
        <f t="shared" ref="Y5:Y15" si="0">X5/$X$16</f>
        <v>#DIV/0!</v>
      </c>
      <c r="Z5" s="369" t="e">
        <f>SUM(Y5:Y6)</f>
        <v>#DIV/0!</v>
      </c>
      <c r="AA5" s="168" t="e">
        <f t="shared" ref="AA5:AA11" si="1">X5/$X$17</f>
        <v>#DIV/0!</v>
      </c>
      <c r="AB5" s="371" t="e">
        <f>AA5+AA6</f>
        <v>#DIV/0!</v>
      </c>
      <c r="AD5" s="371" t="e">
        <f>AB5</f>
        <v>#DIV/0!</v>
      </c>
    </row>
    <row r="6" spans="2:31" ht="30.75" customHeight="1">
      <c r="B6" s="227" t="s">
        <v>31</v>
      </c>
      <c r="C6" s="167">
        <f>COUNTIF('1. All Data'!$H$3:$H$134,"On Track to be Achieved")</f>
        <v>73</v>
      </c>
      <c r="D6" s="168">
        <f>C6/C16</f>
        <v>0.55303030303030298</v>
      </c>
      <c r="E6" s="369"/>
      <c r="F6" s="168">
        <f>C6/C17</f>
        <v>0.82954545454545459</v>
      </c>
      <c r="G6" s="371"/>
      <c r="I6" s="227" t="s">
        <v>31</v>
      </c>
      <c r="J6" s="167">
        <f>COUNTIF('1. All Data'!$M$3:$M$136,"On Track to be Achieved")</f>
        <v>0</v>
      </c>
      <c r="K6" s="168" t="e">
        <f>J6/J16</f>
        <v>#DIV/0!</v>
      </c>
      <c r="L6" s="369"/>
      <c r="M6" s="168" t="e">
        <f>J6/J17</f>
        <v>#DIV/0!</v>
      </c>
      <c r="N6" s="371"/>
      <c r="P6" s="227" t="s">
        <v>31</v>
      </c>
      <c r="Q6" s="167">
        <f>COUNTIF('1. All Data'!$R$3:$R$134,"On Track to be Achieved")</f>
        <v>0</v>
      </c>
      <c r="R6" s="168" t="e">
        <f>Q6/Q16</f>
        <v>#DIV/0!</v>
      </c>
      <c r="S6" s="369"/>
      <c r="T6" s="168" t="e">
        <f>Q6/Q17</f>
        <v>#DIV/0!</v>
      </c>
      <c r="U6" s="371"/>
      <c r="W6" s="227" t="s">
        <v>23</v>
      </c>
      <c r="X6" s="167">
        <f>COUNTIF('1. All Data'!$V$3:$V$134,"Numerical Outturn Within 5% Tolerance")</f>
        <v>0</v>
      </c>
      <c r="Y6" s="168" t="e">
        <f t="shared" si="0"/>
        <v>#DIV/0!</v>
      </c>
      <c r="Z6" s="369"/>
      <c r="AA6" s="168" t="e">
        <f t="shared" si="1"/>
        <v>#DIV/0!</v>
      </c>
      <c r="AB6" s="371"/>
      <c r="AD6" s="371"/>
    </row>
    <row r="7" spans="2:31" ht="18.75" customHeight="1">
      <c r="B7" s="379" t="s">
        <v>32</v>
      </c>
      <c r="C7" s="382">
        <f>COUNTIF('1. All Data'!$H$3:$H$134,"In Danger of Falling Behind Target")</f>
        <v>6</v>
      </c>
      <c r="D7" s="372">
        <f>C7/C16</f>
        <v>4.5454545454545456E-2</v>
      </c>
      <c r="E7" s="372">
        <f>D7</f>
        <v>4.5454545454545456E-2</v>
      </c>
      <c r="F7" s="372">
        <f>C7/C17</f>
        <v>6.8181818181818177E-2</v>
      </c>
      <c r="G7" s="375">
        <f>F7</f>
        <v>6.8181818181818177E-2</v>
      </c>
      <c r="I7" s="379" t="s">
        <v>32</v>
      </c>
      <c r="J7" s="382">
        <f>COUNTIF('1. All Data'!$M$3:$M$136,"In Danger of Falling Behind Target")</f>
        <v>0</v>
      </c>
      <c r="K7" s="372" t="e">
        <f>J7/J16</f>
        <v>#DIV/0!</v>
      </c>
      <c r="L7" s="372" t="e">
        <f>K7</f>
        <v>#DIV/0!</v>
      </c>
      <c r="M7" s="372" t="e">
        <f>J7/J17</f>
        <v>#DIV/0!</v>
      </c>
      <c r="N7" s="375" t="e">
        <f>M7</f>
        <v>#DIV/0!</v>
      </c>
      <c r="P7" s="379" t="s">
        <v>32</v>
      </c>
      <c r="Q7" s="382">
        <f>COUNTIF('1. All Data'!$R$3:$R$134,"In Danger of Falling Behind Target")</f>
        <v>0</v>
      </c>
      <c r="R7" s="372" t="e">
        <f>Q7/Q16</f>
        <v>#DIV/0!</v>
      </c>
      <c r="S7" s="372" t="e">
        <f>R7</f>
        <v>#DIV/0!</v>
      </c>
      <c r="T7" s="372" t="e">
        <f>Q7/Q17</f>
        <v>#DIV/0!</v>
      </c>
      <c r="U7" s="375" t="e">
        <f>T7</f>
        <v>#DIV/0!</v>
      </c>
      <c r="W7" s="169" t="s">
        <v>24</v>
      </c>
      <c r="X7" s="170">
        <f>COUNTIF('1. All Data'!$V$3:$V$134,"Numerical Outturn Within 10% Tolerance")</f>
        <v>0</v>
      </c>
      <c r="Y7" s="168" t="e">
        <f t="shared" si="0"/>
        <v>#DIV/0!</v>
      </c>
      <c r="Z7" s="369" t="e">
        <f>SUM(Y7:Y9)</f>
        <v>#DIV/0!</v>
      </c>
      <c r="AA7" s="168" t="e">
        <f t="shared" si="1"/>
        <v>#DIV/0!</v>
      </c>
      <c r="AB7" s="378" t="e">
        <f>SUM(AA7:AA9)</f>
        <v>#DIV/0!</v>
      </c>
      <c r="AD7" s="385" t="e">
        <f>SUM(AB7:AB11)</f>
        <v>#DIV/0!</v>
      </c>
    </row>
    <row r="8" spans="2:31" ht="19.5" customHeight="1">
      <c r="B8" s="380"/>
      <c r="C8" s="383"/>
      <c r="D8" s="373"/>
      <c r="E8" s="373"/>
      <c r="F8" s="373"/>
      <c r="G8" s="376"/>
      <c r="I8" s="380"/>
      <c r="J8" s="383"/>
      <c r="K8" s="373"/>
      <c r="L8" s="373"/>
      <c r="M8" s="373"/>
      <c r="N8" s="376"/>
      <c r="P8" s="380"/>
      <c r="Q8" s="383"/>
      <c r="R8" s="373"/>
      <c r="S8" s="373"/>
      <c r="T8" s="373"/>
      <c r="U8" s="376"/>
      <c r="W8" s="169" t="s">
        <v>25</v>
      </c>
      <c r="X8" s="170">
        <f>COUNTIF('1. All Data'!$V$3:$V$134,"Target Partially Met")</f>
        <v>0</v>
      </c>
      <c r="Y8" s="168" t="e">
        <f t="shared" si="0"/>
        <v>#DIV/0!</v>
      </c>
      <c r="Z8" s="369"/>
      <c r="AA8" s="168" t="e">
        <f t="shared" si="1"/>
        <v>#DIV/0!</v>
      </c>
      <c r="AB8" s="378"/>
      <c r="AD8" s="386"/>
    </row>
    <row r="9" spans="2:31" ht="19.5" customHeight="1">
      <c r="B9" s="381"/>
      <c r="C9" s="384"/>
      <c r="D9" s="374"/>
      <c r="E9" s="374"/>
      <c r="F9" s="374"/>
      <c r="G9" s="377"/>
      <c r="I9" s="381"/>
      <c r="J9" s="384"/>
      <c r="K9" s="374"/>
      <c r="L9" s="374"/>
      <c r="M9" s="374"/>
      <c r="N9" s="377"/>
      <c r="P9" s="381"/>
      <c r="Q9" s="384"/>
      <c r="R9" s="374"/>
      <c r="S9" s="374"/>
      <c r="T9" s="374"/>
      <c r="U9" s="377"/>
      <c r="W9" s="169" t="s">
        <v>28</v>
      </c>
      <c r="X9" s="170">
        <f>COUNTIF('1. All Data'!$V$3:$V$134,"Completion Date Within Reasonable Tolerance")</f>
        <v>0</v>
      </c>
      <c r="Y9" s="168" t="e">
        <f t="shared" si="0"/>
        <v>#DIV/0!</v>
      </c>
      <c r="Z9" s="369"/>
      <c r="AA9" s="168" t="e">
        <f t="shared" si="1"/>
        <v>#DIV/0!</v>
      </c>
      <c r="AB9" s="378"/>
      <c r="AD9" s="386"/>
    </row>
    <row r="10" spans="2:31" ht="29.25" customHeight="1">
      <c r="B10" s="171" t="s">
        <v>33</v>
      </c>
      <c r="C10" s="167">
        <f>COUNTIF('1. All Data'!H3:H134,"completed behind schedule")</f>
        <v>0</v>
      </c>
      <c r="D10" s="168">
        <f>C10/C16</f>
        <v>0</v>
      </c>
      <c r="E10" s="369">
        <f>D10+D11</f>
        <v>0</v>
      </c>
      <c r="F10" s="168">
        <f>C10/C17</f>
        <v>0</v>
      </c>
      <c r="G10" s="370">
        <f>F10+F11</f>
        <v>0</v>
      </c>
      <c r="I10" s="171" t="s">
        <v>33</v>
      </c>
      <c r="J10" s="167">
        <f>COUNTIF('1. All Data'!M3:M136,"Completed Behind Schedule")</f>
        <v>0</v>
      </c>
      <c r="K10" s="168" t="e">
        <f>J10/J16</f>
        <v>#DIV/0!</v>
      </c>
      <c r="L10" s="369" t="e">
        <f>K10+K11</f>
        <v>#DIV/0!</v>
      </c>
      <c r="M10" s="168" t="e">
        <f>J10/J17</f>
        <v>#DIV/0!</v>
      </c>
      <c r="N10" s="370" t="e">
        <f>M10+M11</f>
        <v>#DIV/0!</v>
      </c>
      <c r="P10" s="171" t="s">
        <v>33</v>
      </c>
      <c r="Q10" s="167">
        <f>COUNTIF('1. All Data'!R3:R134,"completed behind schedule")</f>
        <v>0</v>
      </c>
      <c r="R10" s="168" t="e">
        <f>Q10/Q16</f>
        <v>#DIV/0!</v>
      </c>
      <c r="S10" s="369" t="e">
        <f>R10+R11</f>
        <v>#DIV/0!</v>
      </c>
      <c r="T10" s="168" t="e">
        <f>Q10/Q17</f>
        <v>#DIV/0!</v>
      </c>
      <c r="U10" s="370" t="e">
        <f>T10+T11</f>
        <v>#DIV/0!</v>
      </c>
      <c r="W10" s="171" t="s">
        <v>27</v>
      </c>
      <c r="X10" s="167">
        <f>COUNTIF('1. All Data'!V3:V134,"Completed Significantly After Target Deadline")</f>
        <v>0</v>
      </c>
      <c r="Y10" s="168" t="e">
        <f t="shared" si="0"/>
        <v>#DIV/0!</v>
      </c>
      <c r="Z10" s="369" t="e">
        <f>SUM(Y10:Y11)</f>
        <v>#DIV/0!</v>
      </c>
      <c r="AA10" s="168" t="e">
        <f t="shared" si="1"/>
        <v>#DIV/0!</v>
      </c>
      <c r="AB10" s="370" t="e">
        <f>SUM(AA10:AA11)</f>
        <v>#DIV/0!</v>
      </c>
      <c r="AD10" s="386"/>
    </row>
    <row r="11" spans="2:31" ht="29.25" customHeight="1">
      <c r="B11" s="171" t="s">
        <v>26</v>
      </c>
      <c r="C11" s="167">
        <f>COUNTIF('1. All Data'!H3:H134,"off target")</f>
        <v>0</v>
      </c>
      <c r="D11" s="168">
        <f>C11/C16</f>
        <v>0</v>
      </c>
      <c r="E11" s="369"/>
      <c r="F11" s="168">
        <f>C11/C17</f>
        <v>0</v>
      </c>
      <c r="G11" s="370"/>
      <c r="I11" s="171" t="s">
        <v>26</v>
      </c>
      <c r="J11" s="167">
        <f>COUNTIF('1. All Data'!M3:M136,"Off Target")</f>
        <v>0</v>
      </c>
      <c r="K11" s="168" t="e">
        <f>J11/J16</f>
        <v>#DIV/0!</v>
      </c>
      <c r="L11" s="369"/>
      <c r="M11" s="168" t="e">
        <f>J11/J17</f>
        <v>#DIV/0!</v>
      </c>
      <c r="N11" s="370"/>
      <c r="P11" s="171" t="s">
        <v>26</v>
      </c>
      <c r="Q11" s="167">
        <f>COUNTIF('1. All Data'!R3:R134,"off target")</f>
        <v>0</v>
      </c>
      <c r="R11" s="168" t="e">
        <f>Q11/Q16</f>
        <v>#DIV/0!</v>
      </c>
      <c r="S11" s="369"/>
      <c r="T11" s="168" t="e">
        <f>Q11/Q17</f>
        <v>#DIV/0!</v>
      </c>
      <c r="U11" s="370"/>
      <c r="W11" s="171" t="s">
        <v>26</v>
      </c>
      <c r="X11" s="167">
        <f>COUNTIF('1. All Data'!V3:V134,"off target")</f>
        <v>0</v>
      </c>
      <c r="Y11" s="168" t="e">
        <f t="shared" si="0"/>
        <v>#DIV/0!</v>
      </c>
      <c r="Z11" s="369"/>
      <c r="AA11" s="168" t="e">
        <f t="shared" si="1"/>
        <v>#DIV/0!</v>
      </c>
      <c r="AB11" s="370"/>
      <c r="AD11" s="386"/>
    </row>
    <row r="12" spans="2:31" ht="20.25" customHeight="1">
      <c r="B12" s="172" t="s">
        <v>49</v>
      </c>
      <c r="C12" s="167">
        <f>COUNTIF('1. All Data'!H3:H134,"not yet due")</f>
        <v>44</v>
      </c>
      <c r="D12" s="173">
        <f>C12/C16</f>
        <v>0.33333333333333331</v>
      </c>
      <c r="E12" s="173">
        <f>D12</f>
        <v>0.33333333333333331</v>
      </c>
      <c r="F12" s="174"/>
      <c r="G12" s="58"/>
      <c r="I12" s="172" t="s">
        <v>49</v>
      </c>
      <c r="J12" s="167">
        <f>COUNTIF('1. All Data'!M3:M136,"not yet due")</f>
        <v>0</v>
      </c>
      <c r="K12" s="173" t="e">
        <f>J12/J16</f>
        <v>#DIV/0!</v>
      </c>
      <c r="L12" s="173" t="e">
        <f>K12</f>
        <v>#DIV/0!</v>
      </c>
      <c r="M12" s="174"/>
      <c r="N12" s="58"/>
      <c r="P12" s="172" t="s">
        <v>49</v>
      </c>
      <c r="Q12" s="167">
        <f>COUNTIF('1. All Data'!R3:R126,"not yet due")</f>
        <v>0</v>
      </c>
      <c r="R12" s="173" t="e">
        <f>Q12/Q16</f>
        <v>#DIV/0!</v>
      </c>
      <c r="S12" s="173" t="e">
        <f>R12</f>
        <v>#DIV/0!</v>
      </c>
      <c r="T12" s="174"/>
      <c r="U12" s="58"/>
      <c r="W12" s="172" t="s">
        <v>49</v>
      </c>
      <c r="X12" s="167">
        <f>COUNTIF('1. All Data'!V3:V134,"not yet due")</f>
        <v>0</v>
      </c>
      <c r="Y12" s="168" t="e">
        <f t="shared" si="0"/>
        <v>#DIV/0!</v>
      </c>
      <c r="Z12" s="173" t="e">
        <f>Y12</f>
        <v>#DIV/0!</v>
      </c>
      <c r="AA12" s="174"/>
      <c r="AB12" s="58"/>
    </row>
    <row r="13" spans="2:31" ht="20.25" customHeight="1">
      <c r="B13" s="172" t="s">
        <v>21</v>
      </c>
      <c r="C13" s="167">
        <f>COUNTIF('1. All Data'!H3:H134,"update not provided")</f>
        <v>0</v>
      </c>
      <c r="D13" s="173">
        <f>C13/C16</f>
        <v>0</v>
      </c>
      <c r="E13" s="173">
        <f>D13</f>
        <v>0</v>
      </c>
      <c r="F13" s="174"/>
      <c r="G13" s="2"/>
      <c r="I13" s="172" t="s">
        <v>21</v>
      </c>
      <c r="J13" s="167">
        <f>COUNTIF('1. All Data'!M3:M136,"update not provided")</f>
        <v>0</v>
      </c>
      <c r="K13" s="173" t="e">
        <f>J13/J16</f>
        <v>#DIV/0!</v>
      </c>
      <c r="L13" s="173" t="e">
        <f>K13</f>
        <v>#DIV/0!</v>
      </c>
      <c r="M13" s="174"/>
      <c r="N13" s="2"/>
      <c r="P13" s="172" t="s">
        <v>21</v>
      </c>
      <c r="Q13" s="167">
        <f>COUNTIF('1. All Data'!R3:R126,"update not provided")</f>
        <v>0</v>
      </c>
      <c r="R13" s="173" t="e">
        <f>Q13/Q16</f>
        <v>#DIV/0!</v>
      </c>
      <c r="S13" s="173" t="e">
        <f>R13</f>
        <v>#DIV/0!</v>
      </c>
      <c r="T13" s="174"/>
      <c r="U13" s="2"/>
      <c r="W13" s="172" t="s">
        <v>21</v>
      </c>
      <c r="X13" s="167">
        <f>COUNTIF('1. All Data'!V3:V134,"update not provided")</f>
        <v>0</v>
      </c>
      <c r="Y13" s="168" t="e">
        <f t="shared" si="0"/>
        <v>#DIV/0!</v>
      </c>
      <c r="Z13" s="173" t="e">
        <f>Y13</f>
        <v>#DIV/0!</v>
      </c>
      <c r="AA13" s="174"/>
      <c r="AB13" s="2"/>
    </row>
    <row r="14" spans="2:31" ht="15.75" customHeight="1">
      <c r="B14" s="175" t="s">
        <v>29</v>
      </c>
      <c r="C14" s="167">
        <f>COUNTIF('1. All Data'!H3:H134,"deferred")</f>
        <v>0</v>
      </c>
      <c r="D14" s="176">
        <f>C14/C16</f>
        <v>0</v>
      </c>
      <c r="E14" s="176">
        <f>D14</f>
        <v>0</v>
      </c>
      <c r="F14" s="177"/>
      <c r="G14" s="58"/>
      <c r="I14" s="175" t="s">
        <v>29</v>
      </c>
      <c r="J14" s="167">
        <f>COUNTIF('1. All Data'!M3:M136,"deferred")</f>
        <v>0</v>
      </c>
      <c r="K14" s="176" t="e">
        <f>J14/J16</f>
        <v>#DIV/0!</v>
      </c>
      <c r="L14" s="176" t="e">
        <f>K14</f>
        <v>#DIV/0!</v>
      </c>
      <c r="M14" s="177"/>
      <c r="N14" s="58"/>
      <c r="P14" s="175" t="s">
        <v>29</v>
      </c>
      <c r="Q14" s="167">
        <f>COUNTIF('1. All Data'!R3:R126,"deferred")</f>
        <v>0</v>
      </c>
      <c r="R14" s="176" t="e">
        <f>Q14/Q16</f>
        <v>#DIV/0!</v>
      </c>
      <c r="S14" s="176" t="e">
        <f>R14</f>
        <v>#DIV/0!</v>
      </c>
      <c r="T14" s="177"/>
      <c r="U14" s="58"/>
      <c r="W14" s="175" t="s">
        <v>29</v>
      </c>
      <c r="X14" s="167">
        <f>COUNTIF('1. All Data'!V3:V134,"deferred")</f>
        <v>0</v>
      </c>
      <c r="Y14" s="168" t="e">
        <f t="shared" si="0"/>
        <v>#DIV/0!</v>
      </c>
      <c r="Z14" s="173" t="e">
        <f>Y14</f>
        <v>#DIV/0!</v>
      </c>
      <c r="AA14" s="177"/>
      <c r="AB14" s="58"/>
    </row>
    <row r="15" spans="2:31" ht="15.75" customHeight="1">
      <c r="B15" s="175" t="s">
        <v>30</v>
      </c>
      <c r="C15" s="167">
        <f>COUNTIF('1. All Data'!H3:H134,"deleted")</f>
        <v>0</v>
      </c>
      <c r="D15" s="176">
        <f>C15/C16</f>
        <v>0</v>
      </c>
      <c r="E15" s="176">
        <f>D15</f>
        <v>0</v>
      </c>
      <c r="F15" s="177"/>
      <c r="G15" s="3"/>
      <c r="I15" s="175" t="s">
        <v>30</v>
      </c>
      <c r="J15" s="167">
        <f>COUNTIF('1. All Data'!M3:M136,"deleted")</f>
        <v>0</v>
      </c>
      <c r="K15" s="176" t="e">
        <f>J15/J16</f>
        <v>#DIV/0!</v>
      </c>
      <c r="L15" s="176" t="e">
        <f>K15</f>
        <v>#DIV/0!</v>
      </c>
      <c r="M15" s="177"/>
      <c r="P15" s="175" t="s">
        <v>30</v>
      </c>
      <c r="Q15" s="167">
        <f>COUNTIF('1. All Data'!R3:R126,"deleted")</f>
        <v>0</v>
      </c>
      <c r="R15" s="176" t="e">
        <f>Q15/Q16</f>
        <v>#DIV/0!</v>
      </c>
      <c r="S15" s="176" t="e">
        <f>R15</f>
        <v>#DIV/0!</v>
      </c>
      <c r="T15" s="177"/>
      <c r="U15" s="3"/>
      <c r="W15" s="175" t="s">
        <v>30</v>
      </c>
      <c r="X15" s="167">
        <f>COUNTIF('1. All Data'!V3:V134,"deleted")</f>
        <v>0</v>
      </c>
      <c r="Y15" s="168" t="e">
        <f t="shared" si="0"/>
        <v>#DIV/0!</v>
      </c>
      <c r="Z15" s="173" t="e">
        <f t="shared" ref="Z15" si="2">Y15</f>
        <v>#DIV/0!</v>
      </c>
      <c r="AA15" s="177"/>
      <c r="AB15" s="3"/>
      <c r="AE15" s="3"/>
    </row>
    <row r="16" spans="2:31" ht="15.75" customHeight="1">
      <c r="B16" s="178" t="s">
        <v>51</v>
      </c>
      <c r="C16" s="179">
        <f>SUM(C5:C15)</f>
        <v>132</v>
      </c>
      <c r="D16" s="177"/>
      <c r="E16" s="177"/>
      <c r="F16" s="58"/>
      <c r="G16" s="58"/>
      <c r="I16" s="178" t="s">
        <v>51</v>
      </c>
      <c r="J16" s="179">
        <f>SUM(J5:J15)</f>
        <v>0</v>
      </c>
      <c r="K16" s="177"/>
      <c r="L16" s="177"/>
      <c r="M16" s="58"/>
      <c r="N16" s="58"/>
      <c r="P16" s="178" t="s">
        <v>51</v>
      </c>
      <c r="Q16" s="179">
        <f>SUM(Q5:Q15)</f>
        <v>0</v>
      </c>
      <c r="R16" s="177"/>
      <c r="S16" s="177"/>
      <c r="T16" s="58"/>
      <c r="U16" s="58"/>
      <c r="W16" s="178" t="s">
        <v>51</v>
      </c>
      <c r="X16" s="179">
        <f>SUM(X5:X15)</f>
        <v>0</v>
      </c>
      <c r="Y16" s="177"/>
      <c r="Z16" s="177"/>
      <c r="AA16" s="58"/>
      <c r="AB16" s="58"/>
    </row>
    <row r="17" spans="2:28" ht="15.75" customHeight="1">
      <c r="B17" s="178" t="s">
        <v>52</v>
      </c>
      <c r="C17" s="179">
        <f>C16-C15-C14-C13-C12</f>
        <v>88</v>
      </c>
      <c r="D17" s="58"/>
      <c r="E17" s="58"/>
      <c r="F17" s="58"/>
      <c r="G17" s="58"/>
      <c r="I17" s="178" t="s">
        <v>52</v>
      </c>
      <c r="J17" s="179">
        <f>J16-J15-J14-J13-J12</f>
        <v>0</v>
      </c>
      <c r="K17" s="58"/>
      <c r="L17" s="58"/>
      <c r="M17" s="58"/>
      <c r="N17" s="58"/>
      <c r="P17" s="178" t="s">
        <v>52</v>
      </c>
      <c r="Q17" s="179">
        <f>Q16-Q15-Q14-Q13-Q12</f>
        <v>0</v>
      </c>
      <c r="R17" s="58"/>
      <c r="S17" s="58"/>
      <c r="T17" s="58"/>
      <c r="U17" s="58"/>
      <c r="W17" s="178" t="s">
        <v>52</v>
      </c>
      <c r="X17" s="179">
        <f>X16-X15-X14-X13-X12</f>
        <v>0</v>
      </c>
      <c r="Y17" s="58"/>
      <c r="Z17" s="58"/>
      <c r="AA17" s="58"/>
      <c r="AB17" s="58"/>
    </row>
    <row r="18" spans="2:28" ht="15.75" customHeight="1">
      <c r="W18" s="180"/>
      <c r="AA18" s="2"/>
    </row>
    <row r="19" spans="2:28" ht="15.75" hidden="1" customHeight="1">
      <c r="AA19" s="2"/>
    </row>
    <row r="20" spans="2:28" ht="15" hidden="1" customHeight="1">
      <c r="AA20" s="2"/>
    </row>
    <row r="21" spans="2:28" ht="19.5" customHeight="1">
      <c r="B21" s="182" t="s">
        <v>431</v>
      </c>
      <c r="C21" s="183"/>
      <c r="D21" s="183"/>
      <c r="E21" s="183"/>
      <c r="F21" s="159"/>
      <c r="G21" s="184"/>
      <c r="I21" s="182" t="s">
        <v>431</v>
      </c>
      <c r="J21" s="183"/>
      <c r="K21" s="183"/>
      <c r="L21" s="183"/>
      <c r="M21" s="159"/>
      <c r="N21" s="184"/>
      <c r="P21" s="182" t="s">
        <v>431</v>
      </c>
      <c r="Q21" s="183"/>
      <c r="R21" s="183"/>
      <c r="S21" s="183"/>
      <c r="T21" s="159"/>
      <c r="U21" s="184"/>
      <c r="W21" s="182" t="s">
        <v>431</v>
      </c>
      <c r="X21" s="162"/>
      <c r="Y21" s="162"/>
      <c r="Z21" s="162"/>
      <c r="AA21" s="162"/>
      <c r="AB21" s="163"/>
    </row>
    <row r="22" spans="2:28" ht="42" customHeight="1">
      <c r="B22" s="164" t="s">
        <v>42</v>
      </c>
      <c r="C22" s="164" t="s">
        <v>43</v>
      </c>
      <c r="D22" s="164" t="s">
        <v>44</v>
      </c>
      <c r="E22" s="164" t="s">
        <v>45</v>
      </c>
      <c r="F22" s="164" t="s">
        <v>46</v>
      </c>
      <c r="G22" s="164" t="s">
        <v>47</v>
      </c>
      <c r="I22" s="164" t="s">
        <v>42</v>
      </c>
      <c r="J22" s="164" t="s">
        <v>43</v>
      </c>
      <c r="K22" s="164" t="s">
        <v>44</v>
      </c>
      <c r="L22" s="164" t="s">
        <v>45</v>
      </c>
      <c r="M22" s="164" t="s">
        <v>46</v>
      </c>
      <c r="N22" s="164" t="s">
        <v>47</v>
      </c>
      <c r="P22" s="164" t="s">
        <v>42</v>
      </c>
      <c r="Q22" s="164" t="s">
        <v>43</v>
      </c>
      <c r="R22" s="164" t="s">
        <v>44</v>
      </c>
      <c r="S22" s="164" t="s">
        <v>45</v>
      </c>
      <c r="T22" s="164" t="s">
        <v>46</v>
      </c>
      <c r="U22" s="164" t="s">
        <v>47</v>
      </c>
      <c r="W22" s="164" t="s">
        <v>42</v>
      </c>
      <c r="X22" s="164" t="s">
        <v>43</v>
      </c>
      <c r="Y22" s="164" t="s">
        <v>44</v>
      </c>
      <c r="Z22" s="164" t="s">
        <v>45</v>
      </c>
      <c r="AA22" s="164" t="s">
        <v>46</v>
      </c>
      <c r="AB22" s="164" t="s">
        <v>47</v>
      </c>
    </row>
    <row r="23" spans="2:28" ht="21.75" customHeight="1">
      <c r="B23" s="227" t="s">
        <v>48</v>
      </c>
      <c r="C23" s="167">
        <f>COUNTIFS('1. All Data'!$AA$3:$AA$134,"Improving Local Democracy",'1. All Data'!$H$3:$H$134,"Fully Achieved")</f>
        <v>0</v>
      </c>
      <c r="D23" s="168">
        <f>C23/C34</f>
        <v>0</v>
      </c>
      <c r="E23" s="369">
        <f>D23+D24</f>
        <v>0.5</v>
      </c>
      <c r="F23" s="168">
        <f>C23/C35</f>
        <v>0</v>
      </c>
      <c r="G23" s="387">
        <f>F23+F24</f>
        <v>1</v>
      </c>
      <c r="I23" s="227" t="s">
        <v>48</v>
      </c>
      <c r="J23" s="167">
        <f>COUNTIFS('1. All Data'!$AA$3:$AA$134,"Improving Local Democracy council",'1. All Data'!$M$3:$M$134,"Fully Achieved")</f>
        <v>0</v>
      </c>
      <c r="K23" s="168" t="e">
        <f>J23/J34</f>
        <v>#DIV/0!</v>
      </c>
      <c r="L23" s="369" t="e">
        <f>K23+K24</f>
        <v>#DIV/0!</v>
      </c>
      <c r="M23" s="168" t="e">
        <f>J23/J35</f>
        <v>#DIV/0!</v>
      </c>
      <c r="N23" s="371" t="e">
        <f>M23+M24</f>
        <v>#DIV/0!</v>
      </c>
      <c r="P23" s="227" t="s">
        <v>48</v>
      </c>
      <c r="Q23" s="167">
        <f>COUNTIFS('1. All Data'!$AA$3:$AA$134,"Improving Local Democracy council",'1. All Data'!$R$3:$R$134,"Fully Achieved")</f>
        <v>0</v>
      </c>
      <c r="R23" s="168" t="e">
        <f>Q23/Q34</f>
        <v>#DIV/0!</v>
      </c>
      <c r="S23" s="369" t="e">
        <f>R23+R24</f>
        <v>#DIV/0!</v>
      </c>
      <c r="T23" s="168" t="e">
        <f>Q23/Q35</f>
        <v>#DIV/0!</v>
      </c>
      <c r="U23" s="371" t="e">
        <f>T23+T24</f>
        <v>#DIV/0!</v>
      </c>
      <c r="W23" s="227" t="s">
        <v>48</v>
      </c>
      <c r="X23" s="167">
        <f>COUNTIFS('1. All Data'!$AA$3:$AA$134,"Improving Local Democracy council",'1. All Data'!$V$3:$V$134,"Fully Achieved")</f>
        <v>0</v>
      </c>
      <c r="Y23" s="168" t="e">
        <f>X23/X34</f>
        <v>#DIV/0!</v>
      </c>
      <c r="Z23" s="369" t="e">
        <f>Y23+Y24</f>
        <v>#DIV/0!</v>
      </c>
      <c r="AA23" s="168" t="e">
        <f>X23/X35</f>
        <v>#DIV/0!</v>
      </c>
      <c r="AB23" s="371" t="e">
        <f>AA23+AA24</f>
        <v>#DIV/0!</v>
      </c>
    </row>
    <row r="24" spans="2:28" ht="18.75" customHeight="1">
      <c r="B24" s="227" t="s">
        <v>31</v>
      </c>
      <c r="C24" s="167">
        <f>COUNTIFS('1. All Data'!$AA$3:$AA$134,"Improving Local Democracy",'1. All Data'!$H$3:$H$134,"On Track to be achieved")</f>
        <v>3</v>
      </c>
      <c r="D24" s="168">
        <f>C24/C34</f>
        <v>0.5</v>
      </c>
      <c r="E24" s="369"/>
      <c r="F24" s="168">
        <f>C24/C35</f>
        <v>1</v>
      </c>
      <c r="G24" s="388"/>
      <c r="I24" s="227" t="s">
        <v>31</v>
      </c>
      <c r="J24" s="167">
        <f>COUNTIFS('1. All Data'!$AA$3:$AA$134,"Improving Local Democracy council",'1. All Data'!$M$3:$M$134,"On Track to be achieved")</f>
        <v>0</v>
      </c>
      <c r="K24" s="168" t="e">
        <f>J24/J34</f>
        <v>#DIV/0!</v>
      </c>
      <c r="L24" s="369"/>
      <c r="M24" s="168" t="e">
        <f>J24/J35</f>
        <v>#DIV/0!</v>
      </c>
      <c r="N24" s="371"/>
      <c r="P24" s="227" t="s">
        <v>31</v>
      </c>
      <c r="Q24" s="167">
        <f>COUNTIFS('1. All Data'!$AA$3:$AA$134,"Improving Local Democracy council",'1. All Data'!$R$3:$R$134,"On Track to be achieved")</f>
        <v>0</v>
      </c>
      <c r="R24" s="168" t="e">
        <f>Q24/Q34</f>
        <v>#DIV/0!</v>
      </c>
      <c r="S24" s="369"/>
      <c r="T24" s="168" t="e">
        <f>Q24/Q35</f>
        <v>#DIV/0!</v>
      </c>
      <c r="U24" s="371"/>
      <c r="W24" s="227" t="s">
        <v>23</v>
      </c>
      <c r="X24" s="167">
        <f>COUNTIFS('1. All Data'!$AA$3:$AA$134,"Improving Local Democracy council",'1. All Data'!$V$3:$V$134,"Numerical Outturn Within 5% Tolerance")</f>
        <v>0</v>
      </c>
      <c r="Y24" s="168" t="e">
        <f>X24/X34</f>
        <v>#DIV/0!</v>
      </c>
      <c r="Z24" s="369"/>
      <c r="AA24" s="168" t="e">
        <f t="shared" ref="AA24:AA29" si="3">X24/$X$35</f>
        <v>#DIV/0!</v>
      </c>
      <c r="AB24" s="371"/>
    </row>
    <row r="25" spans="2:28" ht="21" customHeight="1">
      <c r="B25" s="379" t="s">
        <v>32</v>
      </c>
      <c r="C25" s="382">
        <f>COUNTIFS('1. All Data'!$AA$3:$AA$134,"Improving Local Democracy",'1. All Data'!$H$3:$H$134,"In Danger of Falling Behind Target")</f>
        <v>0</v>
      </c>
      <c r="D25" s="372">
        <f>C25/C34</f>
        <v>0</v>
      </c>
      <c r="E25" s="372">
        <f>D25</f>
        <v>0</v>
      </c>
      <c r="F25" s="372">
        <f>C25/C35</f>
        <v>0</v>
      </c>
      <c r="G25" s="375">
        <f>F25</f>
        <v>0</v>
      </c>
      <c r="I25" s="379" t="s">
        <v>32</v>
      </c>
      <c r="J25" s="382">
        <f>COUNTIFS('1. All Data'!$AA$3:$AA$134,"Improving Local Democracy council",'1. All Data'!$M$3:$M$134,"In Danger of Falling Behind Target")</f>
        <v>0</v>
      </c>
      <c r="K25" s="372" t="e">
        <f>J25/J34</f>
        <v>#DIV/0!</v>
      </c>
      <c r="L25" s="372" t="e">
        <f>K25</f>
        <v>#DIV/0!</v>
      </c>
      <c r="M25" s="372" t="e">
        <f>J25/J35</f>
        <v>#DIV/0!</v>
      </c>
      <c r="N25" s="375" t="e">
        <f>M25</f>
        <v>#DIV/0!</v>
      </c>
      <c r="P25" s="379" t="s">
        <v>32</v>
      </c>
      <c r="Q25" s="382">
        <f>COUNTIFS('1. All Data'!$AA$3:$AA$134,"Improving Local Democracy council",'1. All Data'!$R$3:$R$134,"In Danger of Falling Behind Target")</f>
        <v>0</v>
      </c>
      <c r="R25" s="372" t="e">
        <f>Q25/Q34</f>
        <v>#DIV/0!</v>
      </c>
      <c r="S25" s="372" t="e">
        <f>R25</f>
        <v>#DIV/0!</v>
      </c>
      <c r="T25" s="372" t="e">
        <f>Q25/Q35</f>
        <v>#DIV/0!</v>
      </c>
      <c r="U25" s="375" t="e">
        <f>T25</f>
        <v>#DIV/0!</v>
      </c>
      <c r="W25" s="169" t="s">
        <v>24</v>
      </c>
      <c r="X25" s="170">
        <f>COUNTIFS('1. All Data'!$AA$3:$AA$134,"Improving Local Democracy council",'1. All Data'!$V$3:$V$134,"Numerical Outturn Within 10% Tolerance")</f>
        <v>0</v>
      </c>
      <c r="Y25" s="168" t="e">
        <f>X25/$X$34</f>
        <v>#DIV/0!</v>
      </c>
      <c r="Z25" s="369" t="e">
        <f>SUM(Y25:Y27)</f>
        <v>#DIV/0!</v>
      </c>
      <c r="AA25" s="168" t="e">
        <f t="shared" si="3"/>
        <v>#DIV/0!</v>
      </c>
      <c r="AB25" s="378" t="e">
        <f>SUM(AA25:AA27)</f>
        <v>#DIV/0!</v>
      </c>
    </row>
    <row r="26" spans="2:28" ht="20.25" customHeight="1">
      <c r="B26" s="380"/>
      <c r="C26" s="383"/>
      <c r="D26" s="373"/>
      <c r="E26" s="373"/>
      <c r="F26" s="373"/>
      <c r="G26" s="376"/>
      <c r="I26" s="380"/>
      <c r="J26" s="383"/>
      <c r="K26" s="373"/>
      <c r="L26" s="373"/>
      <c r="M26" s="373"/>
      <c r="N26" s="376"/>
      <c r="P26" s="380"/>
      <c r="Q26" s="383"/>
      <c r="R26" s="373"/>
      <c r="S26" s="373"/>
      <c r="T26" s="373"/>
      <c r="U26" s="376"/>
      <c r="W26" s="169" t="s">
        <v>25</v>
      </c>
      <c r="X26" s="170">
        <f>COUNTIFS('1. All Data'!$AA$3:$AA$134,"Improving Local Democracy council",'1. All Data'!$V$3:$V$134,"Target Partially Met")</f>
        <v>0</v>
      </c>
      <c r="Y26" s="168" t="e">
        <f>X26/$X$34</f>
        <v>#DIV/0!</v>
      </c>
      <c r="Z26" s="369"/>
      <c r="AA26" s="168" t="e">
        <f t="shared" si="3"/>
        <v>#DIV/0!</v>
      </c>
      <c r="AB26" s="378"/>
    </row>
    <row r="27" spans="2:28" ht="18.75" customHeight="1">
      <c r="B27" s="381"/>
      <c r="C27" s="384"/>
      <c r="D27" s="374"/>
      <c r="E27" s="374"/>
      <c r="F27" s="374"/>
      <c r="G27" s="377"/>
      <c r="I27" s="381"/>
      <c r="J27" s="384"/>
      <c r="K27" s="374"/>
      <c r="L27" s="374"/>
      <c r="M27" s="374"/>
      <c r="N27" s="377"/>
      <c r="P27" s="381"/>
      <c r="Q27" s="384"/>
      <c r="R27" s="374"/>
      <c r="S27" s="374"/>
      <c r="T27" s="374"/>
      <c r="U27" s="377"/>
      <c r="W27" s="169" t="s">
        <v>28</v>
      </c>
      <c r="X27" s="170">
        <f>COUNTIFS('1. All Data'!$AA$3:$AA$134,"Improving Local Democracy council",'1. All Data'!$V$3:$V$134,"Completion Date Within Reasonable Tolerance")</f>
        <v>0</v>
      </c>
      <c r="Y27" s="168" t="e">
        <f>X27/$X$34</f>
        <v>#DIV/0!</v>
      </c>
      <c r="Z27" s="369"/>
      <c r="AA27" s="168" t="e">
        <f t="shared" si="3"/>
        <v>#DIV/0!</v>
      </c>
      <c r="AB27" s="378"/>
    </row>
    <row r="28" spans="2:28" ht="20.25" customHeight="1">
      <c r="B28" s="171" t="s">
        <v>33</v>
      </c>
      <c r="C28" s="167">
        <f>COUNTIFS('1. All Data'!$AA$3:$AA$134,"Improving Local Democracy",'1. All Data'!$H$3:$H$134,"Completed Behind Schedule")</f>
        <v>0</v>
      </c>
      <c r="D28" s="168">
        <f>C28/C34</f>
        <v>0</v>
      </c>
      <c r="E28" s="369">
        <f>D28+D29</f>
        <v>0</v>
      </c>
      <c r="F28" s="168">
        <f>C28/C35</f>
        <v>0</v>
      </c>
      <c r="G28" s="370">
        <f>F28+F29</f>
        <v>0</v>
      </c>
      <c r="I28" s="171" t="s">
        <v>33</v>
      </c>
      <c r="J28" s="167">
        <f>COUNTIFS('1. All Data'!$AA$3:$AA$134,"Improving Local Democracy council",'1. All Data'!$M$3:$M$134,"Completed Behind Schedule")</f>
        <v>0</v>
      </c>
      <c r="K28" s="168" t="e">
        <f>J28/J34</f>
        <v>#DIV/0!</v>
      </c>
      <c r="L28" s="369" t="e">
        <f>K28+K29</f>
        <v>#DIV/0!</v>
      </c>
      <c r="M28" s="168" t="e">
        <f>J28/J35</f>
        <v>#DIV/0!</v>
      </c>
      <c r="N28" s="370" t="e">
        <f>M28+M29</f>
        <v>#DIV/0!</v>
      </c>
      <c r="P28" s="171" t="s">
        <v>33</v>
      </c>
      <c r="Q28" s="167">
        <f>COUNTIFS('1. All Data'!$AA$3:$AA$134,"Improving Local Democracy council",'1. All Data'!$R$3:$R$134,"Completed Behind Schedule")</f>
        <v>0</v>
      </c>
      <c r="R28" s="168" t="e">
        <f>Q28/Q34</f>
        <v>#DIV/0!</v>
      </c>
      <c r="S28" s="369" t="e">
        <f>R28+R29</f>
        <v>#DIV/0!</v>
      </c>
      <c r="T28" s="168" t="e">
        <f>Q28/Q35</f>
        <v>#DIV/0!</v>
      </c>
      <c r="U28" s="370" t="e">
        <f>T28+T29</f>
        <v>#DIV/0!</v>
      </c>
      <c r="W28" s="171" t="s">
        <v>27</v>
      </c>
      <c r="X28" s="167">
        <f>COUNTIFS('1. All Data'!$AA$3:$AA$134,"Improving Local Democracy council",'1. All Data'!$V$3:$V$134,"Completed Significantly After Target Deadline")</f>
        <v>0</v>
      </c>
      <c r="Y28" s="168" t="e">
        <f>X28/$X$34</f>
        <v>#DIV/0!</v>
      </c>
      <c r="Z28" s="369" t="e">
        <f>SUM(Y28:Y29)</f>
        <v>#DIV/0!</v>
      </c>
      <c r="AA28" s="168" t="e">
        <f t="shared" si="3"/>
        <v>#DIV/0!</v>
      </c>
      <c r="AB28" s="370" t="e">
        <f>AA28+AA29</f>
        <v>#DIV/0!</v>
      </c>
    </row>
    <row r="29" spans="2:28" ht="20.25" customHeight="1">
      <c r="B29" s="171" t="s">
        <v>26</v>
      </c>
      <c r="C29" s="167">
        <f>COUNTIFS('1. All Data'!$AA$3:$AA$134,"Improving Local Democracy",'1. All Data'!$H$3:$H$134,"Off Target")</f>
        <v>0</v>
      </c>
      <c r="D29" s="168">
        <f>C29/C34</f>
        <v>0</v>
      </c>
      <c r="E29" s="369"/>
      <c r="F29" s="168">
        <f>C29/C35</f>
        <v>0</v>
      </c>
      <c r="G29" s="370"/>
      <c r="I29" s="171" t="s">
        <v>26</v>
      </c>
      <c r="J29" s="167">
        <f>COUNTIFS('1. All Data'!$AA$3:$AA$134,"Improving Local Democracy council",'1. All Data'!$M$3:$M$134,"Off Target")</f>
        <v>0</v>
      </c>
      <c r="K29" s="168" t="e">
        <f>J29/J34</f>
        <v>#DIV/0!</v>
      </c>
      <c r="L29" s="369"/>
      <c r="M29" s="168" t="e">
        <f>J29/J35</f>
        <v>#DIV/0!</v>
      </c>
      <c r="N29" s="370"/>
      <c r="P29" s="171" t="s">
        <v>26</v>
      </c>
      <c r="Q29" s="167">
        <f>COUNTIFS('1. All Data'!$AA$3:$AA$134,"Improving Local Democracy council",'1. All Data'!$R$3:$R$134,"Off Target")</f>
        <v>0</v>
      </c>
      <c r="R29" s="168" t="e">
        <f>Q29/Q34</f>
        <v>#DIV/0!</v>
      </c>
      <c r="S29" s="369"/>
      <c r="T29" s="168" t="e">
        <f>Q29/Q35</f>
        <v>#DIV/0!</v>
      </c>
      <c r="U29" s="370"/>
      <c r="W29" s="171" t="s">
        <v>26</v>
      </c>
      <c r="X29" s="167">
        <f>COUNTIFS('1. All Data'!$AA$3:$AA$134,"Improving Local Democracy council",'1. All Data'!$V$3:$V$134,"Off Target")</f>
        <v>0</v>
      </c>
      <c r="Y29" s="168" t="e">
        <f>X29/$X$34</f>
        <v>#DIV/0!</v>
      </c>
      <c r="Z29" s="369"/>
      <c r="AA29" s="168" t="e">
        <f t="shared" si="3"/>
        <v>#DIV/0!</v>
      </c>
      <c r="AB29" s="370"/>
    </row>
    <row r="30" spans="2:28" ht="15" customHeight="1">
      <c r="B30" s="172" t="s">
        <v>49</v>
      </c>
      <c r="C30" s="167">
        <f>COUNTIFS('1. All Data'!$AA$3:$AA$134,"Improving Local Democracy",'1. All Data'!$H$3:$H$134,"Not yet due")</f>
        <v>3</v>
      </c>
      <c r="D30" s="173">
        <f>C30/C34</f>
        <v>0.5</v>
      </c>
      <c r="E30" s="173">
        <f>D30</f>
        <v>0.5</v>
      </c>
      <c r="F30" s="174"/>
      <c r="G30" s="58"/>
      <c r="I30" s="172" t="s">
        <v>49</v>
      </c>
      <c r="J30" s="167">
        <f>COUNTIFS('1. All Data'!$AA$3:$AA$134,"Improving Local Democracy council",'1. All Data'!$M$3:$M$134,"Not yet due")</f>
        <v>0</v>
      </c>
      <c r="K30" s="173" t="e">
        <f>J30/J34</f>
        <v>#DIV/0!</v>
      </c>
      <c r="L30" s="173" t="e">
        <f>K30</f>
        <v>#DIV/0!</v>
      </c>
      <c r="M30" s="174"/>
      <c r="N30" s="58"/>
      <c r="P30" s="172" t="s">
        <v>49</v>
      </c>
      <c r="Q30" s="167">
        <f>COUNTIFS('1. All Data'!$AA$3:$AA$134,"Improving Local Democracy council",'1. All Data'!$R$3:$R$134,"Not yet due")</f>
        <v>0</v>
      </c>
      <c r="R30" s="173" t="e">
        <f>Q30/Q34</f>
        <v>#DIV/0!</v>
      </c>
      <c r="S30" s="173" t="e">
        <f>R30</f>
        <v>#DIV/0!</v>
      </c>
      <c r="T30" s="174"/>
      <c r="U30" s="58"/>
      <c r="W30" s="172" t="s">
        <v>49</v>
      </c>
      <c r="X30" s="167">
        <f>COUNTIFS('1. All Data'!$AA$3:$AA$134,"Improving Local Democracy council",'1. All Data'!$V$3:$V$134,"Not yet due")</f>
        <v>0</v>
      </c>
      <c r="Y30" s="168" t="e">
        <f t="shared" ref="Y30:Y33" si="4">X30/$X$34</f>
        <v>#DIV/0!</v>
      </c>
      <c r="Z30" s="168" t="e">
        <f>Y30</f>
        <v>#DIV/0!</v>
      </c>
      <c r="AA30" s="174"/>
      <c r="AB30" s="58"/>
    </row>
    <row r="31" spans="2:28" ht="15" customHeight="1">
      <c r="B31" s="172" t="s">
        <v>21</v>
      </c>
      <c r="C31" s="167">
        <f>COUNTIFS('1. All Data'!$AA$3:$AA$134,"Improving Local Democracy",'1. All Data'!$H$3:$H$134,"update not provided")</f>
        <v>0</v>
      </c>
      <c r="D31" s="173">
        <f>C31/C34</f>
        <v>0</v>
      </c>
      <c r="E31" s="173">
        <f>D31</f>
        <v>0</v>
      </c>
      <c r="F31" s="174"/>
      <c r="G31" s="2"/>
      <c r="I31" s="172" t="s">
        <v>21</v>
      </c>
      <c r="J31" s="167">
        <f>COUNTIFS('1. All Data'!$AA$3:$AA$134,"Improving Local Democracy council",'1. All Data'!$M$3:$M$134,"update not provided")</f>
        <v>0</v>
      </c>
      <c r="K31" s="173" t="e">
        <f>J31/J34</f>
        <v>#DIV/0!</v>
      </c>
      <c r="L31" s="173" t="e">
        <f>K31</f>
        <v>#DIV/0!</v>
      </c>
      <c r="M31" s="174"/>
      <c r="N31" s="2"/>
      <c r="P31" s="172" t="s">
        <v>21</v>
      </c>
      <c r="Q31" s="167">
        <f>COUNTIFS('1. All Data'!$AA$3:$AA$134,"Improving Local Democracy council",'1. All Data'!$R$3:$R$134,"update not provided")</f>
        <v>0</v>
      </c>
      <c r="R31" s="173" t="e">
        <f>Q31/Q34</f>
        <v>#DIV/0!</v>
      </c>
      <c r="S31" s="173" t="e">
        <f>R31</f>
        <v>#DIV/0!</v>
      </c>
      <c r="T31" s="174"/>
      <c r="U31" s="2"/>
      <c r="W31" s="172" t="s">
        <v>21</v>
      </c>
      <c r="X31" s="167">
        <f>COUNTIFS('1. All Data'!$AA$3:$AA$134,"Improving Local Democracy council",'1. All Data'!$V$3:$V$134,"update not provided")</f>
        <v>0</v>
      </c>
      <c r="Y31" s="168" t="e">
        <f t="shared" si="4"/>
        <v>#DIV/0!</v>
      </c>
      <c r="Z31" s="168" t="e">
        <f t="shared" ref="Z31:Z33" si="5">Y31</f>
        <v>#DIV/0!</v>
      </c>
      <c r="AA31" s="174"/>
      <c r="AB31" s="2"/>
    </row>
    <row r="32" spans="2:28" ht="15.75" customHeight="1">
      <c r="B32" s="175" t="s">
        <v>29</v>
      </c>
      <c r="C32" s="167">
        <f>COUNTIFS('1. All Data'!$AA$3:$AA$134,"Improving Local Democracy",'1. All Data'!$H$3:$H$134,"Deferred")</f>
        <v>0</v>
      </c>
      <c r="D32" s="176">
        <f>C32/C34</f>
        <v>0</v>
      </c>
      <c r="E32" s="176">
        <f>D32</f>
        <v>0</v>
      </c>
      <c r="F32" s="177"/>
      <c r="G32" s="58"/>
      <c r="I32" s="175" t="s">
        <v>29</v>
      </c>
      <c r="J32" s="167">
        <f>COUNTIFS('1. All Data'!$AA$3:$AA$134,"Improving Local Democracy council",'1. All Data'!$M$3:$M$134,"Deferred")</f>
        <v>0</v>
      </c>
      <c r="K32" s="176" t="e">
        <f>J32/J34</f>
        <v>#DIV/0!</v>
      </c>
      <c r="L32" s="176" t="e">
        <f>K32</f>
        <v>#DIV/0!</v>
      </c>
      <c r="M32" s="177"/>
      <c r="N32" s="58"/>
      <c r="P32" s="175" t="s">
        <v>29</v>
      </c>
      <c r="Q32" s="167">
        <f>COUNTIFS('1. All Data'!$AA$3:$AA$134,"Improving Local Democracy council",'1. All Data'!$R$3:$R$134,"Deferred")</f>
        <v>0</v>
      </c>
      <c r="R32" s="176" t="e">
        <f>Q32/Q34</f>
        <v>#DIV/0!</v>
      </c>
      <c r="S32" s="176" t="e">
        <f>R32</f>
        <v>#DIV/0!</v>
      </c>
      <c r="T32" s="177"/>
      <c r="U32" s="58"/>
      <c r="W32" s="175" t="s">
        <v>29</v>
      </c>
      <c r="X32" s="167">
        <f>COUNTIFS('1. All Data'!$AA$3:$AA$134,"Improving Local Democracy8 council",'1. All Data'!$V$3:$V$134,"Deferred")</f>
        <v>0</v>
      </c>
      <c r="Y32" s="168" t="e">
        <f t="shared" si="4"/>
        <v>#DIV/0!</v>
      </c>
      <c r="Z32" s="168" t="e">
        <f t="shared" si="5"/>
        <v>#DIV/0!</v>
      </c>
      <c r="AA32" s="177"/>
      <c r="AB32" s="58"/>
    </row>
    <row r="33" spans="2:30" ht="15.75" customHeight="1">
      <c r="B33" s="175" t="s">
        <v>30</v>
      </c>
      <c r="C33" s="167">
        <f>COUNTIFS('1. All Data'!$AA$3:$AA$134,"Improving Local Democracy",'1. All Data'!$H$3:$H$134,"Deleted")</f>
        <v>0</v>
      </c>
      <c r="D33" s="176">
        <f>C33/C34</f>
        <v>0</v>
      </c>
      <c r="E33" s="176">
        <f>D33</f>
        <v>0</v>
      </c>
      <c r="F33" s="177"/>
      <c r="G33" s="3"/>
      <c r="I33" s="175" t="s">
        <v>30</v>
      </c>
      <c r="J33" s="167">
        <f>COUNTIFS('1. All Data'!$AA$3:$AA$134,"Improving Local Democracy council",'1. All Data'!$M$3:$M$134,"Deleted")</f>
        <v>0</v>
      </c>
      <c r="K33" s="176" t="e">
        <f>J33/J34</f>
        <v>#DIV/0!</v>
      </c>
      <c r="L33" s="176" t="e">
        <f>K33</f>
        <v>#DIV/0!</v>
      </c>
      <c r="M33" s="177"/>
      <c r="N33" s="3"/>
      <c r="P33" s="175" t="s">
        <v>30</v>
      </c>
      <c r="Q33" s="167">
        <f>COUNTIFS('1. All Data'!$AA$3:$AA$134,"Improving Local Democracy council",'1. All Data'!$R$3:$R$134,"Deleted")</f>
        <v>0</v>
      </c>
      <c r="R33" s="176" t="e">
        <f>Q33/Q34</f>
        <v>#DIV/0!</v>
      </c>
      <c r="S33" s="176" t="e">
        <f>R33</f>
        <v>#DIV/0!</v>
      </c>
      <c r="T33" s="177"/>
      <c r="U33" s="3"/>
      <c r="W33" s="175" t="s">
        <v>30</v>
      </c>
      <c r="X33" s="167">
        <f>COUNTIFS('1. All Data'!$AA$3:$AA$134,"Improving Local Democracy council",'1. All Data'!$V$3:$V$134,"Deleted")</f>
        <v>0</v>
      </c>
      <c r="Y33" s="168" t="e">
        <f t="shared" si="4"/>
        <v>#DIV/0!</v>
      </c>
      <c r="Z33" s="168" t="e">
        <f t="shared" si="5"/>
        <v>#DIV/0!</v>
      </c>
      <c r="AA33" s="177"/>
      <c r="AD33" s="3"/>
    </row>
    <row r="34" spans="2:30" ht="15.75" customHeight="1">
      <c r="B34" s="178" t="s">
        <v>51</v>
      </c>
      <c r="C34" s="179">
        <f>SUM(C23:C33)</f>
        <v>6</v>
      </c>
      <c r="D34" s="177"/>
      <c r="E34" s="177"/>
      <c r="F34" s="58"/>
      <c r="G34" s="58"/>
      <c r="I34" s="178" t="s">
        <v>51</v>
      </c>
      <c r="J34" s="179">
        <f>SUM(J23:J33)</f>
        <v>0</v>
      </c>
      <c r="K34" s="177"/>
      <c r="L34" s="177"/>
      <c r="M34" s="58"/>
      <c r="N34" s="58"/>
      <c r="P34" s="178" t="s">
        <v>51</v>
      </c>
      <c r="Q34" s="179">
        <f>SUM(Q23:Q33)</f>
        <v>0</v>
      </c>
      <c r="R34" s="177"/>
      <c r="S34" s="177"/>
      <c r="T34" s="58"/>
      <c r="U34" s="58"/>
      <c r="W34" s="178" t="s">
        <v>51</v>
      </c>
      <c r="X34" s="179">
        <f>SUM(X23:X33)</f>
        <v>0</v>
      </c>
      <c r="Y34" s="177"/>
      <c r="Z34" s="177"/>
      <c r="AA34" s="58"/>
      <c r="AB34" s="58"/>
    </row>
    <row r="35" spans="2:30" ht="15.75" customHeight="1">
      <c r="B35" s="178" t="s">
        <v>52</v>
      </c>
      <c r="C35" s="179">
        <f>C34-C33-C32-C31-C30</f>
        <v>3</v>
      </c>
      <c r="D35" s="58"/>
      <c r="E35" s="58"/>
      <c r="F35" s="58"/>
      <c r="G35" s="58"/>
      <c r="I35" s="178" t="s">
        <v>52</v>
      </c>
      <c r="J35" s="179">
        <f>J34-J33-J32-J31-J30</f>
        <v>0</v>
      </c>
      <c r="K35" s="58"/>
      <c r="L35" s="58"/>
      <c r="M35" s="58"/>
      <c r="N35" s="58"/>
      <c r="P35" s="178" t="s">
        <v>52</v>
      </c>
      <c r="Q35" s="179">
        <f>Q34-Q33-Q32-Q31-Q30</f>
        <v>0</v>
      </c>
      <c r="R35" s="58"/>
      <c r="S35" s="58"/>
      <c r="T35" s="58"/>
      <c r="U35" s="58"/>
      <c r="W35" s="178" t="s">
        <v>52</v>
      </c>
      <c r="X35" s="179">
        <f>X34-X33-X32-X31-X30</f>
        <v>0</v>
      </c>
      <c r="Y35" s="58"/>
      <c r="Z35" s="58"/>
      <c r="AA35" s="58"/>
      <c r="AB35" s="58"/>
    </row>
    <row r="36" spans="2:30" ht="15.75" hidden="1" customHeight="1">
      <c r="W36" s="185"/>
      <c r="X36" s="165"/>
      <c r="Y36" s="165"/>
      <c r="Z36" s="165"/>
      <c r="AA36" s="58"/>
      <c r="AB36" s="186"/>
    </row>
    <row r="37" spans="2:30" ht="15.75" hidden="1" customHeight="1"/>
    <row r="38" spans="2:30" s="166" customFormat="1" ht="15.75" customHeight="1">
      <c r="B38" s="187"/>
      <c r="C38" s="165"/>
      <c r="D38" s="165"/>
      <c r="E38" s="165"/>
      <c r="F38" s="58"/>
      <c r="G38" s="165"/>
      <c r="H38" s="165"/>
      <c r="I38" s="187"/>
      <c r="J38" s="165"/>
      <c r="K38" s="165"/>
      <c r="L38" s="165"/>
      <c r="M38" s="58"/>
      <c r="N38" s="165"/>
      <c r="O38" s="165"/>
      <c r="P38" s="187"/>
      <c r="Q38" s="165"/>
      <c r="R38" s="165"/>
      <c r="S38" s="165"/>
      <c r="T38" s="58"/>
      <c r="U38" s="165"/>
      <c r="V38" s="165"/>
      <c r="W38" s="165"/>
      <c r="X38" s="165"/>
      <c r="Y38" s="165"/>
      <c r="Z38" s="165"/>
      <c r="AA38" s="165"/>
      <c r="AB38" s="186"/>
    </row>
    <row r="39" spans="2:30" ht="15.75" customHeight="1">
      <c r="B39" s="188" t="s">
        <v>422</v>
      </c>
      <c r="C39" s="189"/>
      <c r="D39" s="189"/>
      <c r="E39" s="189"/>
      <c r="F39" s="190"/>
      <c r="G39" s="191"/>
      <c r="I39" s="188" t="s">
        <v>422</v>
      </c>
      <c r="J39" s="189"/>
      <c r="K39" s="189"/>
      <c r="L39" s="189"/>
      <c r="M39" s="190"/>
      <c r="N39" s="191"/>
      <c r="P39" s="188" t="s">
        <v>422</v>
      </c>
      <c r="Q39" s="189"/>
      <c r="R39" s="189"/>
      <c r="S39" s="189"/>
      <c r="T39" s="190"/>
      <c r="U39" s="191"/>
      <c r="W39" s="188" t="s">
        <v>422</v>
      </c>
      <c r="X39" s="162"/>
      <c r="Y39" s="162"/>
      <c r="Z39" s="162"/>
      <c r="AA39" s="162"/>
      <c r="AB39" s="163"/>
    </row>
    <row r="40" spans="2:30" ht="36" customHeight="1">
      <c r="B40" s="164" t="s">
        <v>42</v>
      </c>
      <c r="C40" s="164" t="s">
        <v>43</v>
      </c>
      <c r="D40" s="164" t="s">
        <v>44</v>
      </c>
      <c r="E40" s="164" t="s">
        <v>45</v>
      </c>
      <c r="F40" s="164" t="s">
        <v>46</v>
      </c>
      <c r="G40" s="164" t="s">
        <v>47</v>
      </c>
      <c r="I40" s="164" t="s">
        <v>42</v>
      </c>
      <c r="J40" s="164" t="s">
        <v>43</v>
      </c>
      <c r="K40" s="164" t="s">
        <v>44</v>
      </c>
      <c r="L40" s="164" t="s">
        <v>45</v>
      </c>
      <c r="M40" s="164" t="s">
        <v>46</v>
      </c>
      <c r="N40" s="164" t="s">
        <v>47</v>
      </c>
      <c r="P40" s="164" t="s">
        <v>42</v>
      </c>
      <c r="Q40" s="164" t="s">
        <v>43</v>
      </c>
      <c r="R40" s="164" t="s">
        <v>44</v>
      </c>
      <c r="S40" s="164" t="s">
        <v>45</v>
      </c>
      <c r="T40" s="164" t="s">
        <v>46</v>
      </c>
      <c r="U40" s="164" t="s">
        <v>47</v>
      </c>
      <c r="W40" s="164" t="s">
        <v>42</v>
      </c>
      <c r="X40" s="164" t="s">
        <v>43</v>
      </c>
      <c r="Y40" s="164" t="s">
        <v>44</v>
      </c>
      <c r="Z40" s="164" t="s">
        <v>45</v>
      </c>
      <c r="AA40" s="164" t="s">
        <v>46</v>
      </c>
      <c r="AB40" s="164" t="s">
        <v>47</v>
      </c>
    </row>
    <row r="41" spans="2:30" ht="18.75" customHeight="1">
      <c r="B41" s="227" t="s">
        <v>48</v>
      </c>
      <c r="C41" s="167">
        <f>COUNTIFS('1. All Data'!$AA$3:$AA$134,"Creating a prosperous East Staffordshire",'1. All Data'!$H$3:$H$134,"Fully Achieved")</f>
        <v>0</v>
      </c>
      <c r="D41" s="168">
        <f>C41/C52</f>
        <v>0</v>
      </c>
      <c r="E41" s="369">
        <f>D41+D42</f>
        <v>0.54545454545454541</v>
      </c>
      <c r="F41" s="168">
        <f>C41/C53</f>
        <v>0</v>
      </c>
      <c r="G41" s="371">
        <f>F41+F42</f>
        <v>1</v>
      </c>
      <c r="I41" s="227" t="s">
        <v>48</v>
      </c>
      <c r="J41" s="167">
        <f>COUNTIFS('1. All Data'!$AA$3:$AA$134,"Creating a prosperous East Staffordshire",'1. All Data'!$M$3:$M$134,"Fully Achieved")</f>
        <v>0</v>
      </c>
      <c r="K41" s="168" t="e">
        <f>J41/J52</f>
        <v>#DIV/0!</v>
      </c>
      <c r="L41" s="369" t="e">
        <f>K41+K42</f>
        <v>#DIV/0!</v>
      </c>
      <c r="M41" s="168" t="e">
        <f>J41/J53</f>
        <v>#DIV/0!</v>
      </c>
      <c r="N41" s="371" t="e">
        <f>M41+M42</f>
        <v>#DIV/0!</v>
      </c>
      <c r="P41" s="227" t="s">
        <v>48</v>
      </c>
      <c r="Q41" s="167">
        <f>COUNTIFS('1. All Data'!$AA$3:$AA$134,"Creating a prosperous East Staffordshire",'1. All Data'!$R$3:$R$134,"Fully Achieved")</f>
        <v>0</v>
      </c>
      <c r="R41" s="168" t="e">
        <f>Q41/Q52</f>
        <v>#DIV/0!</v>
      </c>
      <c r="S41" s="369" t="e">
        <f>R41+R42</f>
        <v>#DIV/0!</v>
      </c>
      <c r="T41" s="168" t="e">
        <f>Q41/Q53</f>
        <v>#DIV/0!</v>
      </c>
      <c r="U41" s="371" t="e">
        <f>T41+T42</f>
        <v>#DIV/0!</v>
      </c>
      <c r="W41" s="227" t="s">
        <v>48</v>
      </c>
      <c r="X41" s="167">
        <f>COUNTIFS('1. All Data'!$AA$3:$AA$134,"Creating a prosperous East Staffordshire",'1. All Data'!$V$3:$V$134,"Fully Achieved")</f>
        <v>0</v>
      </c>
      <c r="Y41" s="168" t="e">
        <f>X41/X52</f>
        <v>#DIV/0!</v>
      </c>
      <c r="Z41" s="369" t="e">
        <f>Y41+Y42</f>
        <v>#DIV/0!</v>
      </c>
      <c r="AA41" s="168" t="e">
        <f>X41/X53</f>
        <v>#DIV/0!</v>
      </c>
      <c r="AB41" s="371" t="e">
        <f>AA41+AA42</f>
        <v>#DIV/0!</v>
      </c>
    </row>
    <row r="42" spans="2:30" ht="18.75" customHeight="1">
      <c r="B42" s="227" t="s">
        <v>31</v>
      </c>
      <c r="C42" s="167">
        <f>COUNTIFS('1. All Data'!$AA$3:$AA$134,"Creating a prosperous East Staffordshire",'1. All Data'!$H$3:$H$134,"On Track to be achieved")</f>
        <v>6</v>
      </c>
      <c r="D42" s="168">
        <f>C42/C52</f>
        <v>0.54545454545454541</v>
      </c>
      <c r="E42" s="369"/>
      <c r="F42" s="168">
        <f>C42/C53</f>
        <v>1</v>
      </c>
      <c r="G42" s="371"/>
      <c r="I42" s="227" t="s">
        <v>31</v>
      </c>
      <c r="J42" s="167">
        <f>COUNTIFS('1. All Data'!$AA$3:$AA$134,"Creating a prosperous East Staffordshire",'1. All Data'!$M$3:$M$134,"On Track to be achieved")</f>
        <v>0</v>
      </c>
      <c r="K42" s="168" t="e">
        <f>J42/J52</f>
        <v>#DIV/0!</v>
      </c>
      <c r="L42" s="369"/>
      <c r="M42" s="168" t="e">
        <f>J42/J53</f>
        <v>#DIV/0!</v>
      </c>
      <c r="N42" s="371"/>
      <c r="P42" s="227" t="s">
        <v>31</v>
      </c>
      <c r="Q42" s="167">
        <f>COUNTIFS('1. All Data'!$AA$3:$AA$134,"Creating a prosperous East Staffordshire",'1. All Data'!$R$3:$R$134,"On Track to be achieved")</f>
        <v>0</v>
      </c>
      <c r="R42" s="168" t="e">
        <f>Q42/Q52</f>
        <v>#DIV/0!</v>
      </c>
      <c r="S42" s="369"/>
      <c r="T42" s="168" t="e">
        <f>Q42/Q53</f>
        <v>#DIV/0!</v>
      </c>
      <c r="U42" s="371"/>
      <c r="W42" s="227" t="s">
        <v>23</v>
      </c>
      <c r="X42" s="167">
        <f>COUNTIFS('1. All Data'!$AA$3:$AA$134,"Creating a prosperous East Staffordshire",'1. All Data'!$V$3:$V$134,"Numerical Outturn Within 5% Tolerance")</f>
        <v>0</v>
      </c>
      <c r="Y42" s="168" t="e">
        <f>X42/X52</f>
        <v>#DIV/0!</v>
      </c>
      <c r="Z42" s="369"/>
      <c r="AA42" s="168" t="e">
        <f>X42/X53</f>
        <v>#DIV/0!</v>
      </c>
      <c r="AB42" s="371"/>
    </row>
    <row r="43" spans="2:30" ht="19.5" customHeight="1">
      <c r="B43" s="379" t="s">
        <v>32</v>
      </c>
      <c r="C43" s="382">
        <f>COUNTIFS('1. All Data'!$AA$3:$AA$134,"Creating a prosperous East Staffordshire",'1. All Data'!$H$3:$H$134,"In Danger of Falling Behind Target")</f>
        <v>0</v>
      </c>
      <c r="D43" s="372">
        <f>C43/C52</f>
        <v>0</v>
      </c>
      <c r="E43" s="372">
        <f>D43</f>
        <v>0</v>
      </c>
      <c r="F43" s="372">
        <f>C43/C53</f>
        <v>0</v>
      </c>
      <c r="G43" s="375">
        <f>F43</f>
        <v>0</v>
      </c>
      <c r="I43" s="379" t="s">
        <v>32</v>
      </c>
      <c r="J43" s="382">
        <f>COUNTIFS('1. All Data'!$AA$3:$AA$134,"Creating a prosperous East Staffordshire",'1. All Data'!$M$3:$M$134,"In Danger of Falling Behind Target")</f>
        <v>0</v>
      </c>
      <c r="K43" s="372" t="e">
        <f>J43/J52</f>
        <v>#DIV/0!</v>
      </c>
      <c r="L43" s="372" t="e">
        <f>K43</f>
        <v>#DIV/0!</v>
      </c>
      <c r="M43" s="372" t="e">
        <f>J43/J53</f>
        <v>#DIV/0!</v>
      </c>
      <c r="N43" s="375" t="e">
        <f>M43</f>
        <v>#DIV/0!</v>
      </c>
      <c r="P43" s="379" t="s">
        <v>32</v>
      </c>
      <c r="Q43" s="382">
        <f>COUNTIFS('1. All Data'!$AA$3:$AA$134,"Creating a prosperous East Staffordshire",'1. All Data'!$R$3:$R$134,"In Danger of Falling Behind Target")</f>
        <v>0</v>
      </c>
      <c r="R43" s="372" t="e">
        <f>Q43/Q52</f>
        <v>#DIV/0!</v>
      </c>
      <c r="S43" s="372" t="e">
        <f>R43</f>
        <v>#DIV/0!</v>
      </c>
      <c r="T43" s="372" t="e">
        <f>Q43/Q53</f>
        <v>#DIV/0!</v>
      </c>
      <c r="U43" s="375" t="e">
        <f>T43</f>
        <v>#DIV/0!</v>
      </c>
      <c r="W43" s="169" t="s">
        <v>24</v>
      </c>
      <c r="X43" s="170">
        <f>COUNTIFS('1. All Data'!$AA$3:$AA$134,"Creating a prosperous East Staffordshire",'1. All Data'!$V$3:$V$134,"Numerical Outturn Within 10% Tolerance")</f>
        <v>0</v>
      </c>
      <c r="Y43" s="168" t="e">
        <f>X43/X52</f>
        <v>#DIV/0!</v>
      </c>
      <c r="Z43" s="369" t="e">
        <f>SUM(Y43:Y45)</f>
        <v>#DIV/0!</v>
      </c>
      <c r="AA43" s="168" t="e">
        <f>X43/X53</f>
        <v>#DIV/0!</v>
      </c>
      <c r="AB43" s="378" t="e">
        <f>SUM(AA43:AA45)</f>
        <v>#DIV/0!</v>
      </c>
    </row>
    <row r="44" spans="2:30" ht="19.5" customHeight="1">
      <c r="B44" s="380"/>
      <c r="C44" s="383"/>
      <c r="D44" s="373"/>
      <c r="E44" s="373"/>
      <c r="F44" s="373"/>
      <c r="G44" s="376"/>
      <c r="I44" s="380"/>
      <c r="J44" s="383"/>
      <c r="K44" s="373"/>
      <c r="L44" s="373"/>
      <c r="M44" s="373"/>
      <c r="N44" s="376"/>
      <c r="P44" s="380"/>
      <c r="Q44" s="383"/>
      <c r="R44" s="373"/>
      <c r="S44" s="373"/>
      <c r="T44" s="373"/>
      <c r="U44" s="376"/>
      <c r="W44" s="169" t="s">
        <v>25</v>
      </c>
      <c r="X44" s="170">
        <f>COUNTIFS('1. All Data'!$AA$3:$AA$134,"Creating a prosperous East Staffordshire",'1. All Data'!$V$3:$V$134,"Target Partially Met")</f>
        <v>0</v>
      </c>
      <c r="Y44" s="168" t="e">
        <f>X44/X52</f>
        <v>#DIV/0!</v>
      </c>
      <c r="Z44" s="369"/>
      <c r="AA44" s="168" t="e">
        <f>X44/X53</f>
        <v>#DIV/0!</v>
      </c>
      <c r="AB44" s="378"/>
    </row>
    <row r="45" spans="2:30" ht="19.5" customHeight="1">
      <c r="B45" s="381"/>
      <c r="C45" s="384"/>
      <c r="D45" s="374"/>
      <c r="E45" s="374"/>
      <c r="F45" s="374"/>
      <c r="G45" s="377"/>
      <c r="I45" s="381"/>
      <c r="J45" s="384"/>
      <c r="K45" s="374"/>
      <c r="L45" s="374"/>
      <c r="M45" s="374"/>
      <c r="N45" s="377"/>
      <c r="P45" s="381"/>
      <c r="Q45" s="384"/>
      <c r="R45" s="374"/>
      <c r="S45" s="374"/>
      <c r="T45" s="374"/>
      <c r="U45" s="377"/>
      <c r="W45" s="169" t="s">
        <v>28</v>
      </c>
      <c r="X45" s="170">
        <f>COUNTIFS('1. All Data'!$AA$3:$AA$134,"Creating a prosperous East Staffordshire",'1. All Data'!$V$3:$V$134,"Completion Date Within Reasonable Tolerance")</f>
        <v>0</v>
      </c>
      <c r="Y45" s="168" t="e">
        <f>X45/X52</f>
        <v>#DIV/0!</v>
      </c>
      <c r="Z45" s="369"/>
      <c r="AA45" s="168" t="e">
        <f>X45/X53</f>
        <v>#DIV/0!</v>
      </c>
      <c r="AB45" s="378"/>
    </row>
    <row r="46" spans="2:30" ht="22.5" customHeight="1">
      <c r="B46" s="171" t="s">
        <v>33</v>
      </c>
      <c r="C46" s="167">
        <f>COUNTIFS('1. All Data'!$AA$3:$AA$134,"Creating a prosperous East Staffordshire",'1. All Data'!$H$3:$H$134,"Completed Behind Schedule")</f>
        <v>0</v>
      </c>
      <c r="D46" s="168">
        <f>C46/C52</f>
        <v>0</v>
      </c>
      <c r="E46" s="369">
        <f>D46+D47</f>
        <v>0</v>
      </c>
      <c r="F46" s="168">
        <f>C46/C53</f>
        <v>0</v>
      </c>
      <c r="G46" s="370">
        <f>F46+F47</f>
        <v>0</v>
      </c>
      <c r="I46" s="171" t="s">
        <v>33</v>
      </c>
      <c r="J46" s="167">
        <f>COUNTIFS('1. All Data'!$AA$3:$AA$134,"Creating a prosperous East Staffordshire",'1. All Data'!$M$3:$M$134,"Completed Behind Schedule")</f>
        <v>0</v>
      </c>
      <c r="K46" s="168" t="e">
        <f>J46/J52</f>
        <v>#DIV/0!</v>
      </c>
      <c r="L46" s="369" t="e">
        <f>K46+K47</f>
        <v>#DIV/0!</v>
      </c>
      <c r="M46" s="168" t="e">
        <f>J46/J53</f>
        <v>#DIV/0!</v>
      </c>
      <c r="N46" s="370" t="e">
        <f>M46+M47</f>
        <v>#DIV/0!</v>
      </c>
      <c r="P46" s="171" t="s">
        <v>33</v>
      </c>
      <c r="Q46" s="167">
        <f>COUNTIFS('1. All Data'!$AA$3:$AA$134,"Creating a prosperous East Staffordshire",'1. All Data'!$R$3:$R$134,"Completed Behind Schedule")</f>
        <v>0</v>
      </c>
      <c r="R46" s="168" t="e">
        <f>Q46/Q52</f>
        <v>#DIV/0!</v>
      </c>
      <c r="S46" s="369" t="e">
        <f>R46+R47</f>
        <v>#DIV/0!</v>
      </c>
      <c r="T46" s="168" t="e">
        <f>Q46/Q53</f>
        <v>#DIV/0!</v>
      </c>
      <c r="U46" s="370" t="e">
        <f>T46+T47</f>
        <v>#DIV/0!</v>
      </c>
      <c r="W46" s="171" t="s">
        <v>27</v>
      </c>
      <c r="X46" s="167">
        <f>COUNTIFS('1. All Data'!$AA$3:$AA$134,"Creating a prosperous East Staffordshire",'1. All Data'!$V$3:$V$134,"Completed Significantly After Target Deadline")</f>
        <v>0</v>
      </c>
      <c r="Y46" s="168" t="e">
        <f>X46/X52</f>
        <v>#DIV/0!</v>
      </c>
      <c r="Z46" s="369" t="e">
        <f>SUM(Y46:Y47)</f>
        <v>#DIV/0!</v>
      </c>
      <c r="AA46" s="168" t="e">
        <f>X46/X53</f>
        <v>#DIV/0!</v>
      </c>
      <c r="AB46" s="370" t="e">
        <f>AA46+AA47</f>
        <v>#DIV/0!</v>
      </c>
    </row>
    <row r="47" spans="2:30" ht="22.5" customHeight="1">
      <c r="B47" s="171" t="s">
        <v>26</v>
      </c>
      <c r="C47" s="167">
        <f>COUNTIFS('1. All Data'!$AA$3:$AA$134,"Creating a prosperous East Staffordshire",'1. All Data'!$H$3:$H$134,"Off Target")</f>
        <v>0</v>
      </c>
      <c r="D47" s="168">
        <f>C47/C52</f>
        <v>0</v>
      </c>
      <c r="E47" s="369"/>
      <c r="F47" s="168">
        <f>C47/C53</f>
        <v>0</v>
      </c>
      <c r="G47" s="370"/>
      <c r="I47" s="171" t="s">
        <v>26</v>
      </c>
      <c r="J47" s="167">
        <f>COUNTIFS('1. All Data'!$AA$3:$AA$134,"Creating a prosperous East Staffordshire",'1. All Data'!$M$3:$M$134,"Off Target")</f>
        <v>0</v>
      </c>
      <c r="K47" s="168" t="e">
        <f>J47/J52</f>
        <v>#DIV/0!</v>
      </c>
      <c r="L47" s="369"/>
      <c r="M47" s="168" t="e">
        <f>J47/J53</f>
        <v>#DIV/0!</v>
      </c>
      <c r="N47" s="370"/>
      <c r="P47" s="171" t="s">
        <v>26</v>
      </c>
      <c r="Q47" s="167">
        <f>COUNTIFS('1. All Data'!$AA$3:$AA$134,"Creating a prosperous East Staffordshire",'1. All Data'!$R$3:$R$134,"Off Target")</f>
        <v>0</v>
      </c>
      <c r="R47" s="168" t="e">
        <f>Q47/Q52</f>
        <v>#DIV/0!</v>
      </c>
      <c r="S47" s="369"/>
      <c r="T47" s="168" t="e">
        <f>Q47/Q53</f>
        <v>#DIV/0!</v>
      </c>
      <c r="U47" s="370"/>
      <c r="W47" s="171" t="s">
        <v>26</v>
      </c>
      <c r="X47" s="167">
        <f>COUNTIFS('1. All Data'!$AA$3:$AA$134,"Creating a prosperous East Staffordshire",'1. All Data'!$V$3:$V$134,"Off Target")</f>
        <v>0</v>
      </c>
      <c r="Y47" s="168" t="e">
        <f>X47/X52</f>
        <v>#DIV/0!</v>
      </c>
      <c r="Z47" s="369"/>
      <c r="AA47" s="168" t="e">
        <f>X47/X53</f>
        <v>#DIV/0!</v>
      </c>
      <c r="AB47" s="370"/>
    </row>
    <row r="48" spans="2:30" ht="15.75" customHeight="1">
      <c r="B48" s="172" t="s">
        <v>49</v>
      </c>
      <c r="C48" s="167">
        <f>COUNTIFS('1. All Data'!$AA$3:$AA$134,"Creating a prosperous East Staffordshire",'1. All Data'!$H$3:$H$134,"Not yet due")</f>
        <v>5</v>
      </c>
      <c r="D48" s="173">
        <f>C48/C52</f>
        <v>0.45454545454545453</v>
      </c>
      <c r="E48" s="173">
        <f>D48</f>
        <v>0.45454545454545453</v>
      </c>
      <c r="F48" s="174"/>
      <c r="G48" s="58"/>
      <c r="I48" s="172" t="s">
        <v>49</v>
      </c>
      <c r="J48" s="167">
        <f>COUNTIFS('1. All Data'!$AA$3:$AA$134,"Creating a prosperous East Staffordshire",'1. All Data'!$M$3:$M$134,"Not yet due")</f>
        <v>0</v>
      </c>
      <c r="K48" s="173" t="e">
        <f>J48/J52</f>
        <v>#DIV/0!</v>
      </c>
      <c r="L48" s="173" t="e">
        <f>K48</f>
        <v>#DIV/0!</v>
      </c>
      <c r="M48" s="174"/>
      <c r="N48" s="58"/>
      <c r="P48" s="172" t="s">
        <v>49</v>
      </c>
      <c r="Q48" s="167">
        <f>COUNTIFS('1. All Data'!$AA$3:$AA$134,"Creating a prosperous East Staffordshire",'1. All Data'!$R$3:$R$134,"Not yet due")</f>
        <v>0</v>
      </c>
      <c r="R48" s="173" t="e">
        <f>Q48/Q52</f>
        <v>#DIV/0!</v>
      </c>
      <c r="S48" s="173" t="e">
        <f>R48</f>
        <v>#DIV/0!</v>
      </c>
      <c r="T48" s="174"/>
      <c r="U48" s="58"/>
      <c r="W48" s="172" t="s">
        <v>49</v>
      </c>
      <c r="X48" s="167">
        <f>COUNTIFS('1. All Data'!$AA$3:$AA$134,"Creating a prosperous East Staffordshire",'1. All Data'!$V$3:$V$134,"Not yet due")</f>
        <v>0</v>
      </c>
      <c r="Y48" s="168" t="e">
        <f>X48/X52</f>
        <v>#DIV/0!</v>
      </c>
      <c r="Z48" s="168" t="e">
        <f>Y48</f>
        <v>#DIV/0!</v>
      </c>
      <c r="AA48" s="174"/>
      <c r="AB48" s="58"/>
    </row>
    <row r="49" spans="2:30" ht="15.75" customHeight="1">
      <c r="B49" s="172" t="s">
        <v>21</v>
      </c>
      <c r="C49" s="167">
        <f>COUNTIFS('1. All Data'!$AA$3:$AA$134,"Creating a prosperous East Staffordshire",'1. All Data'!$H$3:$H$134,"update not provided")</f>
        <v>0</v>
      </c>
      <c r="D49" s="173">
        <f>C49/C52</f>
        <v>0</v>
      </c>
      <c r="E49" s="173">
        <f>D49</f>
        <v>0</v>
      </c>
      <c r="F49" s="174"/>
      <c r="G49" s="2"/>
      <c r="I49" s="172" t="s">
        <v>21</v>
      </c>
      <c r="J49" s="167">
        <f>COUNTIFS('1. All Data'!$AA$3:$AA$134,"Creating a prosperous East Staffordshire",'1. All Data'!$M$3:$M$134,"update not provided")</f>
        <v>0</v>
      </c>
      <c r="K49" s="173" t="e">
        <f>J49/J52</f>
        <v>#DIV/0!</v>
      </c>
      <c r="L49" s="173" t="e">
        <f>K49</f>
        <v>#DIV/0!</v>
      </c>
      <c r="M49" s="174"/>
      <c r="N49" s="2"/>
      <c r="P49" s="172" t="s">
        <v>21</v>
      </c>
      <c r="Q49" s="167">
        <f>COUNTIFS('1. All Data'!$AA$3:$AA$134,"Creating a prosperous East Staffordshire",'1. All Data'!$R$3:$R$134,"update not provided")</f>
        <v>0</v>
      </c>
      <c r="R49" s="173" t="e">
        <f>Q49/Q52</f>
        <v>#DIV/0!</v>
      </c>
      <c r="S49" s="173" t="e">
        <f>R49</f>
        <v>#DIV/0!</v>
      </c>
      <c r="T49" s="174"/>
      <c r="U49" s="2"/>
      <c r="W49" s="172" t="s">
        <v>21</v>
      </c>
      <c r="X49" s="167">
        <f>COUNTIFS('1. All Data'!$AA$3:$AA$134,"Creating a prosperous East Staffordshire",'1. All Data'!$V$3:$V$134,"update not provided")</f>
        <v>0</v>
      </c>
      <c r="Y49" s="168" t="e">
        <f>X49/X52</f>
        <v>#DIV/0!</v>
      </c>
      <c r="Z49" s="168" t="e">
        <f t="shared" ref="Z49:Z51" si="6">Y49</f>
        <v>#DIV/0!</v>
      </c>
      <c r="AA49" s="174"/>
      <c r="AB49" s="2"/>
    </row>
    <row r="50" spans="2:30" ht="15.75" customHeight="1">
      <c r="B50" s="175" t="s">
        <v>29</v>
      </c>
      <c r="C50" s="167">
        <f>COUNTIFS('1. All Data'!$AA$3:$AA$134,"Creating a prosperous East Staffordshire",'1. All Data'!$H$3:$H$134,"Deferred")</f>
        <v>0</v>
      </c>
      <c r="D50" s="176">
        <f>C50/C52</f>
        <v>0</v>
      </c>
      <c r="E50" s="176">
        <f>D50</f>
        <v>0</v>
      </c>
      <c r="F50" s="177"/>
      <c r="G50" s="58"/>
      <c r="I50" s="175" t="s">
        <v>29</v>
      </c>
      <c r="J50" s="167">
        <f>COUNTIFS('1. All Data'!$AA$3:$AA$134,"Creating a prosperous East Staffordshire",'1. All Data'!$M$3:$M$134,"Deferred")</f>
        <v>0</v>
      </c>
      <c r="K50" s="176" t="e">
        <f>J50/J52</f>
        <v>#DIV/0!</v>
      </c>
      <c r="L50" s="176" t="e">
        <f>K50</f>
        <v>#DIV/0!</v>
      </c>
      <c r="M50" s="177"/>
      <c r="N50" s="58"/>
      <c r="P50" s="175" t="s">
        <v>29</v>
      </c>
      <c r="Q50" s="167">
        <f>COUNTIFS('1. All Data'!$AA$3:$AA$134,"Creating a prosperous East Staffordshire",'1. All Data'!$R$3:$R$134,"Deferred")</f>
        <v>0</v>
      </c>
      <c r="R50" s="176" t="e">
        <f>Q50/Q52</f>
        <v>#DIV/0!</v>
      </c>
      <c r="S50" s="176" t="e">
        <f>R50</f>
        <v>#DIV/0!</v>
      </c>
      <c r="T50" s="177"/>
      <c r="U50" s="58"/>
      <c r="W50" s="175" t="s">
        <v>29</v>
      </c>
      <c r="X50" s="167">
        <f>COUNTIFS('1. All Data'!$AA$3:$AA$134,"Creating a prosperous East Staffordshire",'1. All Data'!$V$3:$V$134,"Deferred")</f>
        <v>0</v>
      </c>
      <c r="Y50" s="168" t="e">
        <f>X50/X52</f>
        <v>#DIV/0!</v>
      </c>
      <c r="Z50" s="168" t="e">
        <f t="shared" si="6"/>
        <v>#DIV/0!</v>
      </c>
      <c r="AA50" s="177"/>
      <c r="AB50" s="58"/>
    </row>
    <row r="51" spans="2:30" ht="15.75" customHeight="1">
      <c r="B51" s="175" t="s">
        <v>30</v>
      </c>
      <c r="C51" s="192">
        <f>COUNTIFS('1. All Data'!$AA$3:$AA$134,"Creating a prosperous East Staffordshire",'1. All Data'!$H$3:$H$134,"Deleted")</f>
        <v>0</v>
      </c>
      <c r="D51" s="176">
        <f>C51/C52</f>
        <v>0</v>
      </c>
      <c r="E51" s="176">
        <f>D51</f>
        <v>0</v>
      </c>
      <c r="F51" s="177"/>
      <c r="G51" s="3"/>
      <c r="I51" s="175" t="s">
        <v>30</v>
      </c>
      <c r="J51" s="192">
        <f>COUNTIFS('1. All Data'!$AA$3:$AA$134,"Creating a prosperous East Staffordshire",'1. All Data'!$M$3:$M$134,"Deleted")</f>
        <v>0</v>
      </c>
      <c r="K51" s="176" t="e">
        <f>J51/J52</f>
        <v>#DIV/0!</v>
      </c>
      <c r="L51" s="176" t="e">
        <f>K51</f>
        <v>#DIV/0!</v>
      </c>
      <c r="M51" s="177"/>
      <c r="N51" s="3"/>
      <c r="P51" s="175" t="s">
        <v>30</v>
      </c>
      <c r="Q51" s="192">
        <f>COUNTIFS('1. All Data'!$AA$3:$AA$134,"Creating a prosperous East Staffordshire",'1. All Data'!$R$3:$R$134,"Deleted")</f>
        <v>0</v>
      </c>
      <c r="R51" s="176" t="e">
        <f>Q51/Q52</f>
        <v>#DIV/0!</v>
      </c>
      <c r="S51" s="176" t="e">
        <f>R51</f>
        <v>#DIV/0!</v>
      </c>
      <c r="T51" s="177"/>
      <c r="U51" s="3"/>
      <c r="W51" s="175" t="s">
        <v>30</v>
      </c>
      <c r="X51" s="167">
        <f>COUNTIFS('1. All Data'!$AA$3:$AA$134,"Creating a prosperous East Staffordshire",'1. All Data'!$V$3:$V$134,"Deleted")</f>
        <v>0</v>
      </c>
      <c r="Y51" s="168" t="e">
        <f>X51/X52</f>
        <v>#DIV/0!</v>
      </c>
      <c r="Z51" s="168" t="e">
        <f t="shared" si="6"/>
        <v>#DIV/0!</v>
      </c>
      <c r="AA51" s="177"/>
      <c r="AD51" s="3"/>
    </row>
    <row r="52" spans="2:30" ht="15.75" customHeight="1">
      <c r="B52" s="193" t="s">
        <v>51</v>
      </c>
      <c r="C52" s="179">
        <f>SUM(C41:C51)</f>
        <v>11</v>
      </c>
      <c r="D52" s="177"/>
      <c r="E52" s="177"/>
      <c r="F52" s="58"/>
      <c r="G52" s="58"/>
      <c r="I52" s="193" t="s">
        <v>51</v>
      </c>
      <c r="J52" s="179">
        <f>SUM(J41:J51)</f>
        <v>0</v>
      </c>
      <c r="K52" s="177"/>
      <c r="L52" s="177"/>
      <c r="M52" s="58"/>
      <c r="N52" s="58"/>
      <c r="P52" s="193" t="s">
        <v>51</v>
      </c>
      <c r="Q52" s="179">
        <f>SUM(Q41:Q51)</f>
        <v>0</v>
      </c>
      <c r="R52" s="177"/>
      <c r="S52" s="177"/>
      <c r="T52" s="58"/>
      <c r="U52" s="58"/>
      <c r="W52" s="178" t="s">
        <v>51</v>
      </c>
      <c r="X52" s="179">
        <f>SUM(X41:X51)</f>
        <v>0</v>
      </c>
      <c r="Y52" s="177"/>
      <c r="Z52" s="177"/>
      <c r="AA52" s="58"/>
      <c r="AB52" s="58"/>
    </row>
    <row r="53" spans="2:30" ht="15.75" customHeight="1">
      <c r="B53" s="193" t="s">
        <v>52</v>
      </c>
      <c r="C53" s="179">
        <f>C52-C51-C50-C49-C48</f>
        <v>6</v>
      </c>
      <c r="D53" s="58"/>
      <c r="E53" s="58"/>
      <c r="F53" s="58"/>
      <c r="G53" s="58"/>
      <c r="I53" s="193" t="s">
        <v>52</v>
      </c>
      <c r="J53" s="179">
        <f>J52-J51-J50-J49-J48</f>
        <v>0</v>
      </c>
      <c r="K53" s="58"/>
      <c r="L53" s="58"/>
      <c r="M53" s="58"/>
      <c r="N53" s="58"/>
      <c r="P53" s="193" t="s">
        <v>52</v>
      </c>
      <c r="Q53" s="179">
        <f>Q52-Q51-Q50-Q49-Q48</f>
        <v>0</v>
      </c>
      <c r="R53" s="58"/>
      <c r="S53" s="58"/>
      <c r="T53" s="58"/>
      <c r="U53" s="58"/>
      <c r="W53" s="178" t="s">
        <v>52</v>
      </c>
      <c r="X53" s="179">
        <f>X52-X51-X50-X49-X48</f>
        <v>0</v>
      </c>
      <c r="Y53" s="58"/>
      <c r="Z53" s="58"/>
      <c r="AA53" s="58"/>
      <c r="AB53" s="58"/>
    </row>
    <row r="54" spans="2:30" ht="15.75" hidden="1" customHeight="1">
      <c r="X54" s="194"/>
    </row>
    <row r="55" spans="2:30" ht="15.75" hidden="1" customHeight="1">
      <c r="X55" s="194"/>
    </row>
    <row r="56" spans="2:30" ht="15.75" customHeight="1">
      <c r="X56" s="194"/>
    </row>
    <row r="57" spans="2:30" ht="15.75" customHeight="1">
      <c r="B57" s="188" t="s">
        <v>423</v>
      </c>
      <c r="C57" s="189"/>
      <c r="D57" s="189"/>
      <c r="E57" s="189"/>
      <c r="F57" s="190"/>
      <c r="G57" s="191"/>
      <c r="I57" s="188" t="s">
        <v>423</v>
      </c>
      <c r="J57" s="189"/>
      <c r="K57" s="189"/>
      <c r="L57" s="189"/>
      <c r="M57" s="190"/>
      <c r="N57" s="191"/>
      <c r="P57" s="188" t="s">
        <v>423</v>
      </c>
      <c r="Q57" s="189"/>
      <c r="R57" s="189"/>
      <c r="S57" s="189"/>
      <c r="T57" s="190"/>
      <c r="U57" s="191"/>
      <c r="W57" s="188" t="s">
        <v>423</v>
      </c>
      <c r="X57" s="195"/>
      <c r="Y57" s="162"/>
      <c r="Z57" s="162"/>
      <c r="AA57" s="162"/>
      <c r="AB57" s="163"/>
    </row>
    <row r="58" spans="2:30" ht="41.25" customHeight="1">
      <c r="B58" s="164" t="s">
        <v>42</v>
      </c>
      <c r="C58" s="164" t="s">
        <v>43</v>
      </c>
      <c r="D58" s="164" t="s">
        <v>44</v>
      </c>
      <c r="E58" s="164" t="s">
        <v>45</v>
      </c>
      <c r="F58" s="164" t="s">
        <v>46</v>
      </c>
      <c r="G58" s="164" t="s">
        <v>47</v>
      </c>
      <c r="I58" s="164" t="s">
        <v>42</v>
      </c>
      <c r="J58" s="164" t="s">
        <v>43</v>
      </c>
      <c r="K58" s="164" t="s">
        <v>44</v>
      </c>
      <c r="L58" s="164" t="s">
        <v>45</v>
      </c>
      <c r="M58" s="164" t="s">
        <v>46</v>
      </c>
      <c r="N58" s="164" t="s">
        <v>47</v>
      </c>
      <c r="P58" s="164" t="s">
        <v>42</v>
      </c>
      <c r="Q58" s="164" t="s">
        <v>43</v>
      </c>
      <c r="R58" s="164" t="s">
        <v>44</v>
      </c>
      <c r="S58" s="164" t="s">
        <v>45</v>
      </c>
      <c r="T58" s="164" t="s">
        <v>46</v>
      </c>
      <c r="U58" s="164" t="s">
        <v>47</v>
      </c>
      <c r="W58" s="164" t="s">
        <v>42</v>
      </c>
      <c r="X58" s="164" t="s">
        <v>43</v>
      </c>
      <c r="Y58" s="164" t="s">
        <v>44</v>
      </c>
      <c r="Z58" s="164" t="s">
        <v>45</v>
      </c>
      <c r="AA58" s="164" t="s">
        <v>46</v>
      </c>
      <c r="AB58" s="164" t="s">
        <v>47</v>
      </c>
    </row>
    <row r="59" spans="2:30" ht="27.75" customHeight="1">
      <c r="B59" s="227" t="s">
        <v>48</v>
      </c>
      <c r="C59" s="167">
        <f>COUNTIFS('1. All Data'!$AA$3:$AA$134,"Developing a Green New Deal for East Staffordshire",'1. All Data'!$H$3:$H$134,"Fully Achieved")</f>
        <v>0</v>
      </c>
      <c r="D59" s="168">
        <f>C59/C70</f>
        <v>0</v>
      </c>
      <c r="E59" s="369">
        <f>D59+D60</f>
        <v>0.54545454545454541</v>
      </c>
      <c r="F59" s="168">
        <f>C59/C71</f>
        <v>0</v>
      </c>
      <c r="G59" s="371">
        <f>F59+F60</f>
        <v>0.8571428571428571</v>
      </c>
      <c r="I59" s="227" t="s">
        <v>48</v>
      </c>
      <c r="J59" s="167">
        <f>COUNTIFS('1. All Data'!$AA$3:$AA$134,"Developing a Green New Deal for East Staffordshire",'1. All Data'!$M$3:$M$134,"Fully Achieved")</f>
        <v>0</v>
      </c>
      <c r="K59" s="168" t="e">
        <f>J59/J70</f>
        <v>#DIV/0!</v>
      </c>
      <c r="L59" s="369" t="e">
        <f>K59+K60</f>
        <v>#DIV/0!</v>
      </c>
      <c r="M59" s="168" t="e">
        <f>J59/J71</f>
        <v>#DIV/0!</v>
      </c>
      <c r="N59" s="371" t="e">
        <f>M59+M60</f>
        <v>#DIV/0!</v>
      </c>
      <c r="P59" s="227" t="s">
        <v>48</v>
      </c>
      <c r="Q59" s="167">
        <f>COUNTIFS('1. All Data'!$AA$3:$AA$134,"Developing a Green New Deal for East Staffordshire",'1. All Data'!$R$3:$R$134,"Fully Achieved")</f>
        <v>0</v>
      </c>
      <c r="R59" s="168" t="e">
        <f>Q59/Q70</f>
        <v>#DIV/0!</v>
      </c>
      <c r="S59" s="369" t="e">
        <f>R59+R60</f>
        <v>#DIV/0!</v>
      </c>
      <c r="T59" s="168" t="e">
        <f>Q59/Q71</f>
        <v>#DIV/0!</v>
      </c>
      <c r="U59" s="371" t="e">
        <f>T59+T60</f>
        <v>#DIV/0!</v>
      </c>
      <c r="W59" s="227" t="s">
        <v>48</v>
      </c>
      <c r="X59" s="167">
        <f>COUNTIFS('1. All Data'!$AA$3:$AA$134,"Developing a Green New Deal for East Staffordshire",'1. All Data'!$V$3:$V$134,"Fully Achieved")</f>
        <v>0</v>
      </c>
      <c r="Y59" s="168" t="e">
        <f>X59/X70</f>
        <v>#DIV/0!</v>
      </c>
      <c r="Z59" s="369" t="e">
        <f>Y59+Y60</f>
        <v>#DIV/0!</v>
      </c>
      <c r="AA59" s="168" t="e">
        <f>X59/X71</f>
        <v>#DIV/0!</v>
      </c>
      <c r="AB59" s="371" t="e">
        <f>AA59+AA60</f>
        <v>#DIV/0!</v>
      </c>
    </row>
    <row r="60" spans="2:30" ht="27.75" customHeight="1">
      <c r="B60" s="227" t="s">
        <v>31</v>
      </c>
      <c r="C60" s="167">
        <f>COUNTIFS('1. All Data'!$AA$3:$AA$134,"Developing a Green New Deal for East Staffordshire",'1. All Data'!$H$3:$H$134,"On Track to be achieved")</f>
        <v>6</v>
      </c>
      <c r="D60" s="168">
        <f>C60/C70</f>
        <v>0.54545454545454541</v>
      </c>
      <c r="E60" s="369"/>
      <c r="F60" s="168">
        <f>C60/C71</f>
        <v>0.8571428571428571</v>
      </c>
      <c r="G60" s="371"/>
      <c r="I60" s="227" t="s">
        <v>31</v>
      </c>
      <c r="J60" s="167">
        <f>COUNTIFS('1. All Data'!$AA$3:$AA$134,"Developing a Green New Deal for East Staffordshire",'1. All Data'!$M$3:$M$134,"On Track to be achieved")</f>
        <v>0</v>
      </c>
      <c r="K60" s="168" t="e">
        <f>J60/J70</f>
        <v>#DIV/0!</v>
      </c>
      <c r="L60" s="369"/>
      <c r="M60" s="168" t="e">
        <f>J60/J71</f>
        <v>#DIV/0!</v>
      </c>
      <c r="N60" s="371"/>
      <c r="P60" s="227" t="s">
        <v>31</v>
      </c>
      <c r="Q60" s="167">
        <f>COUNTIFS('1. All Data'!$AA$3:$AA$134,"Developing a Green New Deal for East Staffordshire",'1. All Data'!$R$3:$R$134,"On Track to be achieved")</f>
        <v>0</v>
      </c>
      <c r="R60" s="168" t="e">
        <f>Q60/Q70</f>
        <v>#DIV/0!</v>
      </c>
      <c r="S60" s="369"/>
      <c r="T60" s="168" t="e">
        <f>Q60/Q71</f>
        <v>#DIV/0!</v>
      </c>
      <c r="U60" s="371"/>
      <c r="W60" s="227" t="s">
        <v>23</v>
      </c>
      <c r="X60" s="167">
        <f>COUNTIFS('1. All Data'!$AA$3:$AA$134,"Developing a Green New Deal for East Staffordshire",'1. All Data'!$V$3:$V$134,"Numerical Outturn Within 5% Tolerance")</f>
        <v>0</v>
      </c>
      <c r="Y60" s="168" t="e">
        <f>X60/X70</f>
        <v>#DIV/0!</v>
      </c>
      <c r="Z60" s="369"/>
      <c r="AA60" s="168" t="e">
        <f>X60/X71</f>
        <v>#DIV/0!</v>
      </c>
      <c r="AB60" s="371"/>
    </row>
    <row r="61" spans="2:30" ht="18.75" customHeight="1">
      <c r="B61" s="379" t="s">
        <v>32</v>
      </c>
      <c r="C61" s="382">
        <f>COUNTIFS('1. All Data'!$AA$3:$AA$134,"Developing a Green New Deal for East Staffordshire",'1. All Data'!$H$3:$H$134,"In Danger of Falling Behind Target")</f>
        <v>1</v>
      </c>
      <c r="D61" s="372">
        <f>C61/C70</f>
        <v>9.0909090909090912E-2</v>
      </c>
      <c r="E61" s="372">
        <f>D61</f>
        <v>9.0909090909090912E-2</v>
      </c>
      <c r="F61" s="372">
        <f>C61/C71</f>
        <v>0.14285714285714285</v>
      </c>
      <c r="G61" s="375">
        <f>F61</f>
        <v>0.14285714285714285</v>
      </c>
      <c r="I61" s="379" t="s">
        <v>32</v>
      </c>
      <c r="J61" s="382">
        <f>COUNTIFS('1. All Data'!$AA$3:$AA$134,"Developing a Green New Deal for East Staffordshire",'1. All Data'!$M$3:$M$134,"In Danger of Falling Behind Target")</f>
        <v>0</v>
      </c>
      <c r="K61" s="372" t="e">
        <f>J61/J70</f>
        <v>#DIV/0!</v>
      </c>
      <c r="L61" s="372" t="e">
        <f>K61</f>
        <v>#DIV/0!</v>
      </c>
      <c r="M61" s="372" t="e">
        <f>J61/J71</f>
        <v>#DIV/0!</v>
      </c>
      <c r="N61" s="375" t="e">
        <f>M61</f>
        <v>#DIV/0!</v>
      </c>
      <c r="P61" s="379" t="s">
        <v>32</v>
      </c>
      <c r="Q61" s="382">
        <f>COUNTIFS('1. All Data'!$AA$3:$AA$134,"Developing a Green New Deal for East Staffordshire",'1. All Data'!$R$3:$R$134,"In Danger of Falling Behind Target")</f>
        <v>0</v>
      </c>
      <c r="R61" s="372" t="e">
        <f>Q61/Q70</f>
        <v>#DIV/0!</v>
      </c>
      <c r="S61" s="372" t="e">
        <f>R61</f>
        <v>#DIV/0!</v>
      </c>
      <c r="T61" s="372" t="e">
        <f>Q61/Q71</f>
        <v>#DIV/0!</v>
      </c>
      <c r="U61" s="375" t="e">
        <f>T61</f>
        <v>#DIV/0!</v>
      </c>
      <c r="W61" s="169" t="s">
        <v>24</v>
      </c>
      <c r="X61" s="170">
        <f>COUNTIFS('1. All Data'!$AA$3:$AA$134,"Developing a Green New Deal for East Staffordshire",'1. All Data'!$V$3:$V$134,"Numerical Outturn Within 10% Tolerance")</f>
        <v>0</v>
      </c>
      <c r="Y61" s="168" t="e">
        <f>X61/$X$34</f>
        <v>#DIV/0!</v>
      </c>
      <c r="Z61" s="369" t="e">
        <f>SUM(Y61:Y63)</f>
        <v>#DIV/0!</v>
      </c>
      <c r="AA61" s="168" t="e">
        <f>X61/X71</f>
        <v>#DIV/0!</v>
      </c>
      <c r="AB61" s="378" t="e">
        <f>SUM(AA61:AA63)</f>
        <v>#DIV/0!</v>
      </c>
    </row>
    <row r="62" spans="2:30" ht="18.75" customHeight="1">
      <c r="B62" s="380"/>
      <c r="C62" s="383"/>
      <c r="D62" s="373"/>
      <c r="E62" s="373"/>
      <c r="F62" s="373"/>
      <c r="G62" s="376"/>
      <c r="I62" s="380"/>
      <c r="J62" s="383"/>
      <c r="K62" s="373"/>
      <c r="L62" s="373"/>
      <c r="M62" s="373"/>
      <c r="N62" s="376"/>
      <c r="P62" s="380"/>
      <c r="Q62" s="383"/>
      <c r="R62" s="373"/>
      <c r="S62" s="373"/>
      <c r="T62" s="373"/>
      <c r="U62" s="376"/>
      <c r="W62" s="169" t="s">
        <v>25</v>
      </c>
      <c r="X62" s="170">
        <f>COUNTIFS('1. All Data'!$AA$3:$AA$134,"Developing a Green New Deal for East Staffordshire",'1. All Data'!$V$3:$V$134,"Target Partially Met")</f>
        <v>0</v>
      </c>
      <c r="Y62" s="168" t="e">
        <f>X62/$X$34</f>
        <v>#DIV/0!</v>
      </c>
      <c r="Z62" s="369"/>
      <c r="AA62" s="168" t="e">
        <f>X62/X71</f>
        <v>#DIV/0!</v>
      </c>
      <c r="AB62" s="378"/>
    </row>
    <row r="63" spans="2:30" ht="18.75" customHeight="1">
      <c r="B63" s="381"/>
      <c r="C63" s="384"/>
      <c r="D63" s="374"/>
      <c r="E63" s="374"/>
      <c r="F63" s="374"/>
      <c r="G63" s="377"/>
      <c r="I63" s="381"/>
      <c r="J63" s="384"/>
      <c r="K63" s="374"/>
      <c r="L63" s="374"/>
      <c r="M63" s="374"/>
      <c r="N63" s="377"/>
      <c r="P63" s="381"/>
      <c r="Q63" s="384"/>
      <c r="R63" s="374"/>
      <c r="S63" s="374"/>
      <c r="T63" s="374"/>
      <c r="U63" s="377"/>
      <c r="W63" s="169" t="s">
        <v>28</v>
      </c>
      <c r="X63" s="170">
        <f>COUNTIFS('1. All Data'!$AA$3:$AA$134,"Developing a Green New Deal for East Staffordshire",'1. All Data'!$V$3:$V$134,"Completion Date Within Reasonable Tolerance")</f>
        <v>0</v>
      </c>
      <c r="Y63" s="168" t="e">
        <f>X63/$X$34</f>
        <v>#DIV/0!</v>
      </c>
      <c r="Z63" s="369"/>
      <c r="AA63" s="168" t="e">
        <f>X63/X71</f>
        <v>#DIV/0!</v>
      </c>
      <c r="AB63" s="378"/>
    </row>
    <row r="64" spans="2:30" ht="30" customHeight="1">
      <c r="B64" s="171" t="s">
        <v>33</v>
      </c>
      <c r="C64" s="167">
        <f>COUNTIFS('1. All Data'!$AA$3:$AA$134,"Developing a Green New Deal for East Staffordshire",'1. All Data'!$H$3:$H$134,"Completed Behind Schedule")</f>
        <v>0</v>
      </c>
      <c r="D64" s="168">
        <f>C64/C70</f>
        <v>0</v>
      </c>
      <c r="E64" s="369">
        <f>D64+D65</f>
        <v>0</v>
      </c>
      <c r="F64" s="168">
        <f>C64/C71</f>
        <v>0</v>
      </c>
      <c r="G64" s="370">
        <f>F64+F65</f>
        <v>0</v>
      </c>
      <c r="I64" s="171" t="s">
        <v>33</v>
      </c>
      <c r="J64" s="167">
        <f>COUNTIFS('1. All Data'!$AA$3:$AA$134,"Developing a Green New Deal for East Staffordshire",'1. All Data'!$M$3:$M$134,"Completed Behind Schedule")</f>
        <v>0</v>
      </c>
      <c r="K64" s="168" t="e">
        <f>J64/J70</f>
        <v>#DIV/0!</v>
      </c>
      <c r="L64" s="369" t="e">
        <f>K64+K65</f>
        <v>#DIV/0!</v>
      </c>
      <c r="M64" s="168" t="e">
        <f>J64/J71</f>
        <v>#DIV/0!</v>
      </c>
      <c r="N64" s="370" t="e">
        <f>M64+M65</f>
        <v>#DIV/0!</v>
      </c>
      <c r="P64" s="171" t="s">
        <v>33</v>
      </c>
      <c r="Q64" s="167">
        <f>COUNTIFS('1. All Data'!$AA$3:$AA$134,"Developing a Green New Deal for East Staffordshire",'1. All Data'!$R$3:$R$134,"Completed Behind Schedule")</f>
        <v>0</v>
      </c>
      <c r="R64" s="168" t="e">
        <f>Q64/Q70</f>
        <v>#DIV/0!</v>
      </c>
      <c r="S64" s="369" t="e">
        <f>R64+R65</f>
        <v>#DIV/0!</v>
      </c>
      <c r="T64" s="168" t="e">
        <f>Q64/Q71</f>
        <v>#DIV/0!</v>
      </c>
      <c r="U64" s="370" t="e">
        <f>T64+T65</f>
        <v>#DIV/0!</v>
      </c>
      <c r="W64" s="171" t="s">
        <v>27</v>
      </c>
      <c r="X64" s="167">
        <f>COUNTIFS('1. All Data'!$AA$3:$AA$134,"Developing a Green New Deal for East Staffordshire",'1. All Data'!$V$3:$V$134,"Completed Significantly After Target Deadline")</f>
        <v>0</v>
      </c>
      <c r="Y64" s="168" t="e">
        <f>X64/$X$34</f>
        <v>#DIV/0!</v>
      </c>
      <c r="Z64" s="369" t="e">
        <f>SUM(Y64:Y65)</f>
        <v>#DIV/0!</v>
      </c>
      <c r="AA64" s="168" t="e">
        <f>X64/X71</f>
        <v>#DIV/0!</v>
      </c>
      <c r="AB64" s="370" t="e">
        <f>AA64+AA65</f>
        <v>#DIV/0!</v>
      </c>
    </row>
    <row r="65" spans="2:30" ht="30" customHeight="1">
      <c r="B65" s="171" t="s">
        <v>26</v>
      </c>
      <c r="C65" s="167">
        <f>COUNTIFS('1. All Data'!$AA$3:$AA$134,"Developing a Green New Deal for East Staffordshire",'1. All Data'!$H$3:$H$134,"Off Target")</f>
        <v>0</v>
      </c>
      <c r="D65" s="168">
        <f>C65/C70</f>
        <v>0</v>
      </c>
      <c r="E65" s="369"/>
      <c r="F65" s="168">
        <f>C65/C71</f>
        <v>0</v>
      </c>
      <c r="G65" s="370"/>
      <c r="I65" s="171" t="s">
        <v>26</v>
      </c>
      <c r="J65" s="167">
        <f>COUNTIFS('1. All Data'!$AA$3:$AA$134,"Developing a Green New Deal for East Staffordshire",'1. All Data'!$M$3:$M$134,"Off Target")</f>
        <v>0</v>
      </c>
      <c r="K65" s="168" t="e">
        <f>J65/J70</f>
        <v>#DIV/0!</v>
      </c>
      <c r="L65" s="369"/>
      <c r="M65" s="168" t="e">
        <f>J65/J71</f>
        <v>#DIV/0!</v>
      </c>
      <c r="N65" s="370"/>
      <c r="P65" s="171" t="s">
        <v>26</v>
      </c>
      <c r="Q65" s="167">
        <f>COUNTIFS('1. All Data'!$AA$3:$AA$134,"Developing a Green New Deal for East Staffordshire",'1. All Data'!$R$3:$R$134,"Off Target")</f>
        <v>0</v>
      </c>
      <c r="R65" s="168" t="e">
        <f>Q65/Q70</f>
        <v>#DIV/0!</v>
      </c>
      <c r="S65" s="369"/>
      <c r="T65" s="168" t="e">
        <f>Q65/Q71</f>
        <v>#DIV/0!</v>
      </c>
      <c r="U65" s="370"/>
      <c r="W65" s="171" t="s">
        <v>26</v>
      </c>
      <c r="X65" s="167">
        <f>COUNTIFS('1. All Data'!$AA$3:$AA$134,"Developing a Green New Deal for East Staffordshire",'1. All Data'!$V$3:$V$134,"Off Target")</f>
        <v>0</v>
      </c>
      <c r="Y65" s="168" t="e">
        <f>X65/$X$34</f>
        <v>#DIV/0!</v>
      </c>
      <c r="Z65" s="369"/>
      <c r="AA65" s="168" t="e">
        <f>X65/X71</f>
        <v>#DIV/0!</v>
      </c>
      <c r="AB65" s="370"/>
    </row>
    <row r="66" spans="2:30" ht="15.75" customHeight="1">
      <c r="B66" s="172" t="s">
        <v>49</v>
      </c>
      <c r="C66" s="167">
        <f>COUNTIFS('1. All Data'!$AA$3:$AA$134,"Developing a Green New Deal for East Staffordshire",'1. All Data'!$H$3:$H$134,"Not yet due")</f>
        <v>4</v>
      </c>
      <c r="D66" s="173">
        <f>C66/C70</f>
        <v>0.36363636363636365</v>
      </c>
      <c r="E66" s="173">
        <f>D66</f>
        <v>0.36363636363636365</v>
      </c>
      <c r="F66" s="174"/>
      <c r="G66" s="58"/>
      <c r="I66" s="172" t="s">
        <v>49</v>
      </c>
      <c r="J66" s="167">
        <f>COUNTIFS('1. All Data'!$AA$3:$AA$134,"Developing a Green New Deal for East Staffordshire",'1. All Data'!$M$3:$M$134,"Not yet due")</f>
        <v>0</v>
      </c>
      <c r="K66" s="173" t="e">
        <f>J66/J70</f>
        <v>#DIV/0!</v>
      </c>
      <c r="L66" s="173" t="e">
        <f>K66</f>
        <v>#DIV/0!</v>
      </c>
      <c r="M66" s="174"/>
      <c r="N66" s="58"/>
      <c r="P66" s="172" t="s">
        <v>49</v>
      </c>
      <c r="Q66" s="167">
        <f>COUNTIFS('1. All Data'!$AA$3:$AA$134,"Developing a Green New Deal for East Staffordshire",'1. All Data'!$R$3:$R$134,"Not yet due")</f>
        <v>0</v>
      </c>
      <c r="R66" s="173" t="e">
        <f>Q66/Q70</f>
        <v>#DIV/0!</v>
      </c>
      <c r="S66" s="173" t="e">
        <f>R66</f>
        <v>#DIV/0!</v>
      </c>
      <c r="T66" s="174"/>
      <c r="U66" s="58"/>
      <c r="W66" s="172" t="s">
        <v>49</v>
      </c>
      <c r="X66" s="167">
        <f>COUNTIFS('1. All Data'!$AA$3:$AA$134,"Developing a Green New Deal for East Staffordshire",'1. All Data'!$V$3:$V$134,"Not yet due")</f>
        <v>0</v>
      </c>
      <c r="Y66" s="168" t="e">
        <f t="shared" ref="Y66:Y69" si="7">X66/$X$34</f>
        <v>#DIV/0!</v>
      </c>
      <c r="Z66" s="168" t="e">
        <f>Y66</f>
        <v>#DIV/0!</v>
      </c>
      <c r="AA66" s="174"/>
      <c r="AB66" s="58"/>
    </row>
    <row r="67" spans="2:30" ht="15.75" customHeight="1">
      <c r="B67" s="172" t="s">
        <v>21</v>
      </c>
      <c r="C67" s="167">
        <f>COUNTIFS('1. All Data'!$AA$3:$AA$134,"Developing a Green New Deal for East Staffordshire",'1. All Data'!$H$3:$H$134,"update not provided")</f>
        <v>0</v>
      </c>
      <c r="D67" s="173">
        <f>C67/C70</f>
        <v>0</v>
      </c>
      <c r="E67" s="173">
        <f>D67</f>
        <v>0</v>
      </c>
      <c r="F67" s="174"/>
      <c r="G67" s="2"/>
      <c r="I67" s="172" t="s">
        <v>21</v>
      </c>
      <c r="J67" s="167">
        <f>COUNTIFS('1. All Data'!$AA$3:$AA$134,"Developing a Green New Deal for East Staffordshire",'1. All Data'!$M$3:$M$134,"update not provided")</f>
        <v>0</v>
      </c>
      <c r="K67" s="173" t="e">
        <f>J67/J70</f>
        <v>#DIV/0!</v>
      </c>
      <c r="L67" s="173" t="e">
        <f>K67</f>
        <v>#DIV/0!</v>
      </c>
      <c r="M67" s="174"/>
      <c r="N67" s="2"/>
      <c r="P67" s="172" t="s">
        <v>21</v>
      </c>
      <c r="Q67" s="167">
        <f>COUNTIFS('1. All Data'!$AA$3:$AA$134,"Developing a Green New Deal for East Staffordshire",'1. All Data'!$R$3:$R$134,"update not provided")</f>
        <v>0</v>
      </c>
      <c r="R67" s="173" t="e">
        <f>Q67/Q70</f>
        <v>#DIV/0!</v>
      </c>
      <c r="S67" s="173" t="e">
        <f>R67</f>
        <v>#DIV/0!</v>
      </c>
      <c r="T67" s="174"/>
      <c r="U67" s="2"/>
      <c r="W67" s="172" t="s">
        <v>21</v>
      </c>
      <c r="X67" s="167">
        <f>COUNTIFS('1. All Data'!$AA$3:$AA$134,"Developing a Green New Deal for East Staffordshire",'1. All Data'!$V$3:$V$134,"update not provided")</f>
        <v>0</v>
      </c>
      <c r="Y67" s="168" t="e">
        <f t="shared" si="7"/>
        <v>#DIV/0!</v>
      </c>
      <c r="Z67" s="168" t="e">
        <f>Y67</f>
        <v>#DIV/0!</v>
      </c>
      <c r="AA67" s="174"/>
      <c r="AB67" s="2"/>
    </row>
    <row r="68" spans="2:30" ht="15.75" customHeight="1">
      <c r="B68" s="175" t="s">
        <v>29</v>
      </c>
      <c r="C68" s="167">
        <f>COUNTIFS('1. All Data'!$AA$3:$AA$134,"Developing a Green New Deal for East Staffordshire",'1. All Data'!$H$3:$H$134,"Deferred")</f>
        <v>0</v>
      </c>
      <c r="D68" s="176">
        <f>C68/C70</f>
        <v>0</v>
      </c>
      <c r="E68" s="176">
        <f>D68</f>
        <v>0</v>
      </c>
      <c r="F68" s="177"/>
      <c r="G68" s="58"/>
      <c r="I68" s="175" t="s">
        <v>29</v>
      </c>
      <c r="J68" s="167">
        <f>COUNTIFS('1. All Data'!$AA$3:$AA$134,"Developing a Green New Deal for East Staffordshire",'1. All Data'!$M$3:$M$134,"Deferred")</f>
        <v>0</v>
      </c>
      <c r="K68" s="176" t="e">
        <f>J68/J70</f>
        <v>#DIV/0!</v>
      </c>
      <c r="L68" s="176" t="e">
        <f>K68</f>
        <v>#DIV/0!</v>
      </c>
      <c r="M68" s="177"/>
      <c r="N68" s="58"/>
      <c r="P68" s="175" t="s">
        <v>29</v>
      </c>
      <c r="Q68" s="167">
        <f>COUNTIFS('1. All Data'!$AA$3:$AA$134,"Developing a Green New Deal for East Staffordshire",'1. All Data'!$R$3:$R$134,"Deferred")</f>
        <v>0</v>
      </c>
      <c r="R68" s="176" t="e">
        <f>Q68/Q70</f>
        <v>#DIV/0!</v>
      </c>
      <c r="S68" s="176" t="e">
        <f>R68</f>
        <v>#DIV/0!</v>
      </c>
      <c r="T68" s="177"/>
      <c r="U68" s="58"/>
      <c r="W68" s="175" t="s">
        <v>29</v>
      </c>
      <c r="X68" s="167">
        <f>COUNTIFS('1. All Data'!$AA$3:$AA$134,"Developing a Green New Deal for East Staffordshire",'1. All Data'!$V$3:$V$134,"Deferred")</f>
        <v>0</v>
      </c>
      <c r="Y68" s="168" t="e">
        <f t="shared" si="7"/>
        <v>#DIV/0!</v>
      </c>
      <c r="Z68" s="168" t="e">
        <f t="shared" ref="Z68:Z69" si="8">Y68</f>
        <v>#DIV/0!</v>
      </c>
      <c r="AA68" s="177"/>
      <c r="AB68" s="58"/>
    </row>
    <row r="69" spans="2:30" ht="15.75" customHeight="1">
      <c r="B69" s="175" t="s">
        <v>30</v>
      </c>
      <c r="C69" s="167">
        <f>COUNTIFS('1. All Data'!$AA$3:$AA$134,"Developing a Green New Deal for East Staffordshire",'1. All Data'!$H$3:$H$134,"Deleted")</f>
        <v>0</v>
      </c>
      <c r="D69" s="176">
        <f>C69/C70</f>
        <v>0</v>
      </c>
      <c r="E69" s="176">
        <f>D69</f>
        <v>0</v>
      </c>
      <c r="F69" s="177"/>
      <c r="G69" s="3"/>
      <c r="I69" s="175" t="s">
        <v>30</v>
      </c>
      <c r="J69" s="167">
        <f>COUNTIFS('1. All Data'!$AA$3:$AA$134,"Developing a Green New Deal for East Staffordshire",'1. All Data'!$M$3:$M$134,"Deleted")</f>
        <v>0</v>
      </c>
      <c r="K69" s="176" t="e">
        <f>J69/J70</f>
        <v>#DIV/0!</v>
      </c>
      <c r="L69" s="176" t="e">
        <f>K69</f>
        <v>#DIV/0!</v>
      </c>
      <c r="M69" s="177"/>
      <c r="N69" s="3"/>
      <c r="P69" s="175" t="s">
        <v>30</v>
      </c>
      <c r="Q69" s="167">
        <f>COUNTIFS('1. All Data'!$AA$3:$AA$134,"Developing a Green New Deal for East Staffordshire",'1. All Data'!$R$3:$R$134,"Deleted")</f>
        <v>0</v>
      </c>
      <c r="R69" s="176" t="e">
        <f>Q69/Q70</f>
        <v>#DIV/0!</v>
      </c>
      <c r="S69" s="176" t="e">
        <f>R69</f>
        <v>#DIV/0!</v>
      </c>
      <c r="T69" s="177"/>
      <c r="U69" s="3"/>
      <c r="W69" s="175" t="s">
        <v>30</v>
      </c>
      <c r="X69" s="167">
        <f>COUNTIFS('1. All Data'!$AA$3:$AA$134,"Developing a Green New Deal for East Staffordshire",'1. All Data'!$V$3:$V$134,"Deleted")</f>
        <v>0</v>
      </c>
      <c r="Y69" s="168" t="e">
        <f t="shared" si="7"/>
        <v>#DIV/0!</v>
      </c>
      <c r="Z69" s="168" t="e">
        <f t="shared" si="8"/>
        <v>#DIV/0!</v>
      </c>
      <c r="AA69" s="177"/>
      <c r="AD69" s="3"/>
    </row>
    <row r="70" spans="2:30" ht="15.75" customHeight="1">
      <c r="B70" s="193" t="s">
        <v>51</v>
      </c>
      <c r="C70" s="179">
        <f>SUM(C59:C69)</f>
        <v>11</v>
      </c>
      <c r="D70" s="177"/>
      <c r="E70" s="177"/>
      <c r="F70" s="58"/>
      <c r="G70" s="58"/>
      <c r="I70" s="193" t="s">
        <v>51</v>
      </c>
      <c r="J70" s="179">
        <f>SUM(J59:J69)</f>
        <v>0</v>
      </c>
      <c r="K70" s="177"/>
      <c r="L70" s="177"/>
      <c r="M70" s="58"/>
      <c r="N70" s="58"/>
      <c r="P70" s="193" t="s">
        <v>51</v>
      </c>
      <c r="Q70" s="179">
        <f>SUM(Q59:Q69)</f>
        <v>0</v>
      </c>
      <c r="R70" s="177"/>
      <c r="S70" s="177"/>
      <c r="T70" s="58"/>
      <c r="U70" s="58"/>
      <c r="W70" s="178" t="s">
        <v>51</v>
      </c>
      <c r="X70" s="179">
        <f>SUM(X59:X69)</f>
        <v>0</v>
      </c>
      <c r="Y70" s="177"/>
      <c r="Z70" s="177"/>
      <c r="AA70" s="58"/>
      <c r="AB70" s="58"/>
    </row>
    <row r="71" spans="2:30" ht="15.75" customHeight="1">
      <c r="B71" s="193" t="s">
        <v>52</v>
      </c>
      <c r="C71" s="179">
        <f>C70-C69-C68-C67-C66</f>
        <v>7</v>
      </c>
      <c r="D71" s="58"/>
      <c r="E71" s="58"/>
      <c r="F71" s="58"/>
      <c r="G71" s="58"/>
      <c r="I71" s="193" t="s">
        <v>52</v>
      </c>
      <c r="J71" s="179">
        <f>J70-J69-J68-J67-J66</f>
        <v>0</v>
      </c>
      <c r="K71" s="58"/>
      <c r="L71" s="58"/>
      <c r="M71" s="58"/>
      <c r="N71" s="58"/>
      <c r="P71" s="193" t="s">
        <v>52</v>
      </c>
      <c r="Q71" s="179">
        <f>Q70-Q69-Q68-Q67-Q66</f>
        <v>0</v>
      </c>
      <c r="R71" s="58"/>
      <c r="S71" s="58"/>
      <c r="T71" s="58"/>
      <c r="U71" s="58"/>
      <c r="W71" s="178" t="s">
        <v>52</v>
      </c>
      <c r="X71" s="179">
        <f>X70-X69-X68-X67-X66</f>
        <v>0</v>
      </c>
      <c r="Y71" s="58"/>
      <c r="Z71" s="58"/>
      <c r="AA71" s="58"/>
      <c r="AB71" s="58"/>
    </row>
    <row r="72" spans="2:30" ht="15.6" hidden="1" customHeight="1">
      <c r="AB72" s="186"/>
    </row>
    <row r="73" spans="2:30" ht="15.75" hidden="1" customHeight="1">
      <c r="AB73" s="186"/>
    </row>
    <row r="75" spans="2:30" ht="15.6">
      <c r="B75" s="188" t="s">
        <v>424</v>
      </c>
      <c r="C75" s="189"/>
      <c r="D75" s="189"/>
      <c r="E75" s="189"/>
      <c r="F75" s="190"/>
      <c r="G75" s="191"/>
      <c r="I75" s="188" t="s">
        <v>424</v>
      </c>
      <c r="J75" s="189"/>
      <c r="K75" s="189"/>
      <c r="L75" s="189"/>
      <c r="M75" s="190"/>
      <c r="N75" s="191"/>
      <c r="P75" s="188" t="s">
        <v>424</v>
      </c>
      <c r="Q75" s="189"/>
      <c r="R75" s="189"/>
      <c r="S75" s="189"/>
      <c r="T75" s="190"/>
      <c r="U75" s="191"/>
      <c r="W75" s="188" t="s">
        <v>424</v>
      </c>
      <c r="X75" s="195"/>
      <c r="Y75" s="162"/>
      <c r="Z75" s="162"/>
      <c r="AA75" s="162"/>
      <c r="AB75" s="163"/>
    </row>
    <row r="76" spans="2:30" ht="31.2">
      <c r="B76" s="164" t="s">
        <v>42</v>
      </c>
      <c r="C76" s="164" t="s">
        <v>43</v>
      </c>
      <c r="D76" s="164" t="s">
        <v>44</v>
      </c>
      <c r="E76" s="164" t="s">
        <v>45</v>
      </c>
      <c r="F76" s="164" t="s">
        <v>46</v>
      </c>
      <c r="G76" s="164" t="s">
        <v>47</v>
      </c>
      <c r="I76" s="164" t="s">
        <v>42</v>
      </c>
      <c r="J76" s="164" t="s">
        <v>43</v>
      </c>
      <c r="K76" s="164" t="s">
        <v>44</v>
      </c>
      <c r="L76" s="164" t="s">
        <v>45</v>
      </c>
      <c r="M76" s="164" t="s">
        <v>46</v>
      </c>
      <c r="N76" s="164" t="s">
        <v>47</v>
      </c>
      <c r="P76" s="164" t="s">
        <v>42</v>
      </c>
      <c r="Q76" s="164" t="s">
        <v>43</v>
      </c>
      <c r="R76" s="164" t="s">
        <v>44</v>
      </c>
      <c r="S76" s="164" t="s">
        <v>45</v>
      </c>
      <c r="T76" s="164" t="s">
        <v>46</v>
      </c>
      <c r="U76" s="164" t="s">
        <v>47</v>
      </c>
      <c r="W76" s="164" t="s">
        <v>42</v>
      </c>
      <c r="X76" s="164" t="s">
        <v>43</v>
      </c>
      <c r="Y76" s="164" t="s">
        <v>44</v>
      </c>
      <c r="Z76" s="164" t="s">
        <v>45</v>
      </c>
      <c r="AA76" s="164" t="s">
        <v>46</v>
      </c>
      <c r="AB76" s="164" t="s">
        <v>47</v>
      </c>
    </row>
    <row r="77" spans="2:30" ht="15.6">
      <c r="B77" s="227" t="s">
        <v>48</v>
      </c>
      <c r="C77" s="167">
        <f>COUNTIFS('1. All Data'!$AA$3:$AA$134,"Protecting our heritage",'1. All Data'!$H$3:$H$134,"Fully Achieved")</f>
        <v>1</v>
      </c>
      <c r="D77" s="288">
        <f>C77/C88</f>
        <v>0.2</v>
      </c>
      <c r="E77" s="369">
        <f>D77+D78</f>
        <v>0.60000000000000009</v>
      </c>
      <c r="F77" s="288">
        <f>C77/C89</f>
        <v>0.33333333333333331</v>
      </c>
      <c r="G77" s="371">
        <f>F77+F78</f>
        <v>1</v>
      </c>
      <c r="I77" s="227" t="s">
        <v>48</v>
      </c>
      <c r="J77" s="167">
        <f>COUNTIFS('1. All Data'!$AA$3:$AA$134,"Protecting our heritage",'1. All Data'!$M$3:$M$134,"Fully Achieved")</f>
        <v>0</v>
      </c>
      <c r="K77" s="288" t="e">
        <f>J77/J88</f>
        <v>#DIV/0!</v>
      </c>
      <c r="L77" s="369" t="e">
        <f>K77+K78</f>
        <v>#DIV/0!</v>
      </c>
      <c r="M77" s="288" t="e">
        <f>J77/J89</f>
        <v>#DIV/0!</v>
      </c>
      <c r="N77" s="371" t="e">
        <f>M77+M78</f>
        <v>#DIV/0!</v>
      </c>
      <c r="P77" s="227" t="s">
        <v>48</v>
      </c>
      <c r="Q77" s="167">
        <f>COUNTIFS('1. All Data'!$AA$3:$AA$134,"Protecting our heritage",'1. All Data'!$R$3:$R$134,"Fully Achieved")</f>
        <v>0</v>
      </c>
      <c r="R77" s="288" t="e">
        <f>Q77/Q88</f>
        <v>#DIV/0!</v>
      </c>
      <c r="S77" s="369" t="e">
        <f>R77+R78</f>
        <v>#DIV/0!</v>
      </c>
      <c r="T77" s="288" t="e">
        <f>Q77/Q89</f>
        <v>#DIV/0!</v>
      </c>
      <c r="U77" s="371" t="e">
        <f>T77+T78</f>
        <v>#DIV/0!</v>
      </c>
      <c r="W77" s="227" t="s">
        <v>48</v>
      </c>
      <c r="X77" s="167">
        <f>COUNTIFS('1. All Data'!$AA$3:$AA$134,"Protecting our heritage",'1. All Data'!$V$3:$V$134,"Fully Achieved")</f>
        <v>0</v>
      </c>
      <c r="Y77" s="288" t="e">
        <f>X77/X88</f>
        <v>#DIV/0!</v>
      </c>
      <c r="Z77" s="369" t="e">
        <f>Y77+Y78</f>
        <v>#DIV/0!</v>
      </c>
      <c r="AA77" s="288" t="e">
        <f>X77/X89</f>
        <v>#DIV/0!</v>
      </c>
      <c r="AB77" s="371" t="e">
        <f>AA77+AA78</f>
        <v>#DIV/0!</v>
      </c>
    </row>
    <row r="78" spans="2:30" ht="15.6">
      <c r="B78" s="227" t="s">
        <v>31</v>
      </c>
      <c r="C78" s="167">
        <f>COUNTIFS('1. All Data'!$AA$3:$AA$134,"Protecting our heritage",'1. All Data'!$H$3:$H$134,"On Track to be achieved")</f>
        <v>2</v>
      </c>
      <c r="D78" s="288">
        <f>C78/C88</f>
        <v>0.4</v>
      </c>
      <c r="E78" s="369"/>
      <c r="F78" s="288">
        <f>C78/C89</f>
        <v>0.66666666666666663</v>
      </c>
      <c r="G78" s="371"/>
      <c r="I78" s="227" t="s">
        <v>31</v>
      </c>
      <c r="J78" s="167">
        <f>COUNTIFS('1. All Data'!$AA$3:$AA$134,"Protecting our heritage",'1. All Data'!$M$3:$M$134,"On Track to be achieved")</f>
        <v>0</v>
      </c>
      <c r="K78" s="288" t="e">
        <f>J78/J88</f>
        <v>#DIV/0!</v>
      </c>
      <c r="L78" s="369"/>
      <c r="M78" s="288" t="e">
        <f>J78/J89</f>
        <v>#DIV/0!</v>
      </c>
      <c r="N78" s="371"/>
      <c r="P78" s="227" t="s">
        <v>31</v>
      </c>
      <c r="Q78" s="167">
        <f>COUNTIFS('1. All Data'!$AA$3:$AA$134,"Protecting our heritage",'1. All Data'!$R$3:$R$134,"On Track to be achieved")</f>
        <v>0</v>
      </c>
      <c r="R78" s="288" t="e">
        <f>Q78/Q88</f>
        <v>#DIV/0!</v>
      </c>
      <c r="S78" s="369"/>
      <c r="T78" s="288" t="e">
        <f>Q78/Q89</f>
        <v>#DIV/0!</v>
      </c>
      <c r="U78" s="371"/>
      <c r="W78" s="227" t="s">
        <v>23</v>
      </c>
      <c r="X78" s="167">
        <f>COUNTIFS('1. All Data'!$AA$3:$AA$134,"Protecting our heritage",'1. All Data'!$V$3:$V$134,"Numerical Outturn Within 5% Tolerance")</f>
        <v>0</v>
      </c>
      <c r="Y78" s="288" t="e">
        <f>X78/X88</f>
        <v>#DIV/0!</v>
      </c>
      <c r="Z78" s="369"/>
      <c r="AA78" s="288" t="e">
        <f>X78/X89</f>
        <v>#DIV/0!</v>
      </c>
      <c r="AB78" s="371"/>
    </row>
    <row r="79" spans="2:30" ht="15.6">
      <c r="B79" s="379" t="s">
        <v>32</v>
      </c>
      <c r="C79" s="382">
        <f>COUNTIFS('1. All Data'!$AA$3:$AA$134,"Protecting our heritage",'1. All Data'!$H$3:$H$134,"In Danger of Falling Behind Target")</f>
        <v>0</v>
      </c>
      <c r="D79" s="372">
        <f>C79/C88</f>
        <v>0</v>
      </c>
      <c r="E79" s="372">
        <f>D79</f>
        <v>0</v>
      </c>
      <c r="F79" s="372">
        <f>C79/C89</f>
        <v>0</v>
      </c>
      <c r="G79" s="375">
        <f>F79</f>
        <v>0</v>
      </c>
      <c r="I79" s="379" t="s">
        <v>32</v>
      </c>
      <c r="J79" s="382">
        <f>COUNTIFS('1. All Data'!$AA$3:$AA$134,"Protecting our heritage",'1. All Data'!$M$3:$M$134,"In Danger of Falling Behind Target")</f>
        <v>0</v>
      </c>
      <c r="K79" s="372" t="e">
        <f>J79/J88</f>
        <v>#DIV/0!</v>
      </c>
      <c r="L79" s="372" t="e">
        <f>K79</f>
        <v>#DIV/0!</v>
      </c>
      <c r="M79" s="372" t="e">
        <f>J79/J89</f>
        <v>#DIV/0!</v>
      </c>
      <c r="N79" s="375" t="e">
        <f>M79</f>
        <v>#DIV/0!</v>
      </c>
      <c r="P79" s="379" t="s">
        <v>32</v>
      </c>
      <c r="Q79" s="382">
        <f>COUNTIFS('1. All Data'!$AA$3:$AA$134,"Protecting our heritage",'1. All Data'!$R$3:$R$134,"In Danger of Falling Behind Target")</f>
        <v>0</v>
      </c>
      <c r="R79" s="372" t="e">
        <f>Q79/Q88</f>
        <v>#DIV/0!</v>
      </c>
      <c r="S79" s="372" t="e">
        <f>R79</f>
        <v>#DIV/0!</v>
      </c>
      <c r="T79" s="372" t="e">
        <f>Q79/Q89</f>
        <v>#DIV/0!</v>
      </c>
      <c r="U79" s="375" t="e">
        <f>T79</f>
        <v>#DIV/0!</v>
      </c>
      <c r="W79" s="169" t="s">
        <v>24</v>
      </c>
      <c r="X79" s="170">
        <f>COUNTIFS('1. All Data'!$AA$3:$AA$134,"Protecting our heritage",'1. All Data'!$V$3:$V$134,"Numerical Outturn Within 10% Tolerance")</f>
        <v>0</v>
      </c>
      <c r="Y79" s="288" t="e">
        <f>X79/$X$34</f>
        <v>#DIV/0!</v>
      </c>
      <c r="Z79" s="369" t="e">
        <f>SUM(Y79:Y81)</f>
        <v>#DIV/0!</v>
      </c>
      <c r="AA79" s="288" t="e">
        <f>X79/X89</f>
        <v>#DIV/0!</v>
      </c>
      <c r="AB79" s="378" t="e">
        <f>SUM(AA79:AA81)</f>
        <v>#DIV/0!</v>
      </c>
    </row>
    <row r="80" spans="2:30" ht="15.6">
      <c r="B80" s="380"/>
      <c r="C80" s="383"/>
      <c r="D80" s="373"/>
      <c r="E80" s="373"/>
      <c r="F80" s="373"/>
      <c r="G80" s="376"/>
      <c r="I80" s="380"/>
      <c r="J80" s="383"/>
      <c r="K80" s="373"/>
      <c r="L80" s="373"/>
      <c r="M80" s="373"/>
      <c r="N80" s="376"/>
      <c r="P80" s="380"/>
      <c r="Q80" s="383"/>
      <c r="R80" s="373"/>
      <c r="S80" s="373"/>
      <c r="T80" s="373"/>
      <c r="U80" s="376"/>
      <c r="W80" s="169" t="s">
        <v>25</v>
      </c>
      <c r="X80" s="170">
        <f>COUNTIFS('1. All Data'!$AA$3:$AA$134,"Protecting our heritage",'1. All Data'!$V$3:$V$134,"Target Partially Met")</f>
        <v>0</v>
      </c>
      <c r="Y80" s="288" t="e">
        <f>X80/$X$34</f>
        <v>#DIV/0!</v>
      </c>
      <c r="Z80" s="369"/>
      <c r="AA80" s="288" t="e">
        <f>X80/X89</f>
        <v>#DIV/0!</v>
      </c>
      <c r="AB80" s="378"/>
    </row>
    <row r="81" spans="2:28" ht="15.6">
      <c r="B81" s="381"/>
      <c r="C81" s="384"/>
      <c r="D81" s="374"/>
      <c r="E81" s="374"/>
      <c r="F81" s="374"/>
      <c r="G81" s="377"/>
      <c r="I81" s="381"/>
      <c r="J81" s="384"/>
      <c r="K81" s="374"/>
      <c r="L81" s="374"/>
      <c r="M81" s="374"/>
      <c r="N81" s="377"/>
      <c r="P81" s="381"/>
      <c r="Q81" s="384"/>
      <c r="R81" s="374"/>
      <c r="S81" s="374"/>
      <c r="T81" s="374"/>
      <c r="U81" s="377"/>
      <c r="W81" s="169" t="s">
        <v>28</v>
      </c>
      <c r="X81" s="170">
        <f>COUNTIFS('1. All Data'!$AA$3:$AA$134,"Protecting our heritage",'1. All Data'!$V$3:$V$134,"Completion Date Within Reasonable Tolerance")</f>
        <v>0</v>
      </c>
      <c r="Y81" s="288" t="e">
        <f>X81/$X$34</f>
        <v>#DIV/0!</v>
      </c>
      <c r="Z81" s="369"/>
      <c r="AA81" s="288" t="e">
        <f>X81/X89</f>
        <v>#DIV/0!</v>
      </c>
      <c r="AB81" s="378"/>
    </row>
    <row r="82" spans="2:28" ht="15.6">
      <c r="B82" s="171" t="s">
        <v>33</v>
      </c>
      <c r="C82" s="167">
        <f>COUNTIFS('1. All Data'!$AA$3:$AA$134,"Protecting our heritage",'1. All Data'!$H$3:$H$134,"Completed Behind Schedule")</f>
        <v>0</v>
      </c>
      <c r="D82" s="288">
        <f>C82/C88</f>
        <v>0</v>
      </c>
      <c r="E82" s="369">
        <f>D82+D83</f>
        <v>0</v>
      </c>
      <c r="F82" s="288">
        <f>C82/C89</f>
        <v>0</v>
      </c>
      <c r="G82" s="370">
        <f>F82+F83</f>
        <v>0</v>
      </c>
      <c r="I82" s="171" t="s">
        <v>33</v>
      </c>
      <c r="J82" s="167">
        <f>COUNTIFS('1. All Data'!$AA$3:$AA$134,"Protecting our heritage",'1. All Data'!$M$3:$M$134,"Completed Behind Schedule")</f>
        <v>0</v>
      </c>
      <c r="K82" s="288" t="e">
        <f>J82/J88</f>
        <v>#DIV/0!</v>
      </c>
      <c r="L82" s="369" t="e">
        <f>K82+K83</f>
        <v>#DIV/0!</v>
      </c>
      <c r="M82" s="288" t="e">
        <f>J82/J89</f>
        <v>#DIV/0!</v>
      </c>
      <c r="N82" s="370" t="e">
        <f>M82+M83</f>
        <v>#DIV/0!</v>
      </c>
      <c r="P82" s="171" t="s">
        <v>33</v>
      </c>
      <c r="Q82" s="167">
        <f>COUNTIFS('1. All Data'!$AA$3:$AA$134,"Protecting our heritage",'1. All Data'!$R$3:$R$134,"Completed Behind Schedule")</f>
        <v>0</v>
      </c>
      <c r="R82" s="288" t="e">
        <f>Q82/Q88</f>
        <v>#DIV/0!</v>
      </c>
      <c r="S82" s="369" t="e">
        <f>R82+R83</f>
        <v>#DIV/0!</v>
      </c>
      <c r="T82" s="288" t="e">
        <f>Q82/Q89</f>
        <v>#DIV/0!</v>
      </c>
      <c r="U82" s="370" t="e">
        <f>T82+T83</f>
        <v>#DIV/0!</v>
      </c>
      <c r="W82" s="171" t="s">
        <v>27</v>
      </c>
      <c r="X82" s="167">
        <f>COUNTIFS('1. All Data'!$AA$3:$AA$134,"Protecting our heritage",'1. All Data'!$V$3:$V$134,"Completed Significantly After Target Deadline")</f>
        <v>0</v>
      </c>
      <c r="Y82" s="288" t="e">
        <f>X82/$X$34</f>
        <v>#DIV/0!</v>
      </c>
      <c r="Z82" s="369" t="e">
        <f>SUM(Y82:Y83)</f>
        <v>#DIV/0!</v>
      </c>
      <c r="AA82" s="288" t="e">
        <f>X82/X89</f>
        <v>#DIV/0!</v>
      </c>
      <c r="AB82" s="370" t="e">
        <f>AA82+AA83</f>
        <v>#DIV/0!</v>
      </c>
    </row>
    <row r="83" spans="2:28" ht="15.6">
      <c r="B83" s="171" t="s">
        <v>26</v>
      </c>
      <c r="C83" s="167">
        <f>COUNTIFS('1. All Data'!$AA$3:$AA$134,"Protecting our heritage",'1. All Data'!$H$3:$H$134,"Off Target")</f>
        <v>0</v>
      </c>
      <c r="D83" s="288">
        <f>C83/C88</f>
        <v>0</v>
      </c>
      <c r="E83" s="369"/>
      <c r="F83" s="288">
        <f>C83/C89</f>
        <v>0</v>
      </c>
      <c r="G83" s="370"/>
      <c r="I83" s="171" t="s">
        <v>26</v>
      </c>
      <c r="J83" s="167">
        <f>COUNTIFS('1. All Data'!$AA$3:$AA$134,"Protecting our heritage",'1. All Data'!$M$3:$M$134,"Off Target")</f>
        <v>0</v>
      </c>
      <c r="K83" s="288" t="e">
        <f>J83/J88</f>
        <v>#DIV/0!</v>
      </c>
      <c r="L83" s="369"/>
      <c r="M83" s="288" t="e">
        <f>J83/J89</f>
        <v>#DIV/0!</v>
      </c>
      <c r="N83" s="370"/>
      <c r="P83" s="171" t="s">
        <v>26</v>
      </c>
      <c r="Q83" s="167">
        <f>COUNTIFS('1. All Data'!$AA$3:$AA$134,"Protecting our heritage",'1. All Data'!$R$3:$R$134,"Off Target")</f>
        <v>0</v>
      </c>
      <c r="R83" s="288" t="e">
        <f>Q83/Q88</f>
        <v>#DIV/0!</v>
      </c>
      <c r="S83" s="369"/>
      <c r="T83" s="288" t="e">
        <f>Q83/Q89</f>
        <v>#DIV/0!</v>
      </c>
      <c r="U83" s="370"/>
      <c r="W83" s="171" t="s">
        <v>26</v>
      </c>
      <c r="X83" s="167">
        <f>COUNTIFS('1. All Data'!$AA$3:$AA$134,"Protecting our heritage",'1. All Data'!$V$3:$V$134,"Off Target")</f>
        <v>0</v>
      </c>
      <c r="Y83" s="288" t="e">
        <f>X83/$X$34</f>
        <v>#DIV/0!</v>
      </c>
      <c r="Z83" s="369"/>
      <c r="AA83" s="288" t="e">
        <f>X83/X89</f>
        <v>#DIV/0!</v>
      </c>
      <c r="AB83" s="370"/>
    </row>
    <row r="84" spans="2:28" ht="15.6">
      <c r="B84" s="172" t="s">
        <v>49</v>
      </c>
      <c r="C84" s="167">
        <f>COUNTIFS('1. All Data'!$AA$3:$AA$134,"Protecting our heritage",'1. All Data'!$H$3:$H$134,"Not yet due")</f>
        <v>2</v>
      </c>
      <c r="D84" s="173">
        <f>C84/C88</f>
        <v>0.4</v>
      </c>
      <c r="E84" s="173">
        <f>D84</f>
        <v>0.4</v>
      </c>
      <c r="F84" s="174"/>
      <c r="G84" s="58"/>
      <c r="I84" s="172" t="s">
        <v>49</v>
      </c>
      <c r="J84" s="167">
        <f>COUNTIFS('1. All Data'!$AA$3:$AA$134,"Protecting our heritage",'1. All Data'!$M$3:$M$134,"Not yet due")</f>
        <v>0</v>
      </c>
      <c r="K84" s="173" t="e">
        <f>J84/J88</f>
        <v>#DIV/0!</v>
      </c>
      <c r="L84" s="173" t="e">
        <f>K84</f>
        <v>#DIV/0!</v>
      </c>
      <c r="M84" s="174"/>
      <c r="N84" s="58"/>
      <c r="P84" s="172" t="s">
        <v>49</v>
      </c>
      <c r="Q84" s="167">
        <f>COUNTIFS('1. All Data'!$AA$3:$AA$134,"Protecting our heritage",'1. All Data'!$R$3:$R$134,"Not yet due")</f>
        <v>0</v>
      </c>
      <c r="R84" s="173" t="e">
        <f>Q84/Q88</f>
        <v>#DIV/0!</v>
      </c>
      <c r="S84" s="173" t="e">
        <f>R84</f>
        <v>#DIV/0!</v>
      </c>
      <c r="T84" s="174"/>
      <c r="U84" s="58"/>
      <c r="W84" s="172" t="s">
        <v>49</v>
      </c>
      <c r="X84" s="167">
        <f>COUNTIFS('1. All Data'!$AA$3:$AA$134,"Protecting our heritage",'1. All Data'!$V$3:$V$134,"Not yet due")</f>
        <v>0</v>
      </c>
      <c r="Y84" s="288" t="e">
        <f t="shared" ref="Y84:Y87" si="9">X84/$X$34</f>
        <v>#DIV/0!</v>
      </c>
      <c r="Z84" s="288" t="e">
        <f>Y84</f>
        <v>#DIV/0!</v>
      </c>
      <c r="AA84" s="174"/>
      <c r="AB84" s="58"/>
    </row>
    <row r="85" spans="2:28" ht="15.6">
      <c r="B85" s="172" t="s">
        <v>21</v>
      </c>
      <c r="C85" s="167">
        <f>COUNTIFS('1. All Data'!$AA$3:$AA$134,"Protecting our heritage",'1. All Data'!$H$3:$H$134,"update not provided")</f>
        <v>0</v>
      </c>
      <c r="D85" s="173">
        <f>C85/C88</f>
        <v>0</v>
      </c>
      <c r="E85" s="173">
        <f>D85</f>
        <v>0</v>
      </c>
      <c r="F85" s="174"/>
      <c r="G85" s="2"/>
      <c r="I85" s="172" t="s">
        <v>21</v>
      </c>
      <c r="J85" s="167">
        <f>COUNTIFS('1. All Data'!$AA$3:$AA$134,"Protecting our heritage",'1. All Data'!$M$3:$M$134,"update not provided")</f>
        <v>0</v>
      </c>
      <c r="K85" s="173" t="e">
        <f>J85/J88</f>
        <v>#DIV/0!</v>
      </c>
      <c r="L85" s="173" t="e">
        <f>K85</f>
        <v>#DIV/0!</v>
      </c>
      <c r="M85" s="174"/>
      <c r="N85" s="2"/>
      <c r="P85" s="172" t="s">
        <v>21</v>
      </c>
      <c r="Q85" s="167">
        <f>COUNTIFS('1. All Data'!$AA$3:$AA$134,"Protecting our heritage",'1. All Data'!$R$3:$R$134,"update not provided")</f>
        <v>0</v>
      </c>
      <c r="R85" s="173" t="e">
        <f>Q85/Q88</f>
        <v>#DIV/0!</v>
      </c>
      <c r="S85" s="173" t="e">
        <f>R85</f>
        <v>#DIV/0!</v>
      </c>
      <c r="T85" s="174"/>
      <c r="U85" s="2"/>
      <c r="W85" s="172" t="s">
        <v>21</v>
      </c>
      <c r="X85" s="167">
        <f>COUNTIFS('1. All Data'!$AA$3:$AA$134,"Protecting our heritage",'1. All Data'!$V$3:$V$134,"update not provided")</f>
        <v>0</v>
      </c>
      <c r="Y85" s="288" t="e">
        <f t="shared" si="9"/>
        <v>#DIV/0!</v>
      </c>
      <c r="Z85" s="288" t="e">
        <f>Y85</f>
        <v>#DIV/0!</v>
      </c>
      <c r="AA85" s="174"/>
      <c r="AB85" s="2"/>
    </row>
    <row r="86" spans="2:28" ht="15.6">
      <c r="B86" s="175" t="s">
        <v>29</v>
      </c>
      <c r="C86" s="167">
        <f>COUNTIFS('1. All Data'!$AA$3:$AA$134,"Protecting our heritage",'1. All Data'!$H$3:$H$134,"Deferred")</f>
        <v>0</v>
      </c>
      <c r="D86" s="176">
        <f>C86/C88</f>
        <v>0</v>
      </c>
      <c r="E86" s="176">
        <f>D86</f>
        <v>0</v>
      </c>
      <c r="F86" s="177"/>
      <c r="G86" s="58"/>
      <c r="I86" s="175" t="s">
        <v>29</v>
      </c>
      <c r="J86" s="167">
        <f>COUNTIFS('1. All Data'!$AA$3:$AA$134,"Protecting our heritage",'1. All Data'!$M$3:$M$134,"Deferred")</f>
        <v>0</v>
      </c>
      <c r="K86" s="176" t="e">
        <f>J86/J88</f>
        <v>#DIV/0!</v>
      </c>
      <c r="L86" s="176" t="e">
        <f>K86</f>
        <v>#DIV/0!</v>
      </c>
      <c r="M86" s="177"/>
      <c r="N86" s="58"/>
      <c r="P86" s="175" t="s">
        <v>29</v>
      </c>
      <c r="Q86" s="167">
        <f>COUNTIFS('1. All Data'!$AA$3:$AA$134,"Protecting our heritage",'1. All Data'!$R$3:$R$134,"Deferred")</f>
        <v>0</v>
      </c>
      <c r="R86" s="176" t="e">
        <f>Q86/Q88</f>
        <v>#DIV/0!</v>
      </c>
      <c r="S86" s="176" t="e">
        <f>R86</f>
        <v>#DIV/0!</v>
      </c>
      <c r="T86" s="177"/>
      <c r="U86" s="58"/>
      <c r="W86" s="175" t="s">
        <v>29</v>
      </c>
      <c r="X86" s="167">
        <f>COUNTIFS('1. All Data'!$AA$3:$AA$134,"Protecting our heritage",'1. All Data'!$V$3:$V$134,"Deferred")</f>
        <v>0</v>
      </c>
      <c r="Y86" s="288" t="e">
        <f t="shared" si="9"/>
        <v>#DIV/0!</v>
      </c>
      <c r="Z86" s="288" t="e">
        <f t="shared" ref="Z86:Z87" si="10">Y86</f>
        <v>#DIV/0!</v>
      </c>
      <c r="AA86" s="177"/>
      <c r="AB86" s="58"/>
    </row>
    <row r="87" spans="2:28" ht="15.6">
      <c r="B87" s="175" t="s">
        <v>30</v>
      </c>
      <c r="C87" s="167">
        <f>COUNTIFS('1. All Data'!$AA$3:$AA$134,"Protecting our heritage",'1. All Data'!$H$3:$H$134,"Deleted")</f>
        <v>0</v>
      </c>
      <c r="D87" s="176">
        <f>C87/C88</f>
        <v>0</v>
      </c>
      <c r="E87" s="176">
        <f>D87</f>
        <v>0</v>
      </c>
      <c r="F87" s="177"/>
      <c r="G87" s="3"/>
      <c r="I87" s="175" t="s">
        <v>30</v>
      </c>
      <c r="J87" s="167">
        <f>COUNTIFS('1. All Data'!$AA$3:$AA$134,"Protecting our heritage",'1. All Data'!$M$3:$M$134,"Deleted")</f>
        <v>0</v>
      </c>
      <c r="K87" s="176" t="e">
        <f>J87/J88</f>
        <v>#DIV/0!</v>
      </c>
      <c r="L87" s="176" t="e">
        <f>K87</f>
        <v>#DIV/0!</v>
      </c>
      <c r="M87" s="177"/>
      <c r="N87" s="3"/>
      <c r="P87" s="175" t="s">
        <v>30</v>
      </c>
      <c r="Q87" s="167">
        <f>COUNTIFS('1. All Data'!$AA$3:$AA$134,"Protecting our heritage",'1. All Data'!$R$3:$R$134,"Deleted")</f>
        <v>0</v>
      </c>
      <c r="R87" s="176" t="e">
        <f>Q87/Q88</f>
        <v>#DIV/0!</v>
      </c>
      <c r="S87" s="176" t="e">
        <f>R87</f>
        <v>#DIV/0!</v>
      </c>
      <c r="T87" s="177"/>
      <c r="U87" s="3"/>
      <c r="W87" s="175" t="s">
        <v>30</v>
      </c>
      <c r="X87" s="167">
        <f>COUNTIFS('1. All Data'!$AA$3:$AA$134,"Protecting our heritage",'1. All Data'!$V$3:$V$134,"Deleted")</f>
        <v>0</v>
      </c>
      <c r="Y87" s="288" t="e">
        <f t="shared" si="9"/>
        <v>#DIV/0!</v>
      </c>
      <c r="Z87" s="288" t="e">
        <f t="shared" si="10"/>
        <v>#DIV/0!</v>
      </c>
      <c r="AA87" s="177"/>
    </row>
    <row r="88" spans="2:28" ht="15.6">
      <c r="B88" s="193" t="s">
        <v>51</v>
      </c>
      <c r="C88" s="179">
        <f>SUM(C77:C87)</f>
        <v>5</v>
      </c>
      <c r="D88" s="177"/>
      <c r="E88" s="177"/>
      <c r="F88" s="58"/>
      <c r="G88" s="58"/>
      <c r="I88" s="193" t="s">
        <v>51</v>
      </c>
      <c r="J88" s="179">
        <f>SUM(J77:J87)</f>
        <v>0</v>
      </c>
      <c r="K88" s="177"/>
      <c r="L88" s="177"/>
      <c r="M88" s="58"/>
      <c r="N88" s="58"/>
      <c r="P88" s="193" t="s">
        <v>51</v>
      </c>
      <c r="Q88" s="179">
        <f>SUM(Q77:Q87)</f>
        <v>0</v>
      </c>
      <c r="R88" s="177"/>
      <c r="S88" s="177"/>
      <c r="T88" s="58"/>
      <c r="U88" s="58"/>
      <c r="W88" s="178" t="s">
        <v>51</v>
      </c>
      <c r="X88" s="179">
        <f>SUM(X77:X87)</f>
        <v>0</v>
      </c>
      <c r="Y88" s="177"/>
      <c r="Z88" s="177"/>
      <c r="AA88" s="58"/>
      <c r="AB88" s="58"/>
    </row>
    <row r="89" spans="2:28" ht="15.6">
      <c r="B89" s="193" t="s">
        <v>52</v>
      </c>
      <c r="C89" s="179">
        <f>C88-C87-C86-C85-C84</f>
        <v>3</v>
      </c>
      <c r="D89" s="58"/>
      <c r="E89" s="58"/>
      <c r="F89" s="58"/>
      <c r="G89" s="58"/>
      <c r="I89" s="193" t="s">
        <v>52</v>
      </c>
      <c r="J89" s="179">
        <f>J88-J87-J86-J85-J84</f>
        <v>0</v>
      </c>
      <c r="K89" s="58"/>
      <c r="L89" s="58"/>
      <c r="M89" s="58"/>
      <c r="N89" s="58"/>
      <c r="P89" s="193" t="s">
        <v>52</v>
      </c>
      <c r="Q89" s="179">
        <f>Q88-Q87-Q86-Q85-Q84</f>
        <v>0</v>
      </c>
      <c r="R89" s="58"/>
      <c r="S89" s="58"/>
      <c r="T89" s="58"/>
      <c r="U89" s="58"/>
      <c r="W89" s="178" t="s">
        <v>52</v>
      </c>
      <c r="X89" s="179">
        <f>X88-X87-X86-X85-X84</f>
        <v>0</v>
      </c>
      <c r="Y89" s="58"/>
      <c r="Z89" s="58"/>
      <c r="AA89" s="58"/>
      <c r="AB89" s="58"/>
    </row>
    <row r="91" spans="2:28" hidden="1"/>
    <row r="92" spans="2:28" hidden="1"/>
    <row r="93" spans="2:28" ht="15.6">
      <c r="B93" s="188" t="s">
        <v>425</v>
      </c>
      <c r="C93" s="189"/>
      <c r="D93" s="189"/>
      <c r="E93" s="189"/>
      <c r="F93" s="190"/>
      <c r="G93" s="191"/>
      <c r="I93" s="188" t="s">
        <v>425</v>
      </c>
      <c r="J93" s="189"/>
      <c r="K93" s="189"/>
      <c r="L93" s="189"/>
      <c r="M93" s="190"/>
      <c r="N93" s="191"/>
      <c r="P93" s="188" t="s">
        <v>425</v>
      </c>
      <c r="Q93" s="189"/>
      <c r="R93" s="189"/>
      <c r="S93" s="189"/>
      <c r="T93" s="190"/>
      <c r="U93" s="191"/>
      <c r="W93" s="188" t="s">
        <v>425</v>
      </c>
      <c r="X93" s="195"/>
      <c r="Y93" s="162"/>
      <c r="Z93" s="162"/>
      <c r="AA93" s="162"/>
      <c r="AB93" s="163"/>
    </row>
    <row r="94" spans="2:28" ht="31.2">
      <c r="B94" s="164" t="s">
        <v>42</v>
      </c>
      <c r="C94" s="164" t="s">
        <v>43</v>
      </c>
      <c r="D94" s="164" t="s">
        <v>44</v>
      </c>
      <c r="E94" s="164" t="s">
        <v>45</v>
      </c>
      <c r="F94" s="164" t="s">
        <v>46</v>
      </c>
      <c r="G94" s="164" t="s">
        <v>47</v>
      </c>
      <c r="I94" s="164" t="s">
        <v>42</v>
      </c>
      <c r="J94" s="164" t="s">
        <v>43</v>
      </c>
      <c r="K94" s="164" t="s">
        <v>44</v>
      </c>
      <c r="L94" s="164" t="s">
        <v>45</v>
      </c>
      <c r="M94" s="164" t="s">
        <v>46</v>
      </c>
      <c r="N94" s="164" t="s">
        <v>47</v>
      </c>
      <c r="P94" s="164" t="s">
        <v>42</v>
      </c>
      <c r="Q94" s="164" t="s">
        <v>43</v>
      </c>
      <c r="R94" s="164" t="s">
        <v>44</v>
      </c>
      <c r="S94" s="164" t="s">
        <v>45</v>
      </c>
      <c r="T94" s="164" t="s">
        <v>46</v>
      </c>
      <c r="U94" s="164" t="s">
        <v>47</v>
      </c>
      <c r="W94" s="164" t="s">
        <v>42</v>
      </c>
      <c r="X94" s="164" t="s">
        <v>43</v>
      </c>
      <c r="Y94" s="164" t="s">
        <v>44</v>
      </c>
      <c r="Z94" s="164" t="s">
        <v>45</v>
      </c>
      <c r="AA94" s="164" t="s">
        <v>46</v>
      </c>
      <c r="AB94" s="164" t="s">
        <v>47</v>
      </c>
    </row>
    <row r="95" spans="2:28" ht="15.6">
      <c r="B95" s="227" t="s">
        <v>48</v>
      </c>
      <c r="C95" s="167">
        <f>COUNTIFS('1. All Data'!$AA$3:$AA$134,"Standing up for our communities",'1. All Data'!$H$3:$H$134,"Fully Achieved")</f>
        <v>1</v>
      </c>
      <c r="D95" s="288">
        <f>C95/C106</f>
        <v>0.2</v>
      </c>
      <c r="E95" s="369">
        <f>D95+D96</f>
        <v>0.60000000000000009</v>
      </c>
      <c r="F95" s="288">
        <f>C95/C107</f>
        <v>0.33333333333333331</v>
      </c>
      <c r="G95" s="371">
        <f>F95+F96</f>
        <v>1</v>
      </c>
      <c r="I95" s="227" t="s">
        <v>48</v>
      </c>
      <c r="J95" s="167">
        <f>COUNTIFS('1. All Data'!$AA$3:$AA$134,"Standing up for our communities",'1. All Data'!$M$3:$M$134,"Fully Achieved")</f>
        <v>0</v>
      </c>
      <c r="K95" s="288" t="e">
        <f>J95/J106</f>
        <v>#DIV/0!</v>
      </c>
      <c r="L95" s="369" t="e">
        <f>K95+K96</f>
        <v>#DIV/0!</v>
      </c>
      <c r="M95" s="288" t="e">
        <f>J95/J107</f>
        <v>#DIV/0!</v>
      </c>
      <c r="N95" s="371" t="e">
        <f>M95+M96</f>
        <v>#DIV/0!</v>
      </c>
      <c r="P95" s="227" t="s">
        <v>48</v>
      </c>
      <c r="Q95" s="167">
        <f>COUNTIFS('1. All Data'!$AA$3:$AA$134,"Standing up for our communities",'1. All Data'!$R$3:$R$134,"Fully Achieved")</f>
        <v>0</v>
      </c>
      <c r="R95" s="288" t="e">
        <f>Q95/Q106</f>
        <v>#DIV/0!</v>
      </c>
      <c r="S95" s="369" t="e">
        <f>R95+R96</f>
        <v>#DIV/0!</v>
      </c>
      <c r="T95" s="288" t="e">
        <f>Q95/Q107</f>
        <v>#DIV/0!</v>
      </c>
      <c r="U95" s="371" t="e">
        <f>T95+T96</f>
        <v>#DIV/0!</v>
      </c>
      <c r="W95" s="227" t="s">
        <v>48</v>
      </c>
      <c r="X95" s="167">
        <f>COUNTIFS('1. All Data'!$AA$3:$AA$134,"Standing up for our communities",'1. All Data'!$V$3:$V$134,"Fully Achieved")</f>
        <v>0</v>
      </c>
      <c r="Y95" s="288" t="e">
        <f>X95/X106</f>
        <v>#DIV/0!</v>
      </c>
      <c r="Z95" s="369" t="e">
        <f>Y95+Y96</f>
        <v>#DIV/0!</v>
      </c>
      <c r="AA95" s="288" t="e">
        <f>X95/X107</f>
        <v>#DIV/0!</v>
      </c>
      <c r="AB95" s="371" t="e">
        <f>AA95+AA96</f>
        <v>#DIV/0!</v>
      </c>
    </row>
    <row r="96" spans="2:28" ht="15.6">
      <c r="B96" s="227" t="s">
        <v>31</v>
      </c>
      <c r="C96" s="167">
        <f>COUNTIFS('1. All Data'!$AA$3:$AA$134,"Standing up for our communities",'1. All Data'!$H$3:$H$134,"On Track to be achieved")</f>
        <v>2</v>
      </c>
      <c r="D96" s="288">
        <f>C96/C106</f>
        <v>0.4</v>
      </c>
      <c r="E96" s="369"/>
      <c r="F96" s="288">
        <f>C96/C107</f>
        <v>0.66666666666666663</v>
      </c>
      <c r="G96" s="371"/>
      <c r="I96" s="227" t="s">
        <v>31</v>
      </c>
      <c r="J96" s="167">
        <f>COUNTIFS('1. All Data'!$AA$3:$AA$134,"Standing up for our communities",'1. All Data'!$M$3:$M$134,"On Track to be achieved")</f>
        <v>0</v>
      </c>
      <c r="K96" s="288" t="e">
        <f>J96/J106</f>
        <v>#DIV/0!</v>
      </c>
      <c r="L96" s="369"/>
      <c r="M96" s="288" t="e">
        <f>J96/J107</f>
        <v>#DIV/0!</v>
      </c>
      <c r="N96" s="371"/>
      <c r="P96" s="227" t="s">
        <v>31</v>
      </c>
      <c r="Q96" s="167">
        <f>COUNTIFS('1. All Data'!$AA$3:$AA$134,"Standing up for our communities",'1. All Data'!$R$3:$R$134,"On Track to be achieved")</f>
        <v>0</v>
      </c>
      <c r="R96" s="288" t="e">
        <f>Q96/Q106</f>
        <v>#DIV/0!</v>
      </c>
      <c r="S96" s="369"/>
      <c r="T96" s="288" t="e">
        <f>Q96/Q107</f>
        <v>#DIV/0!</v>
      </c>
      <c r="U96" s="371"/>
      <c r="W96" s="227" t="s">
        <v>23</v>
      </c>
      <c r="X96" s="167">
        <f>COUNTIFS('1. All Data'!$AA$3:$AA$134,"Standing up for our communities",'1. All Data'!$V$3:$V$134,"Numerical Outturn Within 5% Tolerance")</f>
        <v>0</v>
      </c>
      <c r="Y96" s="288" t="e">
        <f>X96/X106</f>
        <v>#DIV/0!</v>
      </c>
      <c r="Z96" s="369"/>
      <c r="AA96" s="288" t="e">
        <f>X96/X107</f>
        <v>#DIV/0!</v>
      </c>
      <c r="AB96" s="371"/>
    </row>
    <row r="97" spans="2:28" ht="15.6">
      <c r="B97" s="379" t="s">
        <v>32</v>
      </c>
      <c r="C97" s="382">
        <f>COUNTIFS('1. All Data'!$AA$3:$AA$134,"Standing up for our communities",'1. All Data'!$H$3:$H$134,"In Danger of Falling Behind Target")</f>
        <v>0</v>
      </c>
      <c r="D97" s="372">
        <f>C97/C106</f>
        <v>0</v>
      </c>
      <c r="E97" s="372">
        <f>D97</f>
        <v>0</v>
      </c>
      <c r="F97" s="372">
        <f>C97/C107</f>
        <v>0</v>
      </c>
      <c r="G97" s="375">
        <f>F97</f>
        <v>0</v>
      </c>
      <c r="I97" s="379" t="s">
        <v>32</v>
      </c>
      <c r="J97" s="382">
        <f>COUNTIFS('1. All Data'!$AA$3:$AA$134,"Standing up for our communities",'1. All Data'!$M$3:$M$134,"In Danger of Falling Behind Target")</f>
        <v>0</v>
      </c>
      <c r="K97" s="372" t="e">
        <f>J97/J106</f>
        <v>#DIV/0!</v>
      </c>
      <c r="L97" s="372" t="e">
        <f>K97</f>
        <v>#DIV/0!</v>
      </c>
      <c r="M97" s="372" t="e">
        <f>J97/J107</f>
        <v>#DIV/0!</v>
      </c>
      <c r="N97" s="375" t="e">
        <f>M97</f>
        <v>#DIV/0!</v>
      </c>
      <c r="P97" s="379" t="s">
        <v>32</v>
      </c>
      <c r="Q97" s="382">
        <f>COUNTIFS('1. All Data'!$AA$3:$AA$134,"Standing up for our communities",'1. All Data'!$R$3:$R$134,"In Danger of Falling Behind Target")</f>
        <v>0</v>
      </c>
      <c r="R97" s="372" t="e">
        <f>Q97/Q106</f>
        <v>#DIV/0!</v>
      </c>
      <c r="S97" s="372" t="e">
        <f>R97</f>
        <v>#DIV/0!</v>
      </c>
      <c r="T97" s="372" t="e">
        <f>Q97/Q107</f>
        <v>#DIV/0!</v>
      </c>
      <c r="U97" s="375" t="e">
        <f>T97</f>
        <v>#DIV/0!</v>
      </c>
      <c r="W97" s="169" t="s">
        <v>24</v>
      </c>
      <c r="X97" s="170">
        <f>COUNTIFS('1. All Data'!$AA$3:$AA$134,"Standing up for our communities",'1. All Data'!$V$3:$V$134,"Numerical Outturn Within 10% Tolerance")</f>
        <v>0</v>
      </c>
      <c r="Y97" s="288" t="e">
        <f>X97/$X$34</f>
        <v>#DIV/0!</v>
      </c>
      <c r="Z97" s="369" t="e">
        <f>SUM(Y97:Y99)</f>
        <v>#DIV/0!</v>
      </c>
      <c r="AA97" s="288" t="e">
        <f>X97/X107</f>
        <v>#DIV/0!</v>
      </c>
      <c r="AB97" s="378" t="e">
        <f>SUM(AA97:AA99)</f>
        <v>#DIV/0!</v>
      </c>
    </row>
    <row r="98" spans="2:28" ht="15.6">
      <c r="B98" s="380"/>
      <c r="C98" s="383"/>
      <c r="D98" s="373"/>
      <c r="E98" s="373"/>
      <c r="F98" s="373"/>
      <c r="G98" s="376"/>
      <c r="I98" s="380"/>
      <c r="J98" s="383"/>
      <c r="K98" s="373"/>
      <c r="L98" s="373"/>
      <c r="M98" s="373"/>
      <c r="N98" s="376"/>
      <c r="P98" s="380"/>
      <c r="Q98" s="383"/>
      <c r="R98" s="373"/>
      <c r="S98" s="373"/>
      <c r="T98" s="373"/>
      <c r="U98" s="376"/>
      <c r="W98" s="169" t="s">
        <v>25</v>
      </c>
      <c r="X98" s="170">
        <f>COUNTIFS('1. All Data'!$AA$3:$AA$134,"Standing up for our communities",'1. All Data'!$V$3:$V$134,"Target Partially Met")</f>
        <v>0</v>
      </c>
      <c r="Y98" s="288" t="e">
        <f>X98/$X$34</f>
        <v>#DIV/0!</v>
      </c>
      <c r="Z98" s="369"/>
      <c r="AA98" s="288" t="e">
        <f>X98/X107</f>
        <v>#DIV/0!</v>
      </c>
      <c r="AB98" s="378"/>
    </row>
    <row r="99" spans="2:28" ht="15.6">
      <c r="B99" s="381"/>
      <c r="C99" s="384"/>
      <c r="D99" s="374"/>
      <c r="E99" s="374"/>
      <c r="F99" s="374"/>
      <c r="G99" s="377"/>
      <c r="I99" s="381"/>
      <c r="J99" s="384"/>
      <c r="K99" s="374"/>
      <c r="L99" s="374"/>
      <c r="M99" s="374"/>
      <c r="N99" s="377"/>
      <c r="P99" s="381"/>
      <c r="Q99" s="384"/>
      <c r="R99" s="374"/>
      <c r="S99" s="374"/>
      <c r="T99" s="374"/>
      <c r="U99" s="377"/>
      <c r="W99" s="169" t="s">
        <v>28</v>
      </c>
      <c r="X99" s="170">
        <f>COUNTIFS('1. All Data'!$AA$3:$AA$134,"Standing up for our communities",'1. All Data'!$V$3:$V$134,"Completion Date Within Reasonable Tolerance")</f>
        <v>0</v>
      </c>
      <c r="Y99" s="288" t="e">
        <f>X99/$X$34</f>
        <v>#DIV/0!</v>
      </c>
      <c r="Z99" s="369"/>
      <c r="AA99" s="288" t="e">
        <f>X99/X107</f>
        <v>#DIV/0!</v>
      </c>
      <c r="AB99" s="378"/>
    </row>
    <row r="100" spans="2:28" ht="15.6">
      <c r="B100" s="171" t="s">
        <v>33</v>
      </c>
      <c r="C100" s="167">
        <f>COUNTIFS('1. All Data'!$AA$3:$AA$134,"Standing up for our communities",'1. All Data'!$H$3:$H$134,"Completed Behind Schedule")</f>
        <v>0</v>
      </c>
      <c r="D100" s="288">
        <f>C100/C106</f>
        <v>0</v>
      </c>
      <c r="E100" s="369">
        <f>D100+D101</f>
        <v>0</v>
      </c>
      <c r="F100" s="288">
        <f>C100/C107</f>
        <v>0</v>
      </c>
      <c r="G100" s="370">
        <f>F100+F101</f>
        <v>0</v>
      </c>
      <c r="I100" s="171" t="s">
        <v>33</v>
      </c>
      <c r="J100" s="167">
        <f>COUNTIFS('1. All Data'!$AA$3:$AA$134,"Standing up for our communities",'1. All Data'!$M$3:$M$134,"Completed Behind Schedule")</f>
        <v>0</v>
      </c>
      <c r="K100" s="288" t="e">
        <f>J100/J106</f>
        <v>#DIV/0!</v>
      </c>
      <c r="L100" s="369" t="e">
        <f>K100+K101</f>
        <v>#DIV/0!</v>
      </c>
      <c r="M100" s="288" t="e">
        <f>J100/J107</f>
        <v>#DIV/0!</v>
      </c>
      <c r="N100" s="370" t="e">
        <f>M100+M101</f>
        <v>#DIV/0!</v>
      </c>
      <c r="P100" s="171" t="s">
        <v>33</v>
      </c>
      <c r="Q100" s="167">
        <f>COUNTIFS('1. All Data'!$AA$3:$AA$134,"Standing up for our communities",'1. All Data'!$R$3:$R$134,"Completed Behind Schedule")</f>
        <v>0</v>
      </c>
      <c r="R100" s="288" t="e">
        <f>Q100/Q106</f>
        <v>#DIV/0!</v>
      </c>
      <c r="S100" s="369" t="e">
        <f>R100+R101</f>
        <v>#DIV/0!</v>
      </c>
      <c r="T100" s="288" t="e">
        <f>Q100/Q107</f>
        <v>#DIV/0!</v>
      </c>
      <c r="U100" s="370" t="e">
        <f>T100+T101</f>
        <v>#DIV/0!</v>
      </c>
      <c r="W100" s="171" t="s">
        <v>27</v>
      </c>
      <c r="X100" s="167">
        <f>COUNTIFS('1. All Data'!$AA$3:$AA$134,"Standing up for our communities",'1. All Data'!$V$3:$V$134,"Completed Significantly After Target Deadline")</f>
        <v>0</v>
      </c>
      <c r="Y100" s="288" t="e">
        <f>X100/$X$34</f>
        <v>#DIV/0!</v>
      </c>
      <c r="Z100" s="369" t="e">
        <f>SUM(Y100:Y101)</f>
        <v>#DIV/0!</v>
      </c>
      <c r="AA100" s="288" t="e">
        <f>X100/X107</f>
        <v>#DIV/0!</v>
      </c>
      <c r="AB100" s="370" t="e">
        <f>AA100+AA101</f>
        <v>#DIV/0!</v>
      </c>
    </row>
    <row r="101" spans="2:28" ht="15.6">
      <c r="B101" s="171" t="s">
        <v>26</v>
      </c>
      <c r="C101" s="167">
        <f>COUNTIFS('1. All Data'!$AA$3:$AA$134,"Standing up for our communities",'1. All Data'!$H$3:$H$134,"Off Target")</f>
        <v>0</v>
      </c>
      <c r="D101" s="288">
        <f>C101/C106</f>
        <v>0</v>
      </c>
      <c r="E101" s="369"/>
      <c r="F101" s="288">
        <f>C101/C107</f>
        <v>0</v>
      </c>
      <c r="G101" s="370"/>
      <c r="I101" s="171" t="s">
        <v>26</v>
      </c>
      <c r="J101" s="167">
        <f>COUNTIFS('1. All Data'!$AA$3:$AA$134,"Standing up for our communities",'1. All Data'!$M$3:$M$134,"Off Target")</f>
        <v>0</v>
      </c>
      <c r="K101" s="288" t="e">
        <f>J101/J106</f>
        <v>#DIV/0!</v>
      </c>
      <c r="L101" s="369"/>
      <c r="M101" s="288" t="e">
        <f>J101/J107</f>
        <v>#DIV/0!</v>
      </c>
      <c r="N101" s="370"/>
      <c r="P101" s="171" t="s">
        <v>26</v>
      </c>
      <c r="Q101" s="167">
        <f>COUNTIFS('1. All Data'!$AA$3:$AA$134,"Standing up for our communities",'1. All Data'!$R$3:$R$134,"Off Target")</f>
        <v>0</v>
      </c>
      <c r="R101" s="288" t="e">
        <f>Q101/Q106</f>
        <v>#DIV/0!</v>
      </c>
      <c r="S101" s="369"/>
      <c r="T101" s="288" t="e">
        <f>Q101/Q107</f>
        <v>#DIV/0!</v>
      </c>
      <c r="U101" s="370"/>
      <c r="W101" s="171" t="s">
        <v>26</v>
      </c>
      <c r="X101" s="167">
        <f>COUNTIFS('1. All Data'!$AA$3:$AA$134,"Standing up for our communities",'1. All Data'!$V$3:$V$134,"Off Target")</f>
        <v>0</v>
      </c>
      <c r="Y101" s="288" t="e">
        <f>X101/$X$34</f>
        <v>#DIV/0!</v>
      </c>
      <c r="Z101" s="369"/>
      <c r="AA101" s="288" t="e">
        <f>X101/X107</f>
        <v>#DIV/0!</v>
      </c>
      <c r="AB101" s="370"/>
    </row>
    <row r="102" spans="2:28" ht="15.6">
      <c r="B102" s="172" t="s">
        <v>49</v>
      </c>
      <c r="C102" s="167">
        <f>COUNTIFS('1. All Data'!$AA$3:$AA$134,"Standing up for our communities",'1. All Data'!$H$3:$H$134,"Not yet due")</f>
        <v>2</v>
      </c>
      <c r="D102" s="173">
        <f>C102/C106</f>
        <v>0.4</v>
      </c>
      <c r="E102" s="173">
        <f>D102</f>
        <v>0.4</v>
      </c>
      <c r="F102" s="174"/>
      <c r="G102" s="58"/>
      <c r="I102" s="172" t="s">
        <v>49</v>
      </c>
      <c r="J102" s="167">
        <f>COUNTIFS('1. All Data'!$AA$3:$AA$134,"Standing up for our communities",'1. All Data'!$M$3:$M$134,"Not yet due")</f>
        <v>0</v>
      </c>
      <c r="K102" s="173" t="e">
        <f>J102/J106</f>
        <v>#DIV/0!</v>
      </c>
      <c r="L102" s="173" t="e">
        <f>K102</f>
        <v>#DIV/0!</v>
      </c>
      <c r="M102" s="174"/>
      <c r="N102" s="58"/>
      <c r="P102" s="172" t="s">
        <v>49</v>
      </c>
      <c r="Q102" s="167">
        <f>COUNTIFS('1. All Data'!$AA$3:$AA$134,"Standing up for our communities",'1. All Data'!$R$3:$R$134,"Not yet due")</f>
        <v>0</v>
      </c>
      <c r="R102" s="173" t="e">
        <f>Q102/Q106</f>
        <v>#DIV/0!</v>
      </c>
      <c r="S102" s="173" t="e">
        <f>R102</f>
        <v>#DIV/0!</v>
      </c>
      <c r="T102" s="174"/>
      <c r="U102" s="58"/>
      <c r="W102" s="172" t="s">
        <v>49</v>
      </c>
      <c r="X102" s="167">
        <f>COUNTIFS('1. All Data'!$AA$3:$AA$134,"Standing up for our communities",'1. All Data'!$V$3:$V$134,"Not yet due")</f>
        <v>0</v>
      </c>
      <c r="Y102" s="288" t="e">
        <f t="shared" ref="Y102:Y105" si="11">X102/$X$34</f>
        <v>#DIV/0!</v>
      </c>
      <c r="Z102" s="288" t="e">
        <f>Y102</f>
        <v>#DIV/0!</v>
      </c>
      <c r="AA102" s="174"/>
      <c r="AB102" s="58"/>
    </row>
    <row r="103" spans="2:28" ht="15.6">
      <c r="B103" s="172" t="s">
        <v>21</v>
      </c>
      <c r="C103" s="167">
        <f>COUNTIFS('1. All Data'!$AA$3:$AA$134,"Standing up for our communities",'1. All Data'!$H$3:$H$134,"update not provided")</f>
        <v>0</v>
      </c>
      <c r="D103" s="173">
        <f>C103/C106</f>
        <v>0</v>
      </c>
      <c r="E103" s="173">
        <f>D103</f>
        <v>0</v>
      </c>
      <c r="F103" s="174"/>
      <c r="G103" s="2"/>
      <c r="I103" s="172" t="s">
        <v>21</v>
      </c>
      <c r="J103" s="167">
        <f>COUNTIFS('1. All Data'!$AA$3:$AA$134,"Standing up for our communities",'1. All Data'!$M$3:$M$134,"update not provided")</f>
        <v>0</v>
      </c>
      <c r="K103" s="173" t="e">
        <f>J103/J106</f>
        <v>#DIV/0!</v>
      </c>
      <c r="L103" s="173" t="e">
        <f>K103</f>
        <v>#DIV/0!</v>
      </c>
      <c r="M103" s="174"/>
      <c r="N103" s="2"/>
      <c r="P103" s="172" t="s">
        <v>21</v>
      </c>
      <c r="Q103" s="167">
        <f>COUNTIFS('1. All Data'!$AA$3:$AA$134,"Standing up for our communities",'1. All Data'!$R$3:$R$134,"update not provided")</f>
        <v>0</v>
      </c>
      <c r="R103" s="173" t="e">
        <f>Q103/Q106</f>
        <v>#DIV/0!</v>
      </c>
      <c r="S103" s="173" t="e">
        <f>R103</f>
        <v>#DIV/0!</v>
      </c>
      <c r="T103" s="174"/>
      <c r="U103" s="2"/>
      <c r="W103" s="172" t="s">
        <v>21</v>
      </c>
      <c r="X103" s="167">
        <f>COUNTIFS('1. All Data'!$AA$3:$AA$134,"Standing up for our communities",'1. All Data'!$V$3:$V$134,"update not provided")</f>
        <v>0</v>
      </c>
      <c r="Y103" s="288" t="e">
        <f t="shared" si="11"/>
        <v>#DIV/0!</v>
      </c>
      <c r="Z103" s="288" t="e">
        <f>Y103</f>
        <v>#DIV/0!</v>
      </c>
      <c r="AA103" s="174"/>
      <c r="AB103" s="2"/>
    </row>
    <row r="104" spans="2:28" ht="15.6">
      <c r="B104" s="175" t="s">
        <v>29</v>
      </c>
      <c r="C104" s="167">
        <f>COUNTIFS('1. All Data'!$AA$3:$AA$134,"Standing up for our communities",'1. All Data'!$H$3:$H$134,"Deferred")</f>
        <v>0</v>
      </c>
      <c r="D104" s="176">
        <f>C104/C106</f>
        <v>0</v>
      </c>
      <c r="E104" s="176">
        <f>D104</f>
        <v>0</v>
      </c>
      <c r="F104" s="177"/>
      <c r="G104" s="58"/>
      <c r="I104" s="175" t="s">
        <v>29</v>
      </c>
      <c r="J104" s="167">
        <f>COUNTIFS('1. All Data'!$AA$3:$AA$134,"Standing up for our communities",'1. All Data'!$M$3:$M$134,"Deferred")</f>
        <v>0</v>
      </c>
      <c r="K104" s="176" t="e">
        <f>J104/J106</f>
        <v>#DIV/0!</v>
      </c>
      <c r="L104" s="176" t="e">
        <f>K104</f>
        <v>#DIV/0!</v>
      </c>
      <c r="M104" s="177"/>
      <c r="N104" s="58"/>
      <c r="P104" s="175" t="s">
        <v>29</v>
      </c>
      <c r="Q104" s="167">
        <f>COUNTIFS('1. All Data'!$AA$3:$AA$134,"Standing up for our communities",'1. All Data'!$R$3:$R$134,"Deferred")</f>
        <v>0</v>
      </c>
      <c r="R104" s="176" t="e">
        <f>Q104/Q106</f>
        <v>#DIV/0!</v>
      </c>
      <c r="S104" s="176" t="e">
        <f>R104</f>
        <v>#DIV/0!</v>
      </c>
      <c r="T104" s="177"/>
      <c r="U104" s="58"/>
      <c r="W104" s="175" t="s">
        <v>29</v>
      </c>
      <c r="X104" s="167">
        <f>COUNTIFS('1. All Data'!$AA$3:$AA$134,"Standing up for our communities",'1. All Data'!$V$3:$V$134,"Deferred")</f>
        <v>0</v>
      </c>
      <c r="Y104" s="288" t="e">
        <f t="shared" si="11"/>
        <v>#DIV/0!</v>
      </c>
      <c r="Z104" s="288" t="e">
        <f t="shared" ref="Z104:Z105" si="12">Y104</f>
        <v>#DIV/0!</v>
      </c>
      <c r="AA104" s="177"/>
      <c r="AB104" s="58"/>
    </row>
    <row r="105" spans="2:28" ht="15.6">
      <c r="B105" s="175" t="s">
        <v>30</v>
      </c>
      <c r="C105" s="167">
        <f>COUNTIFS('1. All Data'!$AA$3:$AA$134,"Standing up for our communities",'1. All Data'!$H$3:$H$134,"Deleted")</f>
        <v>0</v>
      </c>
      <c r="D105" s="176">
        <f>C105/C106</f>
        <v>0</v>
      </c>
      <c r="E105" s="176">
        <f>D105</f>
        <v>0</v>
      </c>
      <c r="F105" s="177"/>
      <c r="G105" s="3"/>
      <c r="I105" s="175" t="s">
        <v>30</v>
      </c>
      <c r="J105" s="167">
        <f>COUNTIFS('1. All Data'!$AA$3:$AA$134,"Standing up for our communities",'1. All Data'!$M$3:$M$134,"Deleted")</f>
        <v>0</v>
      </c>
      <c r="K105" s="176" t="e">
        <f>J105/J106</f>
        <v>#DIV/0!</v>
      </c>
      <c r="L105" s="176" t="e">
        <f>K105</f>
        <v>#DIV/0!</v>
      </c>
      <c r="M105" s="177"/>
      <c r="N105" s="3"/>
      <c r="P105" s="175" t="s">
        <v>30</v>
      </c>
      <c r="Q105" s="167">
        <f>COUNTIFS('1. All Data'!$AA$3:$AA$134,"Standing up for our communities",'1. All Data'!$R$3:$R$134,"Deleted")</f>
        <v>0</v>
      </c>
      <c r="R105" s="176" t="e">
        <f>Q105/Q106</f>
        <v>#DIV/0!</v>
      </c>
      <c r="S105" s="176" t="e">
        <f>R105</f>
        <v>#DIV/0!</v>
      </c>
      <c r="T105" s="177"/>
      <c r="U105" s="3"/>
      <c r="W105" s="175" t="s">
        <v>30</v>
      </c>
      <c r="X105" s="167">
        <f>COUNTIFS('1. All Data'!$AA$3:$AA$134,"Standing up for our communities",'1. All Data'!$V$3:$V$134,"Deleted")</f>
        <v>0</v>
      </c>
      <c r="Y105" s="288" t="e">
        <f t="shared" si="11"/>
        <v>#DIV/0!</v>
      </c>
      <c r="Z105" s="288" t="e">
        <f t="shared" si="12"/>
        <v>#DIV/0!</v>
      </c>
      <c r="AA105" s="177"/>
    </row>
    <row r="106" spans="2:28" ht="15.6">
      <c r="B106" s="193" t="s">
        <v>51</v>
      </c>
      <c r="C106" s="179">
        <f>SUM(C95:C105)</f>
        <v>5</v>
      </c>
      <c r="D106" s="177"/>
      <c r="E106" s="177"/>
      <c r="F106" s="58"/>
      <c r="G106" s="58"/>
      <c r="I106" s="193" t="s">
        <v>51</v>
      </c>
      <c r="J106" s="179">
        <f>SUM(J95:J105)</f>
        <v>0</v>
      </c>
      <c r="K106" s="177"/>
      <c r="L106" s="177"/>
      <c r="M106" s="58"/>
      <c r="N106" s="58"/>
      <c r="P106" s="193" t="s">
        <v>51</v>
      </c>
      <c r="Q106" s="179">
        <f>SUM(Q95:Q105)</f>
        <v>0</v>
      </c>
      <c r="R106" s="177"/>
      <c r="S106" s="177"/>
      <c r="T106" s="58"/>
      <c r="U106" s="58"/>
      <c r="W106" s="178" t="s">
        <v>51</v>
      </c>
      <c r="X106" s="179">
        <f>SUM(X95:X105)</f>
        <v>0</v>
      </c>
      <c r="Y106" s="177"/>
      <c r="Z106" s="177"/>
      <c r="AA106" s="58"/>
      <c r="AB106" s="58"/>
    </row>
    <row r="107" spans="2:28" ht="15.6">
      <c r="B107" s="193" t="s">
        <v>52</v>
      </c>
      <c r="C107" s="179">
        <f>C106-C105-C104-C103-C102</f>
        <v>3</v>
      </c>
      <c r="D107" s="58"/>
      <c r="E107" s="58"/>
      <c r="F107" s="58"/>
      <c r="G107" s="58"/>
      <c r="I107" s="193" t="s">
        <v>52</v>
      </c>
      <c r="J107" s="179">
        <f>J106-J105-J104-J103-J102</f>
        <v>0</v>
      </c>
      <c r="K107" s="58"/>
      <c r="L107" s="58"/>
      <c r="M107" s="58"/>
      <c r="N107" s="58"/>
      <c r="P107" s="193" t="s">
        <v>52</v>
      </c>
      <c r="Q107" s="179">
        <f>Q106-Q105-Q104-Q103-Q102</f>
        <v>0</v>
      </c>
      <c r="R107" s="58"/>
      <c r="S107" s="58"/>
      <c r="T107" s="58"/>
      <c r="U107" s="58"/>
      <c r="W107" s="178" t="s">
        <v>52</v>
      </c>
      <c r="X107" s="179">
        <f>X106-X105-X104-X103-X102</f>
        <v>0</v>
      </c>
      <c r="Y107" s="58"/>
      <c r="Z107" s="58"/>
      <c r="AA107" s="58"/>
      <c r="AB107" s="58"/>
    </row>
    <row r="109" spans="2:28" hidden="1"/>
    <row r="110" spans="2:28" hidden="1"/>
    <row r="111" spans="2:28" ht="15.6">
      <c r="B111" s="188" t="s">
        <v>432</v>
      </c>
      <c r="C111" s="189"/>
      <c r="D111" s="189"/>
      <c r="E111" s="189"/>
      <c r="F111" s="190"/>
      <c r="G111" s="191"/>
      <c r="I111" s="188" t="s">
        <v>432</v>
      </c>
      <c r="J111" s="189"/>
      <c r="K111" s="189"/>
      <c r="L111" s="189"/>
      <c r="M111" s="190"/>
      <c r="N111" s="191"/>
      <c r="P111" s="188" t="s">
        <v>432</v>
      </c>
      <c r="Q111" s="189"/>
      <c r="R111" s="189"/>
      <c r="S111" s="189"/>
      <c r="T111" s="190"/>
      <c r="U111" s="191"/>
      <c r="W111" s="188" t="s">
        <v>432</v>
      </c>
      <c r="X111" s="195"/>
      <c r="Y111" s="162"/>
      <c r="Z111" s="162"/>
      <c r="AA111" s="162"/>
      <c r="AB111" s="163"/>
    </row>
    <row r="112" spans="2:28" ht="31.2">
      <c r="B112" s="164" t="s">
        <v>42</v>
      </c>
      <c r="C112" s="164" t="s">
        <v>43</v>
      </c>
      <c r="D112" s="164" t="s">
        <v>44</v>
      </c>
      <c r="E112" s="164" t="s">
        <v>45</v>
      </c>
      <c r="F112" s="164" t="s">
        <v>46</v>
      </c>
      <c r="G112" s="164" t="s">
        <v>47</v>
      </c>
      <c r="I112" s="164" t="s">
        <v>42</v>
      </c>
      <c r="J112" s="164" t="s">
        <v>43</v>
      </c>
      <c r="K112" s="164" t="s">
        <v>44</v>
      </c>
      <c r="L112" s="164" t="s">
        <v>45</v>
      </c>
      <c r="M112" s="164" t="s">
        <v>46</v>
      </c>
      <c r="N112" s="164" t="s">
        <v>47</v>
      </c>
      <c r="P112" s="164" t="s">
        <v>42</v>
      </c>
      <c r="Q112" s="164" t="s">
        <v>43</v>
      </c>
      <c r="R112" s="164" t="s">
        <v>44</v>
      </c>
      <c r="S112" s="164" t="s">
        <v>45</v>
      </c>
      <c r="T112" s="164" t="s">
        <v>46</v>
      </c>
      <c r="U112" s="164" t="s">
        <v>47</v>
      </c>
      <c r="W112" s="164" t="s">
        <v>42</v>
      </c>
      <c r="X112" s="164" t="s">
        <v>43</v>
      </c>
      <c r="Y112" s="164" t="s">
        <v>44</v>
      </c>
      <c r="Z112" s="164" t="s">
        <v>45</v>
      </c>
      <c r="AA112" s="164" t="s">
        <v>46</v>
      </c>
      <c r="AB112" s="164" t="s">
        <v>47</v>
      </c>
    </row>
    <row r="113" spans="2:28" ht="15.6">
      <c r="B113" s="227" t="s">
        <v>48</v>
      </c>
      <c r="C113" s="167">
        <f>COUNTIFS('1. All Data'!$AA$3:$AA$134,"",'1. All Data'!$H$3:$H$134,"Fully Achieved")</f>
        <v>7</v>
      </c>
      <c r="D113" s="288">
        <f>C113/C124</f>
        <v>7.4468085106382975E-2</v>
      </c>
      <c r="E113" s="369">
        <f>D113+D114</f>
        <v>0.64893617021276606</v>
      </c>
      <c r="F113" s="288">
        <f>C113/C125</f>
        <v>0.10606060606060606</v>
      </c>
      <c r="G113" s="371">
        <f>F113+F114</f>
        <v>0.92424242424242431</v>
      </c>
      <c r="I113" s="227" t="s">
        <v>48</v>
      </c>
      <c r="J113" s="167">
        <f>COUNTIFS('1. All Data'!$AA$3:$AA$134,"",'1. All Data'!$M$3:$M$134,"Fully Achieved")</f>
        <v>0</v>
      </c>
      <c r="K113" s="288" t="e">
        <f>J113/J124</f>
        <v>#DIV/0!</v>
      </c>
      <c r="L113" s="369" t="e">
        <f>K113+K114</f>
        <v>#DIV/0!</v>
      </c>
      <c r="M113" s="288" t="e">
        <f>J113/J125</f>
        <v>#DIV/0!</v>
      </c>
      <c r="N113" s="371" t="e">
        <f>M113+M114</f>
        <v>#DIV/0!</v>
      </c>
      <c r="P113" s="227" t="s">
        <v>48</v>
      </c>
      <c r="Q113" s="167">
        <f>COUNTIFS('1. All Data'!$AA$3:$AA$134,"",'1. All Data'!$R$3:$R$134,"Fully Achieved")</f>
        <v>0</v>
      </c>
      <c r="R113" s="288" t="e">
        <f>Q113/Q124</f>
        <v>#DIV/0!</v>
      </c>
      <c r="S113" s="369" t="e">
        <f>R113+R114</f>
        <v>#DIV/0!</v>
      </c>
      <c r="T113" s="288" t="e">
        <f>Q113/Q125</f>
        <v>#DIV/0!</v>
      </c>
      <c r="U113" s="371" t="e">
        <f>T113+T114</f>
        <v>#DIV/0!</v>
      </c>
      <c r="W113" s="227" t="s">
        <v>48</v>
      </c>
      <c r="X113" s="167">
        <f>COUNTIFS('1. All Data'!$AA$3:$AA$134,"",'1. All Data'!$V$3:$V$134,"Fully Achieved")</f>
        <v>0</v>
      </c>
      <c r="Y113" s="288" t="e">
        <f>X113/X124</f>
        <v>#DIV/0!</v>
      </c>
      <c r="Z113" s="369" t="e">
        <f>Y113+Y114</f>
        <v>#DIV/0!</v>
      </c>
      <c r="AA113" s="288" t="e">
        <f>X113/X125</f>
        <v>#DIV/0!</v>
      </c>
      <c r="AB113" s="371" t="e">
        <f>AA113+AA114</f>
        <v>#DIV/0!</v>
      </c>
    </row>
    <row r="114" spans="2:28" ht="15.6">
      <c r="B114" s="227" t="s">
        <v>31</v>
      </c>
      <c r="C114" s="167">
        <f>COUNTIFS('1. All Data'!$AA$3:$AA$134,"",'1. All Data'!$H$3:$H$134,"On Track to be achieved")</f>
        <v>54</v>
      </c>
      <c r="D114" s="288">
        <f>C114/C124</f>
        <v>0.57446808510638303</v>
      </c>
      <c r="E114" s="369"/>
      <c r="F114" s="288">
        <f>C114/C125</f>
        <v>0.81818181818181823</v>
      </c>
      <c r="G114" s="371"/>
      <c r="I114" s="227" t="s">
        <v>31</v>
      </c>
      <c r="J114" s="167">
        <f>COUNTIFS('1. All Data'!$AA$3:$AA$134,"",'1. All Data'!$M$3:$M$134,"On Track to be achieved")</f>
        <v>0</v>
      </c>
      <c r="K114" s="288" t="e">
        <f>J114/J124</f>
        <v>#DIV/0!</v>
      </c>
      <c r="L114" s="369"/>
      <c r="M114" s="288" t="e">
        <f>J114/J125</f>
        <v>#DIV/0!</v>
      </c>
      <c r="N114" s="371"/>
      <c r="P114" s="227" t="s">
        <v>31</v>
      </c>
      <c r="Q114" s="167">
        <f>COUNTIFS('1. All Data'!$AA$3:$AA$134,"",'1. All Data'!$R$3:$R$134,"On Track to be achieved")</f>
        <v>0</v>
      </c>
      <c r="R114" s="288" t="e">
        <f>Q114/Q124</f>
        <v>#DIV/0!</v>
      </c>
      <c r="S114" s="369"/>
      <c r="T114" s="288" t="e">
        <f>Q114/Q125</f>
        <v>#DIV/0!</v>
      </c>
      <c r="U114" s="371"/>
      <c r="W114" s="227" t="s">
        <v>23</v>
      </c>
      <c r="X114" s="167">
        <f>COUNTIFS('1. All Data'!$AA$3:$AA$134,"",'1. All Data'!$V$3:$V$134,"Numerical Outturn Within 5% Tolerance")</f>
        <v>0</v>
      </c>
      <c r="Y114" s="288" t="e">
        <f>X114/X124</f>
        <v>#DIV/0!</v>
      </c>
      <c r="Z114" s="369"/>
      <c r="AA114" s="288" t="e">
        <f>X114/X125</f>
        <v>#DIV/0!</v>
      </c>
      <c r="AB114" s="371"/>
    </row>
    <row r="115" spans="2:28" ht="15.6">
      <c r="B115" s="379" t="s">
        <v>32</v>
      </c>
      <c r="C115" s="382">
        <f>COUNTIFS('1. All Data'!$AA$3:$AA$134,"",'1. All Data'!$H$3:$H$134,"In Danger of Falling Behind Target")</f>
        <v>5</v>
      </c>
      <c r="D115" s="372">
        <f>C115/C124</f>
        <v>5.3191489361702128E-2</v>
      </c>
      <c r="E115" s="372">
        <f>D115</f>
        <v>5.3191489361702128E-2</v>
      </c>
      <c r="F115" s="372">
        <f>C115/C125</f>
        <v>7.575757575757576E-2</v>
      </c>
      <c r="G115" s="375">
        <f>F115</f>
        <v>7.575757575757576E-2</v>
      </c>
      <c r="I115" s="379" t="s">
        <v>32</v>
      </c>
      <c r="J115" s="382">
        <f>COUNTIFS('1. All Data'!$AA$3:$AA$134,"",'1. All Data'!$M$3:$M$134,"In Danger of Falling Behind Target")</f>
        <v>0</v>
      </c>
      <c r="K115" s="372" t="e">
        <f>J115/J124</f>
        <v>#DIV/0!</v>
      </c>
      <c r="L115" s="372" t="e">
        <f>K115</f>
        <v>#DIV/0!</v>
      </c>
      <c r="M115" s="372" t="e">
        <f>J115/J125</f>
        <v>#DIV/0!</v>
      </c>
      <c r="N115" s="375" t="e">
        <f>M115</f>
        <v>#DIV/0!</v>
      </c>
      <c r="P115" s="379" t="s">
        <v>32</v>
      </c>
      <c r="Q115" s="382">
        <f>COUNTIFS('1. All Data'!$AA$3:$AA$134,"",'1. All Data'!$R$3:$R$134,"In Danger of Falling Behind Target")</f>
        <v>0</v>
      </c>
      <c r="R115" s="372" t="e">
        <f>Q115/Q124</f>
        <v>#DIV/0!</v>
      </c>
      <c r="S115" s="372" t="e">
        <f>R115</f>
        <v>#DIV/0!</v>
      </c>
      <c r="T115" s="372" t="e">
        <f>Q115/Q125</f>
        <v>#DIV/0!</v>
      </c>
      <c r="U115" s="375" t="e">
        <f>T115</f>
        <v>#DIV/0!</v>
      </c>
      <c r="W115" s="169" t="s">
        <v>24</v>
      </c>
      <c r="X115" s="170">
        <f>COUNTIFS('1. All Data'!$AA$3:$AA$134,"",'1. All Data'!$V$3:$V$134,"Numerical Outturn Within 10% Tolerance")</f>
        <v>0</v>
      </c>
      <c r="Y115" s="288" t="e">
        <f>X115/$X$34</f>
        <v>#DIV/0!</v>
      </c>
      <c r="Z115" s="369" t="e">
        <f>SUM(Y115:Y117)</f>
        <v>#DIV/0!</v>
      </c>
      <c r="AA115" s="288" t="e">
        <f>X115/X125</f>
        <v>#DIV/0!</v>
      </c>
      <c r="AB115" s="378" t="e">
        <f>SUM(AA115:AA117)</f>
        <v>#DIV/0!</v>
      </c>
    </row>
    <row r="116" spans="2:28" ht="15.6">
      <c r="B116" s="380"/>
      <c r="C116" s="383"/>
      <c r="D116" s="373"/>
      <c r="E116" s="373"/>
      <c r="F116" s="373"/>
      <c r="G116" s="376"/>
      <c r="I116" s="380"/>
      <c r="J116" s="383"/>
      <c r="K116" s="373"/>
      <c r="L116" s="373"/>
      <c r="M116" s="373"/>
      <c r="N116" s="376"/>
      <c r="P116" s="380"/>
      <c r="Q116" s="383"/>
      <c r="R116" s="373"/>
      <c r="S116" s="373"/>
      <c r="T116" s="373"/>
      <c r="U116" s="376"/>
      <c r="W116" s="169" t="s">
        <v>25</v>
      </c>
      <c r="X116" s="170">
        <f>COUNTIFS('1. All Data'!$AA$3:$AA$134,"",'1. All Data'!$V$3:$V$134,"Target Partially Met")</f>
        <v>0</v>
      </c>
      <c r="Y116" s="288" t="e">
        <f>X116/$X$34</f>
        <v>#DIV/0!</v>
      </c>
      <c r="Z116" s="369"/>
      <c r="AA116" s="288" t="e">
        <f>X116/X125</f>
        <v>#DIV/0!</v>
      </c>
      <c r="AB116" s="378"/>
    </row>
    <row r="117" spans="2:28" ht="15.6">
      <c r="B117" s="381"/>
      <c r="C117" s="384"/>
      <c r="D117" s="374"/>
      <c r="E117" s="374"/>
      <c r="F117" s="374"/>
      <c r="G117" s="377"/>
      <c r="I117" s="381"/>
      <c r="J117" s="384"/>
      <c r="K117" s="374"/>
      <c r="L117" s="374"/>
      <c r="M117" s="374"/>
      <c r="N117" s="377"/>
      <c r="P117" s="381"/>
      <c r="Q117" s="384"/>
      <c r="R117" s="374"/>
      <c r="S117" s="374"/>
      <c r="T117" s="374"/>
      <c r="U117" s="377"/>
      <c r="W117" s="169" t="s">
        <v>28</v>
      </c>
      <c r="X117" s="170">
        <f>COUNTIFS('1. All Data'!$AA$3:$AA$134,"",'1. All Data'!$V$3:$V$134,"Completion Date Within Reasonable Tolerance")</f>
        <v>0</v>
      </c>
      <c r="Y117" s="288" t="e">
        <f>X117/$X$34</f>
        <v>#DIV/0!</v>
      </c>
      <c r="Z117" s="369"/>
      <c r="AA117" s="288" t="e">
        <f>X117/X125</f>
        <v>#DIV/0!</v>
      </c>
      <c r="AB117" s="378"/>
    </row>
    <row r="118" spans="2:28" ht="15.6">
      <c r="B118" s="171" t="s">
        <v>33</v>
      </c>
      <c r="C118" s="167">
        <f>COUNTIFS('1. All Data'!$AA$3:$AA$134,"",'1. All Data'!$H$3:$H$134,"Completed Behind Schedule")</f>
        <v>0</v>
      </c>
      <c r="D118" s="288">
        <f>C118/C124</f>
        <v>0</v>
      </c>
      <c r="E118" s="369">
        <f>D118+D119</f>
        <v>0</v>
      </c>
      <c r="F118" s="288">
        <f>C118/C125</f>
        <v>0</v>
      </c>
      <c r="G118" s="370">
        <f>F118+F119</f>
        <v>0</v>
      </c>
      <c r="I118" s="171" t="s">
        <v>33</v>
      </c>
      <c r="J118" s="167">
        <f>COUNTIFS('1. All Data'!$AA$3:$AA$134,"",'1. All Data'!$M$3:$M$134,"Completed Behind Schedule")</f>
        <v>0</v>
      </c>
      <c r="K118" s="288" t="e">
        <f>J118/J124</f>
        <v>#DIV/0!</v>
      </c>
      <c r="L118" s="369" t="e">
        <f>K118+K119</f>
        <v>#DIV/0!</v>
      </c>
      <c r="M118" s="288" t="e">
        <f>J118/J125</f>
        <v>#DIV/0!</v>
      </c>
      <c r="N118" s="370" t="e">
        <f>M118+M119</f>
        <v>#DIV/0!</v>
      </c>
      <c r="P118" s="171" t="s">
        <v>33</v>
      </c>
      <c r="Q118" s="167">
        <f>COUNTIFS('1. All Data'!$AA$3:$AA$134,"",'1. All Data'!$R$3:$R$134,"Completed Behind Schedule")</f>
        <v>0</v>
      </c>
      <c r="R118" s="288" t="e">
        <f>Q118/Q124</f>
        <v>#DIV/0!</v>
      </c>
      <c r="S118" s="369" t="e">
        <f>R118+R119</f>
        <v>#DIV/0!</v>
      </c>
      <c r="T118" s="288" t="e">
        <f>Q118/Q125</f>
        <v>#DIV/0!</v>
      </c>
      <c r="U118" s="370" t="e">
        <f>T118+T119</f>
        <v>#DIV/0!</v>
      </c>
      <c r="W118" s="171" t="s">
        <v>27</v>
      </c>
      <c r="X118" s="167">
        <f>COUNTIFS('1. All Data'!$AA$3:$AA$134,"",'1. All Data'!$V$3:$V$134,"Completed Significantly After Target Deadline")</f>
        <v>0</v>
      </c>
      <c r="Y118" s="288" t="e">
        <f>X118/$X$34</f>
        <v>#DIV/0!</v>
      </c>
      <c r="Z118" s="369" t="e">
        <f>SUM(Y118:Y119)</f>
        <v>#DIV/0!</v>
      </c>
      <c r="AA118" s="288" t="e">
        <f>X118/X125</f>
        <v>#DIV/0!</v>
      </c>
      <c r="AB118" s="370" t="e">
        <f>AA118+AA119</f>
        <v>#DIV/0!</v>
      </c>
    </row>
    <row r="119" spans="2:28" ht="15.6">
      <c r="B119" s="171" t="s">
        <v>26</v>
      </c>
      <c r="C119" s="167">
        <f>COUNTIFS('1. All Data'!$AA$3:$AA$134,"",'1. All Data'!$H$3:$H$134,"Off Target")</f>
        <v>0</v>
      </c>
      <c r="D119" s="288">
        <f>C119/C124</f>
        <v>0</v>
      </c>
      <c r="E119" s="369"/>
      <c r="F119" s="288">
        <f>C119/C125</f>
        <v>0</v>
      </c>
      <c r="G119" s="370"/>
      <c r="I119" s="171" t="s">
        <v>26</v>
      </c>
      <c r="J119" s="167">
        <f>COUNTIFS('1. All Data'!$AA$3:$AA$134,"",'1. All Data'!$M$3:$M$134,"Off Target")</f>
        <v>0</v>
      </c>
      <c r="K119" s="288" t="e">
        <f>J119/J124</f>
        <v>#DIV/0!</v>
      </c>
      <c r="L119" s="369"/>
      <c r="M119" s="288" t="e">
        <f>J119/J125</f>
        <v>#DIV/0!</v>
      </c>
      <c r="N119" s="370"/>
      <c r="P119" s="171" t="s">
        <v>26</v>
      </c>
      <c r="Q119" s="167">
        <f>COUNTIFS('1. All Data'!$AA$3:$AA$134,"",'1. All Data'!$R$3:$R$134,"Off Target")</f>
        <v>0</v>
      </c>
      <c r="R119" s="288" t="e">
        <f>Q119/Q124</f>
        <v>#DIV/0!</v>
      </c>
      <c r="S119" s="369"/>
      <c r="T119" s="288" t="e">
        <f>Q119/Q125</f>
        <v>#DIV/0!</v>
      </c>
      <c r="U119" s="370"/>
      <c r="W119" s="171" t="s">
        <v>26</v>
      </c>
      <c r="X119" s="167">
        <f>COUNTIFS('1. All Data'!$AA$3:$AA$134,"",'1. All Data'!$V$3:$V$134,"Off Target")</f>
        <v>0</v>
      </c>
      <c r="Y119" s="288" t="e">
        <f>X119/$X$34</f>
        <v>#DIV/0!</v>
      </c>
      <c r="Z119" s="369"/>
      <c r="AA119" s="288" t="e">
        <f>X119/X125</f>
        <v>#DIV/0!</v>
      </c>
      <c r="AB119" s="370"/>
    </row>
    <row r="120" spans="2:28" ht="15.6">
      <c r="B120" s="172" t="s">
        <v>49</v>
      </c>
      <c r="C120" s="167">
        <f>COUNTIFS('1. All Data'!$AA$3:$AA$134,"",'1. All Data'!$H$3:$H$134,"Not yet due")</f>
        <v>28</v>
      </c>
      <c r="D120" s="173">
        <f>C120/C124</f>
        <v>0.2978723404255319</v>
      </c>
      <c r="E120" s="173">
        <f>D120</f>
        <v>0.2978723404255319</v>
      </c>
      <c r="F120" s="174"/>
      <c r="G120" s="58"/>
      <c r="I120" s="172" t="s">
        <v>49</v>
      </c>
      <c r="J120" s="167">
        <f>COUNTIFS('1. All Data'!$AA$3:$AA$134,"",'1. All Data'!$M$3:$M$134,"Not yet due")</f>
        <v>0</v>
      </c>
      <c r="K120" s="173" t="e">
        <f>J120/J124</f>
        <v>#DIV/0!</v>
      </c>
      <c r="L120" s="173" t="e">
        <f>K120</f>
        <v>#DIV/0!</v>
      </c>
      <c r="M120" s="174"/>
      <c r="N120" s="58"/>
      <c r="P120" s="172" t="s">
        <v>49</v>
      </c>
      <c r="Q120" s="167">
        <f>COUNTIFS('1. All Data'!$AA$3:$AA$134,"",'1. All Data'!$R$3:$R$134,"Not yet due")</f>
        <v>0</v>
      </c>
      <c r="R120" s="173" t="e">
        <f>Q120/Q124</f>
        <v>#DIV/0!</v>
      </c>
      <c r="S120" s="173" t="e">
        <f>R120</f>
        <v>#DIV/0!</v>
      </c>
      <c r="T120" s="174"/>
      <c r="U120" s="58"/>
      <c r="W120" s="172" t="s">
        <v>49</v>
      </c>
      <c r="X120" s="167">
        <f>COUNTIFS('1. All Data'!$AA$3:$AA$134,"",'1. All Data'!$V$3:$V$134,"Not yet due")</f>
        <v>0</v>
      </c>
      <c r="Y120" s="288" t="e">
        <f t="shared" ref="Y120:Y123" si="13">X120/$X$34</f>
        <v>#DIV/0!</v>
      </c>
      <c r="Z120" s="288" t="e">
        <f>Y120</f>
        <v>#DIV/0!</v>
      </c>
      <c r="AA120" s="174"/>
      <c r="AB120" s="58"/>
    </row>
    <row r="121" spans="2:28" ht="15.6">
      <c r="B121" s="172" t="s">
        <v>21</v>
      </c>
      <c r="C121" s="167">
        <f>COUNTIFS('1. All Data'!$AA$3:$AA$134,"",'1. All Data'!$H$3:$H$134,"update not provided")</f>
        <v>0</v>
      </c>
      <c r="D121" s="173">
        <f>C121/C124</f>
        <v>0</v>
      </c>
      <c r="E121" s="173">
        <f>D121</f>
        <v>0</v>
      </c>
      <c r="F121" s="174"/>
      <c r="G121" s="2"/>
      <c r="I121" s="172" t="s">
        <v>21</v>
      </c>
      <c r="J121" s="167">
        <f>COUNTIFS('1. All Data'!$AA$3:$AA$134,"",'1. All Data'!$M$3:$M$134,"update not provided")</f>
        <v>0</v>
      </c>
      <c r="K121" s="173" t="e">
        <f>J121/J124</f>
        <v>#DIV/0!</v>
      </c>
      <c r="L121" s="173" t="e">
        <f>K121</f>
        <v>#DIV/0!</v>
      </c>
      <c r="M121" s="174"/>
      <c r="N121" s="2"/>
      <c r="P121" s="172" t="s">
        <v>21</v>
      </c>
      <c r="Q121" s="167">
        <f>COUNTIFS('1. All Data'!$AA$3:$AA$134,"",'1. All Data'!$R$3:$R$134,"update not provided")</f>
        <v>0</v>
      </c>
      <c r="R121" s="173" t="e">
        <f>Q121/Q124</f>
        <v>#DIV/0!</v>
      </c>
      <c r="S121" s="173" t="e">
        <f>R121</f>
        <v>#DIV/0!</v>
      </c>
      <c r="T121" s="174"/>
      <c r="U121" s="2"/>
      <c r="W121" s="172" t="s">
        <v>21</v>
      </c>
      <c r="X121" s="167">
        <f>COUNTIFS('1. All Data'!$AA$3:$AA$134,"",'1. All Data'!$V$3:$V$134,"update not provided")</f>
        <v>0</v>
      </c>
      <c r="Y121" s="288" t="e">
        <f t="shared" si="13"/>
        <v>#DIV/0!</v>
      </c>
      <c r="Z121" s="288" t="e">
        <f>Y121</f>
        <v>#DIV/0!</v>
      </c>
      <c r="AA121" s="174"/>
      <c r="AB121" s="2"/>
    </row>
    <row r="122" spans="2:28" ht="15.6">
      <c r="B122" s="175" t="s">
        <v>29</v>
      </c>
      <c r="C122" s="167">
        <f>COUNTIFS('1. All Data'!$AA$3:$AA$134,"",'1. All Data'!$H$3:$H$134,"Deferred")</f>
        <v>0</v>
      </c>
      <c r="D122" s="176">
        <f>C122/C124</f>
        <v>0</v>
      </c>
      <c r="E122" s="176">
        <f>D122</f>
        <v>0</v>
      </c>
      <c r="F122" s="177"/>
      <c r="G122" s="58"/>
      <c r="I122" s="175" t="s">
        <v>29</v>
      </c>
      <c r="J122" s="167">
        <f>COUNTIFS('1. All Data'!$AA$3:$AA$134,"",'1. All Data'!$M$3:$M$134,"Deferred")</f>
        <v>0</v>
      </c>
      <c r="K122" s="176" t="e">
        <f>J122/J124</f>
        <v>#DIV/0!</v>
      </c>
      <c r="L122" s="176" t="e">
        <f>K122</f>
        <v>#DIV/0!</v>
      </c>
      <c r="M122" s="177"/>
      <c r="N122" s="58"/>
      <c r="P122" s="175" t="s">
        <v>29</v>
      </c>
      <c r="Q122" s="167">
        <f>COUNTIFS('1. All Data'!$AA$3:$AA$134,"",'1. All Data'!$R$3:$R$134,"Deferred")</f>
        <v>0</v>
      </c>
      <c r="R122" s="176" t="e">
        <f>Q122/Q124</f>
        <v>#DIV/0!</v>
      </c>
      <c r="S122" s="176" t="e">
        <f>R122</f>
        <v>#DIV/0!</v>
      </c>
      <c r="T122" s="177"/>
      <c r="U122" s="58"/>
      <c r="W122" s="175" t="s">
        <v>29</v>
      </c>
      <c r="X122" s="167">
        <f>COUNTIFS('1. All Data'!$AA$3:$AA$134,"",'1. All Data'!$V$3:$V$134,"Deferred")</f>
        <v>0</v>
      </c>
      <c r="Y122" s="288" t="e">
        <f t="shared" si="13"/>
        <v>#DIV/0!</v>
      </c>
      <c r="Z122" s="288" t="e">
        <f t="shared" ref="Z122:Z123" si="14">Y122</f>
        <v>#DIV/0!</v>
      </c>
      <c r="AA122" s="177"/>
      <c r="AB122" s="58"/>
    </row>
    <row r="123" spans="2:28" ht="15.6">
      <c r="B123" s="175" t="s">
        <v>30</v>
      </c>
      <c r="C123" s="167">
        <f>COUNTIFS('1. All Data'!$AA$3:$AA$134,"",'1. All Data'!$H$3:$H$134,"Deleted")</f>
        <v>0</v>
      </c>
      <c r="D123" s="176">
        <f>C123/C124</f>
        <v>0</v>
      </c>
      <c r="E123" s="176">
        <f>D123</f>
        <v>0</v>
      </c>
      <c r="F123" s="177"/>
      <c r="G123" s="3"/>
      <c r="I123" s="175" t="s">
        <v>30</v>
      </c>
      <c r="J123" s="167">
        <f>COUNTIFS('1. All Data'!$AA$3:$AA$134,"",'1. All Data'!$M$3:$M$134,"Deleted")</f>
        <v>0</v>
      </c>
      <c r="K123" s="176" t="e">
        <f>J123/J124</f>
        <v>#DIV/0!</v>
      </c>
      <c r="L123" s="176" t="e">
        <f>K123</f>
        <v>#DIV/0!</v>
      </c>
      <c r="M123" s="177"/>
      <c r="N123" s="3"/>
      <c r="P123" s="175" t="s">
        <v>30</v>
      </c>
      <c r="Q123" s="167">
        <f>COUNTIFS('1. All Data'!$AA$3:$AA$134,"",'1. All Data'!$R$3:$R$134,"Deleted")</f>
        <v>0</v>
      </c>
      <c r="R123" s="176" t="e">
        <f>Q123/Q124</f>
        <v>#DIV/0!</v>
      </c>
      <c r="S123" s="176" t="e">
        <f>R123</f>
        <v>#DIV/0!</v>
      </c>
      <c r="T123" s="177"/>
      <c r="U123" s="3"/>
      <c r="W123" s="175" t="s">
        <v>30</v>
      </c>
      <c r="X123" s="167">
        <f>COUNTIFS('1. All Data'!$AA$3:$AA$134,"",'1. All Data'!$V$3:$V$134,"Deleted")</f>
        <v>0</v>
      </c>
      <c r="Y123" s="288" t="e">
        <f t="shared" si="13"/>
        <v>#DIV/0!</v>
      </c>
      <c r="Z123" s="288" t="e">
        <f t="shared" si="14"/>
        <v>#DIV/0!</v>
      </c>
      <c r="AA123" s="177"/>
    </row>
    <row r="124" spans="2:28" ht="15.6">
      <c r="B124" s="193" t="s">
        <v>51</v>
      </c>
      <c r="C124" s="179">
        <f>SUM(C113:C123)</f>
        <v>94</v>
      </c>
      <c r="D124" s="177"/>
      <c r="E124" s="177"/>
      <c r="F124" s="58"/>
      <c r="G124" s="58"/>
      <c r="I124" s="193" t="s">
        <v>51</v>
      </c>
      <c r="J124" s="179">
        <f>SUM(J113:J123)</f>
        <v>0</v>
      </c>
      <c r="K124" s="177"/>
      <c r="L124" s="177"/>
      <c r="M124" s="58"/>
      <c r="N124" s="58"/>
      <c r="P124" s="193" t="s">
        <v>51</v>
      </c>
      <c r="Q124" s="179">
        <f>SUM(Q113:Q123)</f>
        <v>0</v>
      </c>
      <c r="R124" s="177"/>
      <c r="S124" s="177"/>
      <c r="T124" s="58"/>
      <c r="U124" s="58"/>
      <c r="W124" s="178" t="s">
        <v>51</v>
      </c>
      <c r="X124" s="179">
        <f>SUM(X113:X123)</f>
        <v>0</v>
      </c>
      <c r="Y124" s="177"/>
      <c r="Z124" s="177"/>
      <c r="AA124" s="58"/>
      <c r="AB124" s="58"/>
    </row>
    <row r="125" spans="2:28" ht="15.6">
      <c r="B125" s="193" t="s">
        <v>52</v>
      </c>
      <c r="C125" s="179">
        <f>C124-C123-C122-C121-C120</f>
        <v>66</v>
      </c>
      <c r="D125" s="58"/>
      <c r="E125" s="58"/>
      <c r="F125" s="58"/>
      <c r="G125" s="58"/>
      <c r="I125" s="193" t="s">
        <v>52</v>
      </c>
      <c r="J125" s="179">
        <f>J124-J123-J122-J121-J120</f>
        <v>0</v>
      </c>
      <c r="K125" s="58"/>
      <c r="L125" s="58"/>
      <c r="M125" s="58"/>
      <c r="N125" s="58"/>
      <c r="P125" s="193" t="s">
        <v>52</v>
      </c>
      <c r="Q125" s="179">
        <f>Q124-Q123-Q122-Q121-Q120</f>
        <v>0</v>
      </c>
      <c r="R125" s="58"/>
      <c r="S125" s="58"/>
      <c r="T125" s="58"/>
      <c r="U125" s="58"/>
      <c r="W125" s="178" t="s">
        <v>52</v>
      </c>
      <c r="X125" s="179">
        <f>X124-X123-X122-X121-X120</f>
        <v>0</v>
      </c>
      <c r="Y125" s="58"/>
      <c r="Z125" s="58"/>
      <c r="AA125" s="58"/>
      <c r="AB125" s="58"/>
    </row>
  </sheetData>
  <mergeCells count="254">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E77:E78"/>
    <mergeCell ref="G77:G78"/>
    <mergeCell ref="B79:B81"/>
    <mergeCell ref="C79:C81"/>
    <mergeCell ref="D79:D81"/>
    <mergeCell ref="E79:E81"/>
    <mergeCell ref="F79:F81"/>
    <mergeCell ref="G79:G81"/>
    <mergeCell ref="E82:E83"/>
    <mergeCell ref="G82:G83"/>
    <mergeCell ref="E95:E96"/>
    <mergeCell ref="G95:G96"/>
    <mergeCell ref="B97:B99"/>
    <mergeCell ref="C97:C99"/>
    <mergeCell ref="D97:D99"/>
    <mergeCell ref="E97:E99"/>
    <mergeCell ref="F97:F99"/>
    <mergeCell ref="G97:G99"/>
    <mergeCell ref="E100:E101"/>
    <mergeCell ref="G100:G101"/>
    <mergeCell ref="E113:E114"/>
    <mergeCell ref="G113:G114"/>
    <mergeCell ref="B115:B117"/>
    <mergeCell ref="C115:C117"/>
    <mergeCell ref="D115:D117"/>
    <mergeCell ref="E115:E117"/>
    <mergeCell ref="F115:F117"/>
    <mergeCell ref="G115:G117"/>
    <mergeCell ref="E118:E119"/>
    <mergeCell ref="G118:G119"/>
    <mergeCell ref="L77:L78"/>
    <mergeCell ref="N77:N78"/>
    <mergeCell ref="S77:S78"/>
    <mergeCell ref="U77:U78"/>
    <mergeCell ref="Z77:Z78"/>
    <mergeCell ref="AB77:AB78"/>
    <mergeCell ref="I79:I81"/>
    <mergeCell ref="J79:J81"/>
    <mergeCell ref="K79:K81"/>
    <mergeCell ref="L79:L81"/>
    <mergeCell ref="M79:M81"/>
    <mergeCell ref="N79:N81"/>
    <mergeCell ref="P79:P81"/>
    <mergeCell ref="Q79:Q81"/>
    <mergeCell ref="R79:R81"/>
    <mergeCell ref="S79:S81"/>
    <mergeCell ref="T79:T81"/>
    <mergeCell ref="U79:U81"/>
    <mergeCell ref="Z79:Z81"/>
    <mergeCell ref="AB79:AB81"/>
    <mergeCell ref="L82:L83"/>
    <mergeCell ref="N82:N83"/>
    <mergeCell ref="S82:S83"/>
    <mergeCell ref="U82:U83"/>
    <mergeCell ref="Z82:Z83"/>
    <mergeCell ref="AB82:AB83"/>
    <mergeCell ref="L95:L96"/>
    <mergeCell ref="N95:N96"/>
    <mergeCell ref="S95:S96"/>
    <mergeCell ref="U95:U96"/>
    <mergeCell ref="Z95:Z96"/>
    <mergeCell ref="AB95:AB96"/>
    <mergeCell ref="I97:I99"/>
    <mergeCell ref="J97:J99"/>
    <mergeCell ref="K97:K99"/>
    <mergeCell ref="L97:L99"/>
    <mergeCell ref="M97:M99"/>
    <mergeCell ref="N97:N99"/>
    <mergeCell ref="P97:P99"/>
    <mergeCell ref="Q97:Q99"/>
    <mergeCell ref="R97:R99"/>
    <mergeCell ref="S97:S99"/>
    <mergeCell ref="T97:T99"/>
    <mergeCell ref="U97:U99"/>
    <mergeCell ref="Z97:Z99"/>
    <mergeCell ref="AB97:AB99"/>
    <mergeCell ref="L100:L101"/>
    <mergeCell ref="N100:N101"/>
    <mergeCell ref="S100:S101"/>
    <mergeCell ref="U100:U101"/>
    <mergeCell ref="Z100:Z101"/>
    <mergeCell ref="AB100:AB101"/>
    <mergeCell ref="I115:I117"/>
    <mergeCell ref="J115:J117"/>
    <mergeCell ref="K115:K117"/>
    <mergeCell ref="L115:L117"/>
    <mergeCell ref="M115:M117"/>
    <mergeCell ref="N115:N117"/>
    <mergeCell ref="P115:P117"/>
    <mergeCell ref="Q115:Q117"/>
    <mergeCell ref="R115:R117"/>
    <mergeCell ref="L118:L119"/>
    <mergeCell ref="N118:N119"/>
    <mergeCell ref="S118:S119"/>
    <mergeCell ref="U118:U119"/>
    <mergeCell ref="Z118:Z119"/>
    <mergeCell ref="AB118:AB119"/>
    <mergeCell ref="L113:L114"/>
    <mergeCell ref="N113:N114"/>
    <mergeCell ref="S113:S114"/>
    <mergeCell ref="U113:U114"/>
    <mergeCell ref="Z113:Z114"/>
    <mergeCell ref="AB113:AB114"/>
    <mergeCell ref="S115:S117"/>
    <mergeCell ref="T115:T117"/>
    <mergeCell ref="U115:U117"/>
    <mergeCell ref="Z115:Z117"/>
    <mergeCell ref="AB115:AB117"/>
  </mergeCells>
  <pageMargins left="0.25" right="0.25" top="0.75" bottom="0.75" header="0.3" footer="0.3"/>
  <pageSetup paperSize="8" fitToHeight="0" orientation="portrait" verticalDpi="0" r:id="rId1"/>
  <rowBreaks count="2" manualBreakCount="2">
    <brk id="53" max="6" man="1"/>
    <brk id="108" max="6"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L88"/>
  <sheetViews>
    <sheetView workbookViewId="0">
      <selection activeCell="K20" sqref="K20"/>
    </sheetView>
  </sheetViews>
  <sheetFormatPr defaultColWidth="9.33203125" defaultRowHeight="14.4"/>
  <cols>
    <col min="1" max="1" width="3.44140625" style="8" customWidth="1"/>
    <col min="2" max="9" width="9.33203125" style="8"/>
    <col min="10" max="10" width="3.44140625" style="8" customWidth="1"/>
    <col min="11" max="11" width="9.33203125" style="9"/>
    <col min="12" max="18" width="9.33203125" style="8"/>
    <col min="19" max="19" width="3.44140625" style="8" customWidth="1"/>
    <col min="20" max="27" width="9.33203125" style="8" customWidth="1"/>
    <col min="28" max="28" width="3.44140625" style="8" customWidth="1"/>
    <col min="29" max="36" width="9.33203125" style="8" customWidth="1"/>
    <col min="37" max="37" width="3.44140625" style="8" customWidth="1"/>
    <col min="38" max="47" width="9.33203125" style="8" customWidth="1"/>
    <col min="48" max="50" width="0" style="8" hidden="1" customWidth="1"/>
    <col min="51" max="51" width="9.33203125" style="8"/>
    <col min="52" max="55" width="10" style="11" customWidth="1"/>
    <col min="56" max="16384" width="9.33203125" style="8"/>
  </cols>
  <sheetData>
    <row r="1" spans="2:64" s="6" customFormat="1" ht="35.4">
      <c r="B1" s="5" t="s">
        <v>53</v>
      </c>
      <c r="M1" s="389"/>
      <c r="N1" s="389"/>
      <c r="O1" s="389"/>
      <c r="P1" s="389"/>
      <c r="Q1" s="389"/>
      <c r="R1" s="389"/>
      <c r="S1" s="389"/>
      <c r="T1" s="389"/>
      <c r="U1" s="389"/>
      <c r="V1" s="389"/>
      <c r="W1" s="389"/>
      <c r="X1" s="389"/>
      <c r="Y1" s="389"/>
      <c r="Z1" s="389"/>
      <c r="AY1" s="389"/>
      <c r="AZ1" s="389"/>
      <c r="BA1" s="389"/>
      <c r="BB1" s="389"/>
      <c r="BC1" s="389"/>
      <c r="BD1" s="389"/>
      <c r="BE1" s="389"/>
      <c r="BF1" s="389"/>
      <c r="BG1" s="389"/>
      <c r="BH1" s="389"/>
      <c r="BI1" s="389"/>
      <c r="BJ1" s="389"/>
      <c r="BK1" s="389"/>
      <c r="BL1" s="389"/>
    </row>
    <row r="2" spans="2:64" s="6" customFormat="1" ht="35.4" hidden="1">
      <c r="B2" s="7"/>
      <c r="M2" s="389"/>
      <c r="N2" s="389"/>
      <c r="O2" s="389"/>
      <c r="P2" s="389"/>
      <c r="Q2" s="389"/>
      <c r="R2" s="389"/>
      <c r="S2" s="389"/>
      <c r="T2" s="389"/>
      <c r="U2" s="389"/>
      <c r="V2" s="389"/>
      <c r="W2" s="389"/>
      <c r="X2" s="389"/>
      <c r="Y2" s="389"/>
      <c r="Z2" s="389"/>
      <c r="AY2" s="389"/>
      <c r="AZ2" s="389"/>
      <c r="BA2" s="389"/>
      <c r="BB2" s="389"/>
      <c r="BC2" s="389"/>
      <c r="BD2" s="389"/>
      <c r="BE2" s="389"/>
      <c r="BF2" s="389"/>
      <c r="BG2" s="389"/>
      <c r="BH2" s="389"/>
      <c r="BI2" s="389"/>
      <c r="BJ2" s="389"/>
      <c r="BK2" s="389"/>
      <c r="BL2" s="389"/>
    </row>
    <row r="3" spans="2:64" s="6" customFormat="1" ht="35.4" hidden="1">
      <c r="M3" s="389"/>
      <c r="N3" s="389"/>
      <c r="O3" s="389"/>
      <c r="P3" s="389"/>
      <c r="Q3" s="389"/>
      <c r="R3" s="389"/>
      <c r="S3" s="389"/>
      <c r="T3" s="389"/>
      <c r="U3" s="389"/>
      <c r="V3" s="389"/>
      <c r="W3" s="389"/>
      <c r="X3" s="389"/>
      <c r="Y3" s="389"/>
      <c r="Z3" s="389"/>
      <c r="AY3" s="389"/>
      <c r="AZ3" s="389"/>
      <c r="BA3" s="389"/>
      <c r="BB3" s="389"/>
      <c r="BC3" s="389"/>
      <c r="BD3" s="389"/>
      <c r="BE3" s="389"/>
      <c r="BF3" s="389"/>
      <c r="BG3" s="389"/>
      <c r="BH3" s="389"/>
      <c r="BI3" s="389"/>
      <c r="BJ3" s="389"/>
      <c r="BK3" s="389"/>
      <c r="BL3" s="389"/>
    </row>
    <row r="4" spans="2:64">
      <c r="N4" s="10"/>
      <c r="W4" s="10"/>
      <c r="AF4" s="10"/>
      <c r="AO4" s="10"/>
    </row>
    <row r="5" spans="2:64">
      <c r="AY5" s="16" t="s">
        <v>54</v>
      </c>
      <c r="AZ5" s="17"/>
      <c r="BA5" s="17"/>
      <c r="BB5" s="17"/>
      <c r="BC5" s="17"/>
      <c r="BD5" s="9"/>
    </row>
    <row r="6" spans="2:64">
      <c r="AY6" s="18"/>
      <c r="AZ6" s="19" t="s">
        <v>13</v>
      </c>
      <c r="BA6" s="19" t="s">
        <v>14</v>
      </c>
      <c r="BB6" s="19" t="s">
        <v>15</v>
      </c>
      <c r="BC6" s="19" t="s">
        <v>12</v>
      </c>
      <c r="BD6" s="9"/>
    </row>
    <row r="7" spans="2:64">
      <c r="AY7" s="20" t="s">
        <v>55</v>
      </c>
      <c r="AZ7" s="21">
        <f>'2a. % By Priority'!G5</f>
        <v>0.93181818181818188</v>
      </c>
      <c r="BA7" s="21" t="e">
        <f>'2a. % By Priority'!N5</f>
        <v>#DIV/0!</v>
      </c>
      <c r="BB7" s="21" t="e">
        <f>'2a. % By Priority'!U5</f>
        <v>#DIV/0!</v>
      </c>
      <c r="BC7" s="21" t="e">
        <f>'2a. % By Priority'!AB5</f>
        <v>#DIV/0!</v>
      </c>
      <c r="BD7" s="9"/>
    </row>
    <row r="8" spans="2:64">
      <c r="L8" s="13"/>
      <c r="M8" s="13"/>
      <c r="AY8" s="20" t="s">
        <v>56</v>
      </c>
      <c r="AZ8" s="21">
        <f>'2a. % By Priority'!G7</f>
        <v>6.8181818181818177E-2</v>
      </c>
      <c r="BA8" s="21" t="e">
        <f>'2a. % By Priority'!N7</f>
        <v>#DIV/0!</v>
      </c>
      <c r="BB8" s="21" t="e">
        <f>'2a. % By Priority'!U7</f>
        <v>#DIV/0!</v>
      </c>
      <c r="BC8" s="21" t="e">
        <f>'2a. % By Priority'!AB7</f>
        <v>#DIV/0!</v>
      </c>
      <c r="BD8" s="9"/>
    </row>
    <row r="9" spans="2:64">
      <c r="L9" s="13"/>
      <c r="M9" s="13"/>
      <c r="AY9" s="20" t="s">
        <v>57</v>
      </c>
      <c r="AZ9" s="21">
        <f>'2a. % By Priority'!G10</f>
        <v>0</v>
      </c>
      <c r="BA9" s="21" t="e">
        <f>'2a. % By Priority'!N10</f>
        <v>#DIV/0!</v>
      </c>
      <c r="BB9" s="21" t="e">
        <f>'2a. % By Priority'!U10</f>
        <v>#DIV/0!</v>
      </c>
      <c r="BC9" s="21" t="e">
        <f>'2a. % By Priority'!AB10</f>
        <v>#DIV/0!</v>
      </c>
      <c r="BD9" s="9"/>
    </row>
    <row r="10" spans="2:64">
      <c r="L10" s="13"/>
      <c r="M10" s="13"/>
      <c r="AY10" s="18"/>
      <c r="AZ10" s="22"/>
      <c r="BA10" s="22"/>
      <c r="BB10" s="22"/>
      <c r="BC10" s="22"/>
      <c r="BD10" s="9"/>
    </row>
    <row r="11" spans="2:64">
      <c r="AY11" s="23"/>
      <c r="AZ11" s="24"/>
      <c r="BA11" s="24"/>
      <c r="BB11" s="25"/>
      <c r="BC11" s="25"/>
      <c r="BD11" s="9"/>
    </row>
    <row r="12" spans="2:64">
      <c r="AY12" s="23"/>
      <c r="AZ12" s="24"/>
      <c r="BA12" s="24"/>
      <c r="BB12" s="25"/>
      <c r="BC12" s="25"/>
      <c r="BD12" s="9"/>
    </row>
    <row r="13" spans="2:64">
      <c r="AY13" s="23"/>
      <c r="AZ13" s="24"/>
      <c r="BA13" s="24"/>
      <c r="BB13" s="25"/>
      <c r="BC13" s="25"/>
      <c r="BD13" s="9"/>
    </row>
    <row r="14" spans="2:64">
      <c r="AY14" s="26"/>
      <c r="AZ14" s="17"/>
      <c r="BA14" s="17"/>
      <c r="BB14" s="17"/>
      <c r="BC14" s="17"/>
      <c r="BD14" s="9"/>
    </row>
    <row r="15" spans="2:64">
      <c r="AY15" s="26"/>
      <c r="AZ15" s="17"/>
      <c r="BA15" s="17"/>
      <c r="BB15" s="17"/>
      <c r="BC15" s="17"/>
      <c r="BD15" s="9"/>
    </row>
    <row r="16" spans="2:64">
      <c r="AY16" s="26"/>
      <c r="AZ16" s="17"/>
      <c r="BA16" s="17"/>
      <c r="BB16" s="17"/>
      <c r="BC16" s="17"/>
      <c r="BD16" s="9"/>
    </row>
    <row r="17" spans="12:56">
      <c r="AY17" s="26"/>
      <c r="AZ17" s="17"/>
      <c r="BA17" s="17"/>
      <c r="BB17" s="17"/>
      <c r="BC17" s="17"/>
      <c r="BD17" s="9"/>
    </row>
    <row r="18" spans="12:56">
      <c r="AY18" s="26"/>
      <c r="AZ18" s="17"/>
      <c r="BA18" s="17"/>
      <c r="BB18" s="17"/>
      <c r="BC18" s="17"/>
      <c r="BD18" s="9"/>
    </row>
    <row r="19" spans="12:56">
      <c r="AY19" s="26"/>
      <c r="AZ19" s="17"/>
      <c r="BA19" s="17"/>
      <c r="BB19" s="17"/>
      <c r="BC19" s="17"/>
      <c r="BD19" s="9"/>
    </row>
    <row r="20" spans="12:56">
      <c r="N20" s="10"/>
      <c r="W20" s="10"/>
      <c r="AF20" s="10"/>
      <c r="AO20" s="10"/>
      <c r="AY20" s="26"/>
      <c r="AZ20" s="17"/>
      <c r="BA20" s="17"/>
      <c r="BB20" s="17"/>
      <c r="BC20" s="17"/>
      <c r="BD20" s="9"/>
    </row>
    <row r="21" spans="12:56">
      <c r="AY21" s="16" t="s">
        <v>431</v>
      </c>
      <c r="AZ21" s="17"/>
      <c r="BA21" s="17"/>
      <c r="BB21" s="17"/>
      <c r="BC21" s="17"/>
      <c r="BD21" s="9"/>
    </row>
    <row r="22" spans="12:56">
      <c r="AY22" s="18"/>
      <c r="AZ22" s="19" t="s">
        <v>13</v>
      </c>
      <c r="BA22" s="19" t="s">
        <v>14</v>
      </c>
      <c r="BB22" s="19" t="s">
        <v>15</v>
      </c>
      <c r="BC22" s="19" t="s">
        <v>12</v>
      </c>
      <c r="BD22" s="9"/>
    </row>
    <row r="23" spans="12:56">
      <c r="AY23" s="20" t="s">
        <v>55</v>
      </c>
      <c r="AZ23" s="21">
        <f>'2a. % By Priority'!G23</f>
        <v>1</v>
      </c>
      <c r="BA23" s="21" t="e">
        <f>'2a. % By Priority'!N23</f>
        <v>#DIV/0!</v>
      </c>
      <c r="BB23" s="21" t="e">
        <f>'2a. % By Priority'!U23</f>
        <v>#DIV/0!</v>
      </c>
      <c r="BC23" s="21" t="e">
        <f>'2a. % By Priority'!AB23</f>
        <v>#DIV/0!</v>
      </c>
      <c r="BD23" s="9"/>
    </row>
    <row r="24" spans="12:56">
      <c r="L24" s="13"/>
      <c r="M24" s="13"/>
      <c r="AY24" s="20" t="s">
        <v>56</v>
      </c>
      <c r="AZ24" s="21">
        <f>'2a. % By Priority'!G25</f>
        <v>0</v>
      </c>
      <c r="BA24" s="21" t="e">
        <f>'2a. % By Priority'!N25</f>
        <v>#DIV/0!</v>
      </c>
      <c r="BB24" s="21" t="e">
        <f>'2a. % By Priority'!U25</f>
        <v>#DIV/0!</v>
      </c>
      <c r="BC24" s="21" t="e">
        <f>'2a. % By Priority'!AB25</f>
        <v>#DIV/0!</v>
      </c>
      <c r="BD24" s="9"/>
    </row>
    <row r="25" spans="12:56">
      <c r="L25" s="13"/>
      <c r="M25" s="13"/>
      <c r="AY25" s="20" t="s">
        <v>57</v>
      </c>
      <c r="AZ25" s="21">
        <f>'2a. % By Priority'!G28</f>
        <v>0</v>
      </c>
      <c r="BA25" s="21" t="e">
        <f>'2a. % By Priority'!N28</f>
        <v>#DIV/0!</v>
      </c>
      <c r="BB25" s="21" t="e">
        <f>'2a. % By Priority'!U28</f>
        <v>#DIV/0!</v>
      </c>
      <c r="BC25" s="21" t="e">
        <f>'2a. % By Priority'!AB28</f>
        <v>#DIV/0!</v>
      </c>
      <c r="BD25" s="9"/>
    </row>
    <row r="26" spans="12:56">
      <c r="L26" s="13"/>
      <c r="M26" s="13"/>
      <c r="AY26" s="26"/>
      <c r="AZ26" s="17"/>
      <c r="BA26" s="17"/>
      <c r="BB26" s="17"/>
      <c r="BC26" s="17"/>
      <c r="BD26" s="9"/>
    </row>
    <row r="27" spans="12:56">
      <c r="AY27" s="23"/>
      <c r="AZ27" s="17"/>
      <c r="BA27" s="17"/>
      <c r="BB27" s="17"/>
      <c r="BC27" s="17"/>
      <c r="BD27" s="9"/>
    </row>
    <row r="28" spans="12:56">
      <c r="AY28" s="23"/>
      <c r="AZ28" s="17"/>
      <c r="BA28" s="17"/>
      <c r="BB28" s="17"/>
      <c r="BC28" s="17"/>
      <c r="BD28" s="9"/>
    </row>
    <row r="29" spans="12:56">
      <c r="AY29" s="23"/>
      <c r="AZ29" s="17"/>
      <c r="BA29" s="17"/>
      <c r="BB29" s="17"/>
      <c r="BC29" s="17"/>
      <c r="BD29" s="9"/>
    </row>
    <row r="30" spans="12:56">
      <c r="AY30" s="26"/>
      <c r="AZ30" s="17"/>
      <c r="BA30" s="17"/>
      <c r="BB30" s="17"/>
      <c r="BC30" s="17"/>
      <c r="BD30" s="9"/>
    </row>
    <row r="31" spans="12:56">
      <c r="AY31" s="26"/>
      <c r="AZ31" s="17"/>
      <c r="BA31" s="17"/>
      <c r="BB31" s="17"/>
      <c r="BC31" s="17"/>
      <c r="BD31" s="9"/>
    </row>
    <row r="32" spans="12:56">
      <c r="AY32" s="26"/>
      <c r="AZ32" s="17"/>
      <c r="BA32" s="17"/>
      <c r="BB32" s="17"/>
      <c r="BC32" s="17"/>
      <c r="BD32" s="9"/>
    </row>
    <row r="33" spans="11:56">
      <c r="AY33" s="26"/>
      <c r="AZ33" s="17"/>
      <c r="BA33" s="17"/>
      <c r="BB33" s="17"/>
      <c r="BC33" s="17"/>
      <c r="BD33" s="9"/>
    </row>
    <row r="34" spans="11:56">
      <c r="AY34" s="26"/>
      <c r="AZ34" s="17"/>
      <c r="BA34" s="17"/>
      <c r="BB34" s="17"/>
      <c r="BC34" s="17"/>
      <c r="BD34" s="9"/>
    </row>
    <row r="35" spans="11:56">
      <c r="AY35" s="26"/>
      <c r="AZ35" s="17"/>
      <c r="BA35" s="17"/>
      <c r="BB35" s="17"/>
      <c r="BC35" s="17"/>
      <c r="BD35" s="9"/>
    </row>
    <row r="36" spans="11:56">
      <c r="N36" s="10"/>
      <c r="W36" s="10"/>
      <c r="AF36" s="10"/>
      <c r="AO36" s="10"/>
      <c r="AY36" s="26"/>
      <c r="AZ36" s="17"/>
      <c r="BA36" s="17"/>
      <c r="BB36" s="17"/>
      <c r="BC36" s="17"/>
      <c r="BD36" s="9"/>
    </row>
    <row r="37" spans="11:56">
      <c r="AY37" s="16" t="s">
        <v>422</v>
      </c>
      <c r="AZ37" s="27"/>
      <c r="BA37" s="27"/>
      <c r="BB37" s="27"/>
      <c r="BC37" s="27"/>
      <c r="BD37" s="15"/>
    </row>
    <row r="38" spans="11:56">
      <c r="AY38" s="28"/>
      <c r="AZ38" s="19" t="s">
        <v>13</v>
      </c>
      <c r="BA38" s="19" t="s">
        <v>14</v>
      </c>
      <c r="BB38" s="19" t="s">
        <v>15</v>
      </c>
      <c r="BC38" s="19" t="s">
        <v>12</v>
      </c>
      <c r="BD38" s="15"/>
    </row>
    <row r="39" spans="11:56">
      <c r="AY39" s="20" t="s">
        <v>55</v>
      </c>
      <c r="AZ39" s="21">
        <f>'2a. % By Priority'!G41</f>
        <v>1</v>
      </c>
      <c r="BA39" s="21" t="e">
        <f>'2a. % By Priority'!N41</f>
        <v>#DIV/0!</v>
      </c>
      <c r="BB39" s="21" t="e">
        <f>'2a. % By Priority'!U41</f>
        <v>#DIV/0!</v>
      </c>
      <c r="BC39" s="21" t="e">
        <f>'2a. % By Priority'!AB41</f>
        <v>#DIV/0!</v>
      </c>
      <c r="BD39" s="15"/>
    </row>
    <row r="40" spans="11:56">
      <c r="K40" s="13"/>
      <c r="L40" s="13"/>
      <c r="AY40" s="20" t="s">
        <v>56</v>
      </c>
      <c r="AZ40" s="21">
        <f>'2a. % By Priority'!G43</f>
        <v>0</v>
      </c>
      <c r="BA40" s="21" t="e">
        <f>'2a. % By Priority'!N43</f>
        <v>#DIV/0!</v>
      </c>
      <c r="BB40" s="21" t="e">
        <f>'2a. % By Priority'!U43</f>
        <v>#DIV/0!</v>
      </c>
      <c r="BC40" s="21" t="e">
        <f>'2a. % By Priority'!AB43</f>
        <v>#DIV/0!</v>
      </c>
      <c r="BD40" s="15"/>
    </row>
    <row r="41" spans="11:56">
      <c r="K41" s="13"/>
      <c r="L41" s="13"/>
      <c r="AY41" s="20" t="s">
        <v>57</v>
      </c>
      <c r="AZ41" s="21">
        <f>'2a. % By Priority'!G46</f>
        <v>0</v>
      </c>
      <c r="BA41" s="21" t="e">
        <f>'2a. % By Priority'!N46</f>
        <v>#DIV/0!</v>
      </c>
      <c r="BB41" s="21" t="e">
        <f>'2a. % By Priority'!U46</f>
        <v>#DIV/0!</v>
      </c>
      <c r="BC41" s="21" t="e">
        <f>'2a. % By Priority'!AB46</f>
        <v>#DIV/0!</v>
      </c>
      <c r="BD41" s="15"/>
    </row>
    <row r="42" spans="11:56">
      <c r="K42" s="13"/>
      <c r="L42" s="13"/>
      <c r="AY42" s="26"/>
      <c r="AZ42" s="17"/>
      <c r="BA42" s="17"/>
      <c r="BB42" s="17"/>
      <c r="BC42" s="17"/>
      <c r="BD42" s="9"/>
    </row>
    <row r="43" spans="11:56">
      <c r="AY43" s="23"/>
      <c r="AZ43" s="17"/>
      <c r="BA43" s="17"/>
      <c r="BB43" s="17"/>
      <c r="BC43" s="17"/>
      <c r="BD43" s="9"/>
    </row>
    <row r="44" spans="11:56">
      <c r="AY44" s="23"/>
      <c r="AZ44" s="17"/>
      <c r="BA44" s="17"/>
      <c r="BB44" s="17"/>
      <c r="BC44" s="17"/>
      <c r="BD44" s="9"/>
    </row>
    <row r="45" spans="11:56">
      <c r="AY45" s="23"/>
      <c r="AZ45" s="17"/>
      <c r="BA45" s="17"/>
      <c r="BB45" s="17"/>
      <c r="BC45" s="17"/>
      <c r="BD45" s="9"/>
    </row>
    <row r="46" spans="11:56">
      <c r="AY46" s="26"/>
      <c r="AZ46" s="17"/>
      <c r="BA46" s="17"/>
      <c r="BB46" s="17"/>
      <c r="BC46" s="17"/>
      <c r="BD46" s="9"/>
    </row>
    <row r="47" spans="11:56">
      <c r="AY47" s="26"/>
      <c r="AZ47" s="17"/>
      <c r="BA47" s="17"/>
      <c r="BB47" s="17"/>
      <c r="BC47" s="17"/>
      <c r="BD47" s="9"/>
    </row>
    <row r="48" spans="11:56">
      <c r="AY48" s="26"/>
      <c r="AZ48" s="17"/>
      <c r="BA48" s="17"/>
      <c r="BB48" s="17"/>
      <c r="BC48" s="17"/>
      <c r="BD48" s="9"/>
    </row>
    <row r="49" spans="12:56">
      <c r="AY49" s="26"/>
      <c r="AZ49" s="17"/>
      <c r="BA49" s="17"/>
      <c r="BB49" s="17"/>
      <c r="BC49" s="17"/>
      <c r="BD49" s="9"/>
    </row>
    <row r="50" spans="12:56">
      <c r="AY50" s="26"/>
      <c r="AZ50" s="17"/>
      <c r="BA50" s="17"/>
      <c r="BB50" s="17"/>
      <c r="BC50" s="17"/>
      <c r="BD50" s="9"/>
    </row>
    <row r="51" spans="12:56">
      <c r="AY51" s="26"/>
      <c r="AZ51" s="17"/>
      <c r="BA51" s="17"/>
      <c r="BB51" s="17"/>
      <c r="BC51" s="17"/>
      <c r="BD51" s="9"/>
    </row>
    <row r="52" spans="12:56">
      <c r="N52" s="10"/>
      <c r="W52" s="10"/>
      <c r="AF52" s="10"/>
      <c r="AP52" s="10"/>
      <c r="AY52" s="26"/>
      <c r="AZ52" s="17"/>
      <c r="BA52" s="17"/>
      <c r="BB52" s="17"/>
      <c r="BC52" s="17"/>
      <c r="BD52" s="9"/>
    </row>
    <row r="53" spans="12:56">
      <c r="AY53" s="16" t="s">
        <v>443</v>
      </c>
      <c r="AZ53" s="27"/>
      <c r="BA53" s="27"/>
      <c r="BB53" s="27"/>
      <c r="BC53" s="27"/>
      <c r="BD53" s="9"/>
    </row>
    <row r="54" spans="12:56">
      <c r="AY54" s="28"/>
      <c r="AZ54" s="19" t="s">
        <v>13</v>
      </c>
      <c r="BA54" s="19" t="s">
        <v>14</v>
      </c>
      <c r="BB54" s="19" t="s">
        <v>15</v>
      </c>
      <c r="BC54" s="19" t="s">
        <v>12</v>
      </c>
      <c r="BD54" s="9"/>
    </row>
    <row r="55" spans="12:56">
      <c r="AY55" s="20" t="s">
        <v>55</v>
      </c>
      <c r="AZ55" s="21">
        <f>'2a. % By Priority'!G59</f>
        <v>0.8571428571428571</v>
      </c>
      <c r="BA55" s="21" t="e">
        <f>'2a. % By Priority'!N59</f>
        <v>#DIV/0!</v>
      </c>
      <c r="BB55" s="21" t="e">
        <f>'2a. % By Priority'!U59</f>
        <v>#DIV/0!</v>
      </c>
      <c r="BC55" s="21" t="e">
        <f>'2a. % By Priority'!AB59</f>
        <v>#DIV/0!</v>
      </c>
      <c r="BD55" s="9"/>
    </row>
    <row r="56" spans="12:56">
      <c r="L56" s="13"/>
      <c r="M56" s="13"/>
      <c r="AY56" s="20" t="s">
        <v>56</v>
      </c>
      <c r="AZ56" s="21">
        <f>'2a. % By Priority'!G61</f>
        <v>0.14285714285714285</v>
      </c>
      <c r="BA56" s="21" t="e">
        <f>'2a. % By Priority'!N61</f>
        <v>#DIV/0!</v>
      </c>
      <c r="BB56" s="21" t="e">
        <f>'2a. % By Priority'!U61</f>
        <v>#DIV/0!</v>
      </c>
      <c r="BC56" s="21" t="e">
        <f>'2a. % By Priority'!AB61</f>
        <v>#DIV/0!</v>
      </c>
      <c r="BD56" s="9"/>
    </row>
    <row r="57" spans="12:56">
      <c r="L57" s="13"/>
      <c r="M57" s="13"/>
      <c r="AY57" s="20" t="s">
        <v>57</v>
      </c>
      <c r="AZ57" s="21">
        <f>'2a. % By Priority'!G64</f>
        <v>0</v>
      </c>
      <c r="BA57" s="21" t="e">
        <f>'2a. % By Priority'!N64</f>
        <v>#DIV/0!</v>
      </c>
      <c r="BB57" s="21" t="e">
        <f>'2a. % By Priority'!U64</f>
        <v>#DIV/0!</v>
      </c>
      <c r="BC57" s="21" t="e">
        <f>'2a. % By Priority'!AB64</f>
        <v>#DIV/0!</v>
      </c>
      <c r="BD57" s="9"/>
    </row>
    <row r="58" spans="12:56">
      <c r="L58" s="13"/>
      <c r="M58" s="13"/>
      <c r="AY58" s="9"/>
      <c r="AZ58" s="12"/>
      <c r="BA58" s="12"/>
      <c r="BB58" s="12"/>
      <c r="BC58" s="12"/>
      <c r="BD58" s="9"/>
    </row>
    <row r="59" spans="12:56">
      <c r="AY59" s="14"/>
      <c r="AZ59" s="12"/>
      <c r="BA59" s="12"/>
      <c r="BB59" s="12"/>
      <c r="BC59" s="12"/>
      <c r="BD59" s="9"/>
    </row>
    <row r="60" spans="12:56">
      <c r="AY60" s="14"/>
      <c r="AZ60" s="12"/>
      <c r="BA60" s="12"/>
      <c r="BB60" s="12"/>
      <c r="BC60" s="12"/>
      <c r="BD60" s="9"/>
    </row>
    <row r="61" spans="12:56">
      <c r="AY61" s="14"/>
      <c r="AZ61" s="12"/>
      <c r="BA61" s="12"/>
      <c r="BB61" s="12"/>
      <c r="BC61" s="12"/>
      <c r="BD61" s="9"/>
    </row>
    <row r="62" spans="12:56">
      <c r="AY62" s="9"/>
      <c r="AZ62" s="12"/>
      <c r="BA62" s="12"/>
      <c r="BB62" s="12"/>
      <c r="BC62" s="12"/>
      <c r="BD62" s="9"/>
    </row>
    <row r="63" spans="12:56">
      <c r="AY63" s="9"/>
      <c r="AZ63" s="12"/>
      <c r="BA63" s="12"/>
      <c r="BB63" s="12"/>
      <c r="BC63" s="12"/>
      <c r="BD63" s="9"/>
    </row>
    <row r="64" spans="12:56">
      <c r="AY64" s="9"/>
      <c r="AZ64" s="12"/>
      <c r="BA64" s="12"/>
      <c r="BB64" s="12"/>
      <c r="BC64" s="12"/>
      <c r="BD64" s="9"/>
    </row>
    <row r="65" spans="51:56">
      <c r="AY65" s="9"/>
      <c r="AZ65" s="12"/>
      <c r="BA65" s="12"/>
      <c r="BB65" s="12"/>
      <c r="BC65" s="12"/>
      <c r="BD65" s="9"/>
    </row>
    <row r="66" spans="51:56">
      <c r="AY66" s="9"/>
      <c r="AZ66" s="12"/>
      <c r="BA66" s="12"/>
      <c r="BB66" s="12"/>
      <c r="BC66" s="12"/>
      <c r="BD66" s="9"/>
    </row>
    <row r="69" spans="51:56">
      <c r="AY69" s="16" t="s">
        <v>424</v>
      </c>
      <c r="AZ69" s="27"/>
      <c r="BA69" s="27"/>
      <c r="BB69" s="27"/>
      <c r="BC69" s="27"/>
    </row>
    <row r="70" spans="51:56">
      <c r="AY70" s="28"/>
      <c r="AZ70" s="19" t="s">
        <v>13</v>
      </c>
      <c r="BA70" s="19" t="s">
        <v>14</v>
      </c>
      <c r="BB70" s="19" t="s">
        <v>15</v>
      </c>
      <c r="BC70" s="19" t="s">
        <v>12</v>
      </c>
    </row>
    <row r="71" spans="51:56">
      <c r="AY71" s="20" t="s">
        <v>55</v>
      </c>
      <c r="AZ71" s="21">
        <f>'2a. % By Priority'!G77</f>
        <v>1</v>
      </c>
      <c r="BA71" s="21" t="e">
        <f>'2a. % By Priority'!N77</f>
        <v>#DIV/0!</v>
      </c>
      <c r="BB71" s="21" t="e">
        <f>'2a. % By Priority'!U77</f>
        <v>#DIV/0!</v>
      </c>
      <c r="BC71" s="21" t="e">
        <f>'2a. % By Priority'!AB77</f>
        <v>#DIV/0!</v>
      </c>
    </row>
    <row r="72" spans="51:56">
      <c r="AY72" s="20" t="s">
        <v>56</v>
      </c>
      <c r="AZ72" s="21">
        <f>'2a. % By Priority'!G79</f>
        <v>0</v>
      </c>
      <c r="BA72" s="21" t="e">
        <f>'2a. % By Priority'!N79</f>
        <v>#DIV/0!</v>
      </c>
      <c r="BB72" s="21" t="e">
        <f>'2a. % By Priority'!U79</f>
        <v>#DIV/0!</v>
      </c>
      <c r="BC72" s="21" t="e">
        <f>'2a. % By Priority'!AB79</f>
        <v>#DIV/0!</v>
      </c>
    </row>
    <row r="73" spans="51:56">
      <c r="AY73" s="20" t="s">
        <v>57</v>
      </c>
      <c r="AZ73" s="21">
        <f>'2a. % By Priority'!G82</f>
        <v>0</v>
      </c>
      <c r="BA73" s="21" t="e">
        <f>'2a. % By Priority'!N82</f>
        <v>#DIV/0!</v>
      </c>
      <c r="BB73" s="21" t="e">
        <f>'2a. % By Priority'!U82</f>
        <v>#DIV/0!</v>
      </c>
      <c r="BC73" s="21" t="e">
        <f>'2a. % By Priority'!AB82</f>
        <v>#DIV/0!</v>
      </c>
    </row>
    <row r="84" spans="51:55">
      <c r="AY84" s="16" t="s">
        <v>425</v>
      </c>
    </row>
    <row r="85" spans="51:55">
      <c r="AY85" s="28"/>
      <c r="AZ85" s="19" t="s">
        <v>13</v>
      </c>
      <c r="BA85" s="19" t="s">
        <v>14</v>
      </c>
      <c r="BB85" s="19" t="s">
        <v>15</v>
      </c>
      <c r="BC85" s="19" t="s">
        <v>12</v>
      </c>
    </row>
    <row r="86" spans="51:55">
      <c r="AY86" s="20" t="s">
        <v>55</v>
      </c>
      <c r="AZ86" s="21">
        <f>'2a. % By Priority'!G95</f>
        <v>1</v>
      </c>
      <c r="BA86" s="21" t="e">
        <f>'2a. % By Priority'!N95</f>
        <v>#DIV/0!</v>
      </c>
      <c r="BB86" s="21" t="e">
        <f>'2a. % By Priority'!U95</f>
        <v>#DIV/0!</v>
      </c>
      <c r="BC86" s="21" t="e">
        <f>'2a. % By Priority'!AB95</f>
        <v>#DIV/0!</v>
      </c>
    </row>
    <row r="87" spans="51:55">
      <c r="AY87" s="20" t="s">
        <v>56</v>
      </c>
      <c r="AZ87" s="21">
        <f>'2a. % By Priority'!G97</f>
        <v>0</v>
      </c>
      <c r="BA87" s="21" t="e">
        <f>'2a. % By Priority'!N97</f>
        <v>#DIV/0!</v>
      </c>
      <c r="BB87" s="21" t="e">
        <f>'2a. % By Priority'!U97</f>
        <v>#DIV/0!</v>
      </c>
      <c r="BC87" s="21" t="e">
        <f>'2a. % By Priority'!AB97</f>
        <v>#DIV/0!</v>
      </c>
    </row>
    <row r="88" spans="51:55">
      <c r="AY88" s="20" t="s">
        <v>57</v>
      </c>
      <c r="AZ88" s="21">
        <f>'2a. % By Priority'!G100</f>
        <v>0</v>
      </c>
      <c r="BA88" s="21" t="e">
        <f>'2a. % By Priority'!N100</f>
        <v>#DIV/0!</v>
      </c>
      <c r="BB88" s="21" t="e">
        <f>'2a. % By Priority'!U100</f>
        <v>#DIV/0!</v>
      </c>
      <c r="BC88" s="21" t="e">
        <f>'2a. % By Priority'!AB100</f>
        <v>#DIV/0!</v>
      </c>
    </row>
  </sheetData>
  <sheetProtection algorithmName="SHA-512" hashValue="NBuUEVDodZh+D043q5MqOADUzi0CxqTnZJkcPdThaLiEQt4tbNM0ELD6dQJ4BKyvRqVesGv8hgH5FLg3DlKUXw==" saltValue="1rqq2Q+URqaHjNmRsPQ86A==" spinCount="100000" sheet="1" objects="1" scenarios="1"/>
  <mergeCells count="2">
    <mergeCell ref="M1:Z3"/>
    <mergeCell ref="AY1:BL3"/>
  </mergeCells>
  <pageMargins left="0.25" right="0.25" top="0.75" bottom="0.75" header="0.3" footer="0.3"/>
  <pageSetup paperSize="8" scale="51" orientation="landscape" verticalDpi="0" r:id="rId1"/>
  <colBreaks count="1" manualBreakCount="1">
    <brk id="45"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B39" zoomScale="70" zoomScaleNormal="70" workbookViewId="0">
      <selection activeCell="C61" sqref="C61"/>
    </sheetView>
  </sheetViews>
  <sheetFormatPr defaultColWidth="9.33203125" defaultRowHeight="13.8"/>
  <cols>
    <col min="1" max="1" width="3.44140625" style="157" hidden="1" customWidth="1"/>
    <col min="2" max="2" width="52.33203125" style="157" bestFit="1" customWidth="1"/>
    <col min="3" max="3" width="12.33203125" style="154" bestFit="1" customWidth="1"/>
    <col min="4" max="4" width="11.6640625" style="154" bestFit="1" customWidth="1"/>
    <col min="5" max="5" width="15" style="154" bestFit="1" customWidth="1"/>
    <col min="6" max="6" width="11.6640625" style="157" bestFit="1" customWidth="1"/>
    <col min="7" max="7" width="16.6640625" style="154" bestFit="1" customWidth="1"/>
    <col min="8" max="8" width="4.5546875" style="157" customWidth="1"/>
    <col min="9" max="9" width="51.33203125" style="157" hidden="1" customWidth="1"/>
    <col min="10" max="10" width="12.33203125" style="154" hidden="1" customWidth="1"/>
    <col min="11" max="11" width="11.6640625" style="154" hidden="1" customWidth="1"/>
    <col min="12" max="12" width="15" style="154" hidden="1" customWidth="1"/>
    <col min="13" max="13" width="11.6640625" style="157" hidden="1" customWidth="1"/>
    <col min="14" max="14" width="16.6640625" style="154" hidden="1" customWidth="1"/>
    <col min="15" max="15" width="4.5546875" style="157" hidden="1" customWidth="1"/>
    <col min="16" max="16" width="52.5546875" style="157" hidden="1" customWidth="1"/>
    <col min="17" max="17" width="12.33203125" style="154" hidden="1" customWidth="1"/>
    <col min="18" max="18" width="11.6640625" style="154" hidden="1" customWidth="1"/>
    <col min="19" max="19" width="15" style="154" hidden="1" customWidth="1"/>
    <col min="20" max="20" width="11.6640625" style="157" hidden="1" customWidth="1"/>
    <col min="21" max="21" width="16.6640625" style="154" hidden="1" customWidth="1"/>
    <col min="22" max="22" width="4.5546875" style="157" hidden="1" customWidth="1"/>
    <col min="23" max="23" width="51.6640625" style="154" hidden="1" customWidth="1"/>
    <col min="24" max="24" width="12.33203125" style="154" hidden="1" customWidth="1"/>
    <col min="25" max="25" width="20.44140625" style="154" hidden="1" customWidth="1"/>
    <col min="26" max="26" width="15" style="154" hidden="1" customWidth="1"/>
    <col min="27" max="27" width="11.6640625" style="154" hidden="1" customWidth="1"/>
    <col min="28" max="28" width="16.6640625" style="181" hidden="1" customWidth="1"/>
    <col min="29" max="29" width="9.33203125" style="157" customWidth="1"/>
    <col min="30" max="16384" width="9.33203125" style="157"/>
  </cols>
  <sheetData>
    <row r="1" spans="2:30" s="151" customFormat="1" ht="21">
      <c r="B1" s="196" t="s">
        <v>445</v>
      </c>
      <c r="C1" s="197"/>
      <c r="D1" s="198"/>
      <c r="E1" s="198"/>
      <c r="F1" s="199"/>
      <c r="G1" s="198"/>
      <c r="I1" s="196" t="s">
        <v>437</v>
      </c>
      <c r="J1" s="197"/>
      <c r="K1" s="198"/>
      <c r="L1" s="198"/>
      <c r="M1" s="199"/>
      <c r="N1" s="198"/>
      <c r="P1" s="196" t="s">
        <v>438</v>
      </c>
      <c r="Q1" s="197"/>
      <c r="R1" s="198"/>
      <c r="S1" s="198"/>
      <c r="T1" s="199"/>
      <c r="U1" s="198"/>
      <c r="W1" s="200" t="s">
        <v>439</v>
      </c>
      <c r="X1" s="201"/>
      <c r="Y1" s="201"/>
      <c r="Z1" s="201"/>
      <c r="AA1" s="201"/>
      <c r="AB1" s="202"/>
    </row>
    <row r="2" spans="2:30" ht="15.6">
      <c r="B2" s="152"/>
      <c r="C2" s="153"/>
      <c r="D2" s="153"/>
      <c r="E2" s="153"/>
      <c r="F2" s="152"/>
      <c r="G2" s="153"/>
      <c r="I2" s="152"/>
      <c r="J2" s="153"/>
      <c r="K2" s="153"/>
      <c r="L2" s="153"/>
      <c r="M2" s="152"/>
      <c r="N2" s="153"/>
      <c r="P2" s="152"/>
      <c r="Q2" s="153"/>
      <c r="R2" s="153"/>
      <c r="S2" s="153"/>
      <c r="T2" s="152"/>
      <c r="U2" s="153"/>
      <c r="W2" s="155"/>
      <c r="X2" s="155"/>
      <c r="Y2" s="155"/>
      <c r="Z2" s="155"/>
      <c r="AA2" s="155"/>
      <c r="AB2" s="156"/>
    </row>
    <row r="3" spans="2:30" s="166" customFormat="1" ht="15.6">
      <c r="B3" s="225" t="s">
        <v>433</v>
      </c>
      <c r="C3" s="204"/>
      <c r="D3" s="204"/>
      <c r="E3" s="204"/>
      <c r="F3" s="205"/>
      <c r="G3" s="204"/>
      <c r="I3" s="225" t="s">
        <v>433</v>
      </c>
      <c r="J3" s="204"/>
      <c r="K3" s="204"/>
      <c r="L3" s="204"/>
      <c r="M3" s="205"/>
      <c r="N3" s="204"/>
      <c r="P3" s="225" t="s">
        <v>433</v>
      </c>
      <c r="Q3" s="204"/>
      <c r="R3" s="204"/>
      <c r="S3" s="204"/>
      <c r="T3" s="205"/>
      <c r="U3" s="204"/>
      <c r="W3" s="225" t="s">
        <v>433</v>
      </c>
      <c r="X3" s="204"/>
      <c r="Y3" s="204"/>
      <c r="Z3" s="204"/>
      <c r="AA3" s="205"/>
      <c r="AB3" s="204"/>
    </row>
    <row r="4" spans="2:30" ht="42" customHeight="1">
      <c r="B4" s="206" t="s">
        <v>42</v>
      </c>
      <c r="C4" s="207" t="s">
        <v>43</v>
      </c>
      <c r="D4" s="207" t="s">
        <v>44</v>
      </c>
      <c r="E4" s="207" t="s">
        <v>45</v>
      </c>
      <c r="F4" s="206" t="s">
        <v>46</v>
      </c>
      <c r="G4" s="207" t="s">
        <v>47</v>
      </c>
      <c r="I4" s="206" t="s">
        <v>42</v>
      </c>
      <c r="J4" s="207" t="s">
        <v>43</v>
      </c>
      <c r="K4" s="207" t="s">
        <v>44</v>
      </c>
      <c r="L4" s="207" t="s">
        <v>45</v>
      </c>
      <c r="M4" s="206" t="s">
        <v>46</v>
      </c>
      <c r="N4" s="207" t="s">
        <v>47</v>
      </c>
      <c r="P4" s="206" t="s">
        <v>42</v>
      </c>
      <c r="Q4" s="207" t="s">
        <v>43</v>
      </c>
      <c r="R4" s="207" t="s">
        <v>44</v>
      </c>
      <c r="S4" s="207" t="s">
        <v>45</v>
      </c>
      <c r="T4" s="206" t="s">
        <v>46</v>
      </c>
      <c r="U4" s="207" t="s">
        <v>47</v>
      </c>
      <c r="W4" s="164" t="s">
        <v>42</v>
      </c>
      <c r="X4" s="164" t="s">
        <v>43</v>
      </c>
      <c r="Y4" s="164" t="s">
        <v>44</v>
      </c>
      <c r="Z4" s="164" t="s">
        <v>45</v>
      </c>
      <c r="AA4" s="164" t="s">
        <v>46</v>
      </c>
      <c r="AB4" s="164" t="s">
        <v>47</v>
      </c>
    </row>
    <row r="5" spans="2:30" ht="21.75" customHeight="1">
      <c r="B5" s="228" t="s">
        <v>48</v>
      </c>
      <c r="C5" s="208">
        <f>COUNTIFS('1. All Data'!$AB$3:$AB$136,"Communities and Regulatory Services",'1. All Data'!$H$3:$H$136,"Fully Achieved")</f>
        <v>2</v>
      </c>
      <c r="D5" s="209">
        <f>C5/C16</f>
        <v>8.6956521739130432E-2</v>
      </c>
      <c r="E5" s="390">
        <f>D5+D6</f>
        <v>0.73913043478260865</v>
      </c>
      <c r="F5" s="210">
        <f>C5/C17</f>
        <v>0.1111111111111111</v>
      </c>
      <c r="G5" s="392">
        <f>F5+F6</f>
        <v>0.94444444444444442</v>
      </c>
      <c r="I5" s="228" t="s">
        <v>48</v>
      </c>
      <c r="J5" s="208">
        <f>COUNTIFS('1. All Data'!$AB$3:$AB$136,"Communities and Regulatory Services",'1. All Data'!$M$3:$M$136,"Fully Achieved")</f>
        <v>0</v>
      </c>
      <c r="K5" s="209" t="e">
        <f>J5/J16</f>
        <v>#DIV/0!</v>
      </c>
      <c r="L5" s="390" t="e">
        <f>K5+K6</f>
        <v>#DIV/0!</v>
      </c>
      <c r="M5" s="210" t="e">
        <f>J5/J17</f>
        <v>#DIV/0!</v>
      </c>
      <c r="N5" s="392" t="e">
        <f>M5+M6</f>
        <v>#DIV/0!</v>
      </c>
      <c r="P5" s="228" t="s">
        <v>48</v>
      </c>
      <c r="Q5" s="208">
        <f>COUNTIFS('1. All Data'!$AB$3:$AB$136,"Communities and Regulatory Services",'1. All Data'!$R$3:$R$136,"Fully Achieved")</f>
        <v>0</v>
      </c>
      <c r="R5" s="209" t="e">
        <f>Q5/Q16</f>
        <v>#DIV/0!</v>
      </c>
      <c r="S5" s="390" t="e">
        <f>R5+R6</f>
        <v>#DIV/0!</v>
      </c>
      <c r="T5" s="210" t="e">
        <f>Q5/Q17</f>
        <v>#DIV/0!</v>
      </c>
      <c r="U5" s="392" t="e">
        <f>T5+T6</f>
        <v>#DIV/0!</v>
      </c>
      <c r="W5" s="228" t="s">
        <v>48</v>
      </c>
      <c r="X5" s="208">
        <f>COUNTIFS('1. All Data'!$AB$3:$AB$136,"Communities and Regulatory Services",'1. All Data'!$V$3:$V$136,"Fully Achieved")</f>
        <v>0</v>
      </c>
      <c r="Y5" s="209" t="e">
        <f>X5/X16</f>
        <v>#DIV/0!</v>
      </c>
      <c r="Z5" s="390" t="e">
        <f>Y5+Y6</f>
        <v>#DIV/0!</v>
      </c>
      <c r="AA5" s="209" t="e">
        <f>X5/X17</f>
        <v>#DIV/0!</v>
      </c>
      <c r="AB5" s="371" t="e">
        <f>AA5+AA6</f>
        <v>#DIV/0!</v>
      </c>
    </row>
    <row r="6" spans="2:30" ht="18.75" customHeight="1">
      <c r="B6" s="228" t="s">
        <v>31</v>
      </c>
      <c r="C6" s="208">
        <f>COUNTIFS('1. All Data'!$AB$3:$AB$136,"Communities and Regulatory Services",'1. All Data'!$H$3:$H$136,"On Track to be Achieved")</f>
        <v>15</v>
      </c>
      <c r="D6" s="209">
        <f>C6/C16</f>
        <v>0.65217391304347827</v>
      </c>
      <c r="E6" s="390"/>
      <c r="F6" s="210">
        <f>C6/C17</f>
        <v>0.83333333333333337</v>
      </c>
      <c r="G6" s="392"/>
      <c r="I6" s="228" t="s">
        <v>31</v>
      </c>
      <c r="J6" s="208">
        <f>COUNTIFS('1. All Data'!$AB$3:$AB$136,"Communities and Regulatory Services",'1. All Data'!$M$3:$M$136,"On Track to be Achieved")</f>
        <v>0</v>
      </c>
      <c r="K6" s="209" t="e">
        <f>J6/J16</f>
        <v>#DIV/0!</v>
      </c>
      <c r="L6" s="390"/>
      <c r="M6" s="210" t="e">
        <f>J6/J17</f>
        <v>#DIV/0!</v>
      </c>
      <c r="N6" s="392"/>
      <c r="P6" s="228" t="s">
        <v>31</v>
      </c>
      <c r="Q6" s="208">
        <f>COUNTIFS('1. All Data'!$AB$3:$AB$136,"Communities and Regulatory Services",'1. All Data'!$R$3:$R$136,"On Track to be Achieved")</f>
        <v>0</v>
      </c>
      <c r="R6" s="209" t="e">
        <f>Q6/Q16</f>
        <v>#DIV/0!</v>
      </c>
      <c r="S6" s="390"/>
      <c r="T6" s="210" t="e">
        <f>Q6/Q17</f>
        <v>#DIV/0!</v>
      </c>
      <c r="U6" s="392"/>
      <c r="W6" s="228" t="s">
        <v>23</v>
      </c>
      <c r="X6" s="208">
        <f>COUNTIFS('1. All Data'!$AB$3:$AB$136,"Communities and Regulatory Services",'1. All Data'!$V$3:$V$136,"Numerical Outturn Within 5% Tolerance")</f>
        <v>0</v>
      </c>
      <c r="Y6" s="209" t="e">
        <f>X6/X16</f>
        <v>#DIV/0!</v>
      </c>
      <c r="Z6" s="390"/>
      <c r="AA6" s="209" t="e">
        <f>X6/X17</f>
        <v>#DIV/0!</v>
      </c>
      <c r="AB6" s="371"/>
    </row>
    <row r="7" spans="2:30" ht="21" customHeight="1">
      <c r="B7" s="402" t="s">
        <v>32</v>
      </c>
      <c r="C7" s="405">
        <f>COUNTIFS('1. All Data'!$AB$3:$AB$136,"Communities and Regulatory Services",'1. All Data'!$H$3:$H$136,"In Danger of Falling Behind Target")</f>
        <v>1</v>
      </c>
      <c r="D7" s="393">
        <f>C7/C16</f>
        <v>4.3478260869565216E-2</v>
      </c>
      <c r="E7" s="393">
        <f>D7</f>
        <v>4.3478260869565216E-2</v>
      </c>
      <c r="F7" s="396">
        <f>C7/C17</f>
        <v>5.5555555555555552E-2</v>
      </c>
      <c r="G7" s="399">
        <f>F7</f>
        <v>5.5555555555555552E-2</v>
      </c>
      <c r="I7" s="402" t="s">
        <v>32</v>
      </c>
      <c r="J7" s="405">
        <f>COUNTIFS('1. All Data'!$AB$3:$AB$136,"Communities and Regulatory Services",'1. All Data'!$M$3:$M$136,"In Danger of Falling Behind Target")</f>
        <v>0</v>
      </c>
      <c r="K7" s="393" t="e">
        <f>J7/J16</f>
        <v>#DIV/0!</v>
      </c>
      <c r="L7" s="393" t="e">
        <f>K7</f>
        <v>#DIV/0!</v>
      </c>
      <c r="M7" s="396" t="e">
        <f>J7/J17</f>
        <v>#DIV/0!</v>
      </c>
      <c r="N7" s="399" t="e">
        <f>M7</f>
        <v>#DIV/0!</v>
      </c>
      <c r="P7" s="402" t="s">
        <v>32</v>
      </c>
      <c r="Q7" s="405">
        <f>COUNTIFS('1. All Data'!$AB$3:$AB$136,"Communities and Regulatory Services",'1. All Data'!$R$3:$R$136,"In Danger of Falling Behind Target")</f>
        <v>0</v>
      </c>
      <c r="R7" s="393" t="e">
        <f>Q7/Q16</f>
        <v>#DIV/0!</v>
      </c>
      <c r="S7" s="393" t="e">
        <f>R7</f>
        <v>#DIV/0!</v>
      </c>
      <c r="T7" s="396" t="e">
        <f>Q7/Q17</f>
        <v>#DIV/0!</v>
      </c>
      <c r="U7" s="399" t="e">
        <f>T7</f>
        <v>#DIV/0!</v>
      </c>
      <c r="W7" s="169" t="s">
        <v>24</v>
      </c>
      <c r="X7" s="170">
        <f>COUNTIFS('1. All Data'!$AB$3:$AB$136,"Communities and Regulatory Services",'1. All Data'!$V$3:$V$136,"Numerical Outturn Within 10% Tolerance")</f>
        <v>0</v>
      </c>
      <c r="Y7" s="168" t="e">
        <f>X7/$X$16</f>
        <v>#DIV/0!</v>
      </c>
      <c r="Z7" s="369" t="e">
        <f>SUM(Y7:Y9)</f>
        <v>#DIV/0!</v>
      </c>
      <c r="AA7" s="168" t="e">
        <f>X7/$X$17</f>
        <v>#DIV/0!</v>
      </c>
      <c r="AB7" s="378" t="e">
        <f>SUM(AA7:AA9)</f>
        <v>#DIV/0!</v>
      </c>
    </row>
    <row r="8" spans="2:30" ht="20.25" customHeight="1">
      <c r="B8" s="403"/>
      <c r="C8" s="406"/>
      <c r="D8" s="394"/>
      <c r="E8" s="394"/>
      <c r="F8" s="397"/>
      <c r="G8" s="400"/>
      <c r="I8" s="403"/>
      <c r="J8" s="406"/>
      <c r="K8" s="394"/>
      <c r="L8" s="394"/>
      <c r="M8" s="397"/>
      <c r="N8" s="400"/>
      <c r="P8" s="403"/>
      <c r="Q8" s="406"/>
      <c r="R8" s="394"/>
      <c r="S8" s="394"/>
      <c r="T8" s="397"/>
      <c r="U8" s="400"/>
      <c r="W8" s="169" t="s">
        <v>25</v>
      </c>
      <c r="X8" s="170">
        <f>COUNTIFS('1. All Data'!$AB$3:$AB$136,"Communities and Regulatory Services",'1. All Data'!$V$3:$V$136,"Target Partially Met")</f>
        <v>0</v>
      </c>
      <c r="Y8" s="168" t="e">
        <f>X8/$X$16</f>
        <v>#DIV/0!</v>
      </c>
      <c r="Z8" s="369"/>
      <c r="AA8" s="168" t="e">
        <f>X8/$X$17</f>
        <v>#DIV/0!</v>
      </c>
      <c r="AB8" s="378"/>
    </row>
    <row r="9" spans="2:30" ht="18.75" customHeight="1">
      <c r="B9" s="404"/>
      <c r="C9" s="407"/>
      <c r="D9" s="395"/>
      <c r="E9" s="395"/>
      <c r="F9" s="398"/>
      <c r="G9" s="401"/>
      <c r="I9" s="404"/>
      <c r="J9" s="407"/>
      <c r="K9" s="395"/>
      <c r="L9" s="395"/>
      <c r="M9" s="398"/>
      <c r="N9" s="401"/>
      <c r="P9" s="404"/>
      <c r="Q9" s="407"/>
      <c r="R9" s="395"/>
      <c r="S9" s="395"/>
      <c r="T9" s="398"/>
      <c r="U9" s="401"/>
      <c r="W9" s="169" t="s">
        <v>28</v>
      </c>
      <c r="X9" s="170">
        <f>COUNTIFS('1. All Data'!$AB$3:$AB$136,"Communities and Regulatory Services",'1. All Data'!$V$3:$V$136,"Completion Date Within Reasonable Tolerance")</f>
        <v>0</v>
      </c>
      <c r="Y9" s="168" t="e">
        <f>X9/$X$16</f>
        <v>#DIV/0!</v>
      </c>
      <c r="Z9" s="369"/>
      <c r="AA9" s="168" t="e">
        <f>X9/$X$17</f>
        <v>#DIV/0!</v>
      </c>
      <c r="AB9" s="378"/>
    </row>
    <row r="10" spans="2:30" ht="20.25" customHeight="1">
      <c r="B10" s="211" t="s">
        <v>33</v>
      </c>
      <c r="C10" s="208">
        <f>COUNTIFS('1. All Data'!$AB$3:$AB$136,"Communities and Regulatory Services",'1. All Data'!$H$3:$H$136,"Completed Behind Schedule")</f>
        <v>0</v>
      </c>
      <c r="D10" s="209">
        <f>C10/C16</f>
        <v>0</v>
      </c>
      <c r="E10" s="390">
        <f>D10+D11</f>
        <v>0</v>
      </c>
      <c r="F10" s="210">
        <f>C10/C17</f>
        <v>0</v>
      </c>
      <c r="G10" s="391">
        <f>F10+F11</f>
        <v>0</v>
      </c>
      <c r="I10" s="211" t="s">
        <v>33</v>
      </c>
      <c r="J10" s="208">
        <f>COUNTIFS('1. All Data'!$AB$3:$AB$136,"Communities and Regulatory Services",'1. All Data'!$M$3:$M$136,"Completed Behind Schedule")</f>
        <v>0</v>
      </c>
      <c r="K10" s="209" t="e">
        <f>J10/J16</f>
        <v>#DIV/0!</v>
      </c>
      <c r="L10" s="390" t="e">
        <f>K10+K11</f>
        <v>#DIV/0!</v>
      </c>
      <c r="M10" s="210" t="e">
        <f>J10/J17</f>
        <v>#DIV/0!</v>
      </c>
      <c r="N10" s="391" t="e">
        <f>M10+M11</f>
        <v>#DIV/0!</v>
      </c>
      <c r="P10" s="211" t="s">
        <v>33</v>
      </c>
      <c r="Q10" s="208">
        <f>COUNTIFS('1. All Data'!$AB$3:$AB$136,"Communities and Regulatory Services",'1. All Data'!$R$3:$R$136,"Completed Behind Schedule")</f>
        <v>0</v>
      </c>
      <c r="R10" s="209" t="e">
        <f>Q10/Q16</f>
        <v>#DIV/0!</v>
      </c>
      <c r="S10" s="390" t="e">
        <f>R10+R11</f>
        <v>#DIV/0!</v>
      </c>
      <c r="T10" s="210" t="e">
        <f>Q10/Q17</f>
        <v>#DIV/0!</v>
      </c>
      <c r="U10" s="391" t="e">
        <f>T10+T11</f>
        <v>#DIV/0!</v>
      </c>
      <c r="W10" s="171" t="s">
        <v>27</v>
      </c>
      <c r="X10" s="208">
        <f>COUNTIFS('1. All Data'!$AB$3:$AB$136,"Communities and Regulatory Services",'1. All Data'!$V$3:$V$136,"Completed Significantly After Target Deadline")</f>
        <v>0</v>
      </c>
      <c r="Y10" s="209" t="e">
        <f>X10/X16</f>
        <v>#DIV/0!</v>
      </c>
      <c r="Z10" s="390" t="e">
        <f>Y10+Y11</f>
        <v>#DIV/0!</v>
      </c>
      <c r="AA10" s="168" t="e">
        <f>X10/$X$17</f>
        <v>#DIV/0!</v>
      </c>
      <c r="AB10" s="370" t="e">
        <f>AA10+AA11</f>
        <v>#DIV/0!</v>
      </c>
    </row>
    <row r="11" spans="2:30" ht="20.25" customHeight="1">
      <c r="B11" s="211" t="s">
        <v>26</v>
      </c>
      <c r="C11" s="208">
        <f>COUNTIFS('1. All Data'!$AB$3:$AB$136,"Communities and Regulatory Services",'1. All Data'!$H$3:$H$136,"Off Target")</f>
        <v>0</v>
      </c>
      <c r="D11" s="209">
        <f>C11/C16</f>
        <v>0</v>
      </c>
      <c r="E11" s="390"/>
      <c r="F11" s="210">
        <f>C11/C17</f>
        <v>0</v>
      </c>
      <c r="G11" s="391"/>
      <c r="I11" s="211" t="s">
        <v>26</v>
      </c>
      <c r="J11" s="208">
        <f>COUNTIFS('1. All Data'!$AB$3:$AB$136,"Communities and Regulatory Services",'1. All Data'!$M$3:$M$136,"Off Target")</f>
        <v>0</v>
      </c>
      <c r="K11" s="209" t="e">
        <f>J11/J16</f>
        <v>#DIV/0!</v>
      </c>
      <c r="L11" s="390"/>
      <c r="M11" s="210" t="e">
        <f>J11/J17</f>
        <v>#DIV/0!</v>
      </c>
      <c r="N11" s="391"/>
      <c r="P11" s="211" t="s">
        <v>26</v>
      </c>
      <c r="Q11" s="208">
        <f>COUNTIFS('1. All Data'!$AB$3:$AB$136,"Communities and Regulatory Services",'1. All Data'!$R$3:$R$136,"Off Target")</f>
        <v>0</v>
      </c>
      <c r="R11" s="209" t="e">
        <f>Q11/Q16</f>
        <v>#DIV/0!</v>
      </c>
      <c r="S11" s="390"/>
      <c r="T11" s="210" t="e">
        <f>Q11/Q17</f>
        <v>#DIV/0!</v>
      </c>
      <c r="U11" s="391"/>
      <c r="W11" s="171" t="s">
        <v>26</v>
      </c>
      <c r="X11" s="208">
        <f>COUNTIFS('1. All Data'!$AB$3:$AB$136,"Communities and Regulatory Services",'1. All Data'!$V$3:$V$136,"Off Target")</f>
        <v>0</v>
      </c>
      <c r="Y11" s="209" t="e">
        <f>X11/X16</f>
        <v>#DIV/0!</v>
      </c>
      <c r="Z11" s="390"/>
      <c r="AA11" s="168" t="e">
        <f>X11/$X$17</f>
        <v>#DIV/0!</v>
      </c>
      <c r="AB11" s="370"/>
    </row>
    <row r="12" spans="2:30" ht="15" customHeight="1">
      <c r="B12" s="212" t="s">
        <v>49</v>
      </c>
      <c r="C12" s="208">
        <f>COUNTIFS('1. All Data'!$AB$3:$AB$136,"Communities and Regulatory Services",'1. All Data'!$H$3:$H$136,"Not yet due")</f>
        <v>5</v>
      </c>
      <c r="D12" s="213">
        <f>C12/C16</f>
        <v>0.21739130434782608</v>
      </c>
      <c r="E12" s="213">
        <f>D12</f>
        <v>0.21739130434782608</v>
      </c>
      <c r="F12" s="214"/>
      <c r="G12" s="58"/>
      <c r="I12" s="212" t="s">
        <v>49</v>
      </c>
      <c r="J12" s="208">
        <f>COUNTIFS('1. All Data'!$AB$3:$AB$136,"Communities and Regulatory Services",'1. All Data'!$M$3:$M$136,"Not yet due")</f>
        <v>0</v>
      </c>
      <c r="K12" s="213" t="e">
        <f>J12/J16</f>
        <v>#DIV/0!</v>
      </c>
      <c r="L12" s="213" t="e">
        <f>K12</f>
        <v>#DIV/0!</v>
      </c>
      <c r="M12" s="214"/>
      <c r="N12" s="58"/>
      <c r="P12" s="212" t="s">
        <v>49</v>
      </c>
      <c r="Q12" s="208">
        <f>COUNTIFS('1. All Data'!$AB$3:$AB$136,"Communities and Regulatory Services",'1. All Data'!$R$3:$R$136,"Not yet due")</f>
        <v>0</v>
      </c>
      <c r="R12" s="213" t="e">
        <f>Q12/Q16</f>
        <v>#DIV/0!</v>
      </c>
      <c r="S12" s="213" t="e">
        <f>R12</f>
        <v>#DIV/0!</v>
      </c>
      <c r="T12" s="214"/>
      <c r="U12" s="58"/>
      <c r="W12" s="172" t="s">
        <v>49</v>
      </c>
      <c r="X12" s="208">
        <f>COUNTIFS('1. All Data'!$AB$3:$AB$136,"Communities and Regulatory Services",'1. All Data'!$V$3:$V$136,"Not yet due")</f>
        <v>0</v>
      </c>
      <c r="Y12" s="213" t="e">
        <f>X12/X16</f>
        <v>#DIV/0!</v>
      </c>
      <c r="Z12" s="213" t="e">
        <f>Y12</f>
        <v>#DIV/0!</v>
      </c>
      <c r="AA12" s="174"/>
      <c r="AB12" s="58"/>
    </row>
    <row r="13" spans="2:30" ht="15" customHeight="1">
      <c r="B13" s="212" t="s">
        <v>21</v>
      </c>
      <c r="C13" s="208">
        <f>COUNTIFS('1. All Data'!$AB$3:$AB$136,"Communities and Regulatory Services",'1. All Data'!$H$3:$H$136,"Update not provided")</f>
        <v>0</v>
      </c>
      <c r="D13" s="213">
        <f>C13/C16</f>
        <v>0</v>
      </c>
      <c r="E13" s="213">
        <f>D13</f>
        <v>0</v>
      </c>
      <c r="F13" s="214"/>
      <c r="G13" s="2"/>
      <c r="I13" s="212" t="s">
        <v>21</v>
      </c>
      <c r="J13" s="208">
        <f>COUNTIFS('1. All Data'!$AB$3:$AB$136,"Communities and Regulatory Services",'1. All Data'!$M$3:$M$136,"Update not provided")</f>
        <v>0</v>
      </c>
      <c r="K13" s="213" t="e">
        <f>J13/J16</f>
        <v>#DIV/0!</v>
      </c>
      <c r="L13" s="213" t="e">
        <f>K13</f>
        <v>#DIV/0!</v>
      </c>
      <c r="M13" s="214"/>
      <c r="N13" s="2"/>
      <c r="P13" s="212" t="s">
        <v>21</v>
      </c>
      <c r="Q13" s="208">
        <f>COUNTIFS('1. All Data'!$AB$3:$AB$136,"Communities and Regulatory Services",'1. All Data'!$R$3:$R$136,"Update not provided")</f>
        <v>0</v>
      </c>
      <c r="R13" s="213" t="e">
        <f>Q13/Q16</f>
        <v>#DIV/0!</v>
      </c>
      <c r="S13" s="213" t="e">
        <f>R13</f>
        <v>#DIV/0!</v>
      </c>
      <c r="T13" s="214"/>
      <c r="U13" s="2"/>
      <c r="W13" s="172" t="s">
        <v>21</v>
      </c>
      <c r="X13" s="208">
        <f>COUNTIFS('1. All Data'!$AB$3:$AB$136,"Communities and Regulatory Services",'1. All Data'!$V$3:$V$136,"Update not provided")</f>
        <v>0</v>
      </c>
      <c r="Y13" s="213" t="e">
        <f>X13/X16</f>
        <v>#DIV/0!</v>
      </c>
      <c r="Z13" s="213" t="e">
        <f>Y13</f>
        <v>#DIV/0!</v>
      </c>
      <c r="AA13" s="174"/>
      <c r="AB13" s="2"/>
    </row>
    <row r="14" spans="2:30" ht="15.75" customHeight="1">
      <c r="B14" s="215" t="s">
        <v>29</v>
      </c>
      <c r="C14" s="208">
        <f>COUNTIFS('1. All Data'!$AB$3:$AB$136,"Communities and Regulatory Services",'1. All Data'!$H$3:$H$136,"Deferred")</f>
        <v>0</v>
      </c>
      <c r="D14" s="216">
        <f>C14/C16</f>
        <v>0</v>
      </c>
      <c r="E14" s="216">
        <f>D14</f>
        <v>0</v>
      </c>
      <c r="F14" s="217"/>
      <c r="G14" s="58"/>
      <c r="I14" s="215" t="s">
        <v>29</v>
      </c>
      <c r="J14" s="208">
        <f>COUNTIFS('1. All Data'!$AB$3:$AB$136,"Communities and Regulatory Services",'1. All Data'!$M$3:$M$136,"Deferred")</f>
        <v>0</v>
      </c>
      <c r="K14" s="216" t="e">
        <f>J14/J16</f>
        <v>#DIV/0!</v>
      </c>
      <c r="L14" s="216" t="e">
        <f>K14</f>
        <v>#DIV/0!</v>
      </c>
      <c r="M14" s="217"/>
      <c r="N14" s="58"/>
      <c r="P14" s="215" t="s">
        <v>29</v>
      </c>
      <c r="Q14" s="208">
        <f>COUNTIFS('1. All Data'!$AB$3:$AB$136,"Communities and Regulatory Services",'1. All Data'!$R$3:$R$136,"Deferred")</f>
        <v>0</v>
      </c>
      <c r="R14" s="216" t="e">
        <f>Q14/Q16</f>
        <v>#DIV/0!</v>
      </c>
      <c r="S14" s="216" t="e">
        <f>R14</f>
        <v>#DIV/0!</v>
      </c>
      <c r="T14" s="217"/>
      <c r="U14" s="58"/>
      <c r="W14" s="175" t="s">
        <v>29</v>
      </c>
      <c r="X14" s="208">
        <f>COUNTIFS('1. All Data'!$AB$3:$AB$136,"Communities and Regulatory Services",'1. All Data'!$V$3:$V$136,"Deferred")</f>
        <v>0</v>
      </c>
      <c r="Y14" s="216" t="e">
        <f>X14/X16</f>
        <v>#DIV/0!</v>
      </c>
      <c r="Z14" s="216" t="e">
        <f>Y14</f>
        <v>#DIV/0!</v>
      </c>
      <c r="AA14" s="177"/>
      <c r="AB14" s="58"/>
    </row>
    <row r="15" spans="2:30" ht="15.75" customHeight="1">
      <c r="B15" s="215" t="s">
        <v>30</v>
      </c>
      <c r="C15" s="208">
        <f>COUNTIFS('1. All Data'!$AB$3:$AB$136,"Communities and Regulatory Services",'1. All Data'!$H$3:$H$136,"Deleted")</f>
        <v>0</v>
      </c>
      <c r="D15" s="216">
        <f>C15/C16</f>
        <v>0</v>
      </c>
      <c r="E15" s="216">
        <f>D15</f>
        <v>0</v>
      </c>
      <c r="F15" s="217"/>
      <c r="G15" s="29"/>
      <c r="I15" s="215" t="s">
        <v>30</v>
      </c>
      <c r="J15" s="208">
        <f>COUNTIFS('1. All Data'!$AB$3:$AB$136,"Communities and Regulatory Services",'1. All Data'!$M$3:$M$136,"Deleted")</f>
        <v>0</v>
      </c>
      <c r="K15" s="216" t="e">
        <f>J15/J16</f>
        <v>#DIV/0!</v>
      </c>
      <c r="L15" s="216" t="e">
        <f>K15</f>
        <v>#DIV/0!</v>
      </c>
      <c r="M15" s="217"/>
      <c r="N15" s="29"/>
      <c r="P15" s="215" t="s">
        <v>30</v>
      </c>
      <c r="Q15" s="208">
        <f>COUNTIFS('1. All Data'!$AB$3:$AB$136,"Communities and Regulatory Services",'1. All Data'!$R$3:$R$136,"Deleted")</f>
        <v>0</v>
      </c>
      <c r="R15" s="216" t="e">
        <f>Q15/Q16</f>
        <v>#DIV/0!</v>
      </c>
      <c r="S15" s="216" t="e">
        <f>R15</f>
        <v>#DIV/0!</v>
      </c>
      <c r="T15" s="217"/>
      <c r="U15" s="29"/>
      <c r="W15" s="175" t="s">
        <v>30</v>
      </c>
      <c r="X15" s="208">
        <f>COUNTIFS('1. All Data'!$AB$3:$AB$136,"Communities and Regulatory Services",'1. All Data'!$V$3:$V$136,"Deleted")</f>
        <v>0</v>
      </c>
      <c r="Y15" s="216" t="e">
        <f>X15/X16</f>
        <v>#DIV/0!</v>
      </c>
      <c r="Z15" s="216" t="e">
        <f>Y15</f>
        <v>#DIV/0!</v>
      </c>
      <c r="AA15" s="177"/>
      <c r="AD15" s="3"/>
    </row>
    <row r="16" spans="2:30" ht="15.75" customHeight="1">
      <c r="B16" s="218" t="s">
        <v>51</v>
      </c>
      <c r="C16" s="219">
        <f>SUM(C5:C15)</f>
        <v>23</v>
      </c>
      <c r="D16" s="177"/>
      <c r="E16" s="177"/>
      <c r="F16" s="220"/>
      <c r="G16" s="58"/>
      <c r="I16" s="218" t="s">
        <v>51</v>
      </c>
      <c r="J16" s="219">
        <f>SUM(J5:J15)</f>
        <v>0</v>
      </c>
      <c r="K16" s="177"/>
      <c r="L16" s="177"/>
      <c r="M16" s="220"/>
      <c r="N16" s="58"/>
      <c r="P16" s="218" t="s">
        <v>51</v>
      </c>
      <c r="Q16" s="219">
        <f>SUM(Q5:Q15)</f>
        <v>0</v>
      </c>
      <c r="R16" s="177"/>
      <c r="S16" s="177"/>
      <c r="T16" s="220"/>
      <c r="U16" s="58"/>
      <c r="W16" s="178" t="s">
        <v>51</v>
      </c>
      <c r="X16" s="219">
        <f>SUM(X5:X15)</f>
        <v>0</v>
      </c>
      <c r="Y16" s="177"/>
      <c r="Z16" s="177"/>
      <c r="AA16" s="58"/>
      <c r="AB16" s="58"/>
    </row>
    <row r="17" spans="2:29" ht="15.75" customHeight="1">
      <c r="B17" s="218" t="s">
        <v>52</v>
      </c>
      <c r="C17" s="219">
        <f>C16-C15-C14-C13-C12</f>
        <v>18</v>
      </c>
      <c r="D17" s="58"/>
      <c r="E17" s="58"/>
      <c r="F17" s="220"/>
      <c r="G17" s="58"/>
      <c r="I17" s="218" t="s">
        <v>52</v>
      </c>
      <c r="J17" s="219">
        <f>J16-J15-J14-J13-J12</f>
        <v>0</v>
      </c>
      <c r="K17" s="58"/>
      <c r="L17" s="58"/>
      <c r="M17" s="220"/>
      <c r="N17" s="58"/>
      <c r="P17" s="218" t="s">
        <v>52</v>
      </c>
      <c r="Q17" s="219">
        <f>Q16-Q15-Q14-Q13-Q12</f>
        <v>0</v>
      </c>
      <c r="R17" s="58"/>
      <c r="S17" s="58"/>
      <c r="T17" s="220"/>
      <c r="U17" s="58"/>
      <c r="W17" s="178" t="s">
        <v>52</v>
      </c>
      <c r="X17" s="219">
        <f>X16-X15-X14-X13-X12</f>
        <v>0</v>
      </c>
      <c r="Y17" s="58"/>
      <c r="Z17" s="58"/>
      <c r="AA17" s="58"/>
      <c r="AB17" s="58"/>
    </row>
    <row r="18" spans="2:29" ht="15.75" customHeight="1">
      <c r="W18" s="180"/>
      <c r="AA18" s="2"/>
    </row>
    <row r="19" spans="2:29" ht="15.75" customHeight="1">
      <c r="AA19" s="2"/>
    </row>
    <row r="20" spans="2:29" s="166" customFormat="1" ht="15.75" customHeight="1">
      <c r="B20" s="187"/>
      <c r="C20" s="165"/>
      <c r="D20" s="165"/>
      <c r="E20" s="165"/>
      <c r="F20" s="220"/>
      <c r="G20" s="165"/>
      <c r="I20" s="187"/>
      <c r="J20" s="165"/>
      <c r="K20" s="165"/>
      <c r="L20" s="165"/>
      <c r="M20" s="220"/>
      <c r="N20" s="165"/>
      <c r="P20" s="187"/>
      <c r="Q20" s="165"/>
      <c r="R20" s="165"/>
      <c r="S20" s="165"/>
      <c r="T20" s="220"/>
      <c r="U20" s="165"/>
      <c r="W20" s="165"/>
      <c r="X20" s="165"/>
      <c r="Y20" s="165"/>
      <c r="Z20" s="165"/>
      <c r="AA20" s="58"/>
      <c r="AB20" s="186"/>
    </row>
    <row r="21" spans="2:29" ht="15" customHeight="1">
      <c r="W21" s="221"/>
      <c r="X21" s="58"/>
      <c r="Y21" s="58"/>
      <c r="Z21" s="58"/>
      <c r="AA21" s="58"/>
      <c r="AB21" s="177"/>
      <c r="AC21" s="166"/>
    </row>
    <row r="22" spans="2:29" s="166" customFormat="1" ht="15.6">
      <c r="B22" s="203" t="s">
        <v>118</v>
      </c>
      <c r="C22" s="204"/>
      <c r="D22" s="204"/>
      <c r="E22" s="204"/>
      <c r="F22" s="205"/>
      <c r="G22" s="204"/>
      <c r="I22" s="203" t="s">
        <v>118</v>
      </c>
      <c r="J22" s="204"/>
      <c r="K22" s="204"/>
      <c r="L22" s="204"/>
      <c r="M22" s="205"/>
      <c r="N22" s="204"/>
      <c r="P22" s="203" t="s">
        <v>118</v>
      </c>
      <c r="Q22" s="204"/>
      <c r="R22" s="204"/>
      <c r="S22" s="204"/>
      <c r="T22" s="205"/>
      <c r="U22" s="204"/>
      <c r="W22" s="203" t="s">
        <v>118</v>
      </c>
      <c r="X22" s="204"/>
      <c r="Y22" s="204"/>
      <c r="Z22" s="204"/>
      <c r="AA22" s="205"/>
      <c r="AB22" s="204"/>
    </row>
    <row r="23" spans="2:29" ht="42" customHeight="1">
      <c r="B23" s="206" t="s">
        <v>42</v>
      </c>
      <c r="C23" s="207" t="s">
        <v>43</v>
      </c>
      <c r="D23" s="207" t="s">
        <v>44</v>
      </c>
      <c r="E23" s="207" t="s">
        <v>45</v>
      </c>
      <c r="F23" s="206" t="s">
        <v>46</v>
      </c>
      <c r="G23" s="207" t="s">
        <v>47</v>
      </c>
      <c r="I23" s="206" t="s">
        <v>42</v>
      </c>
      <c r="J23" s="207" t="s">
        <v>43</v>
      </c>
      <c r="K23" s="207" t="s">
        <v>44</v>
      </c>
      <c r="L23" s="207" t="s">
        <v>45</v>
      </c>
      <c r="M23" s="206" t="s">
        <v>46</v>
      </c>
      <c r="N23" s="207" t="s">
        <v>47</v>
      </c>
      <c r="P23" s="206" t="s">
        <v>42</v>
      </c>
      <c r="Q23" s="207" t="s">
        <v>43</v>
      </c>
      <c r="R23" s="207" t="s">
        <v>44</v>
      </c>
      <c r="S23" s="207" t="s">
        <v>45</v>
      </c>
      <c r="T23" s="206" t="s">
        <v>46</v>
      </c>
      <c r="U23" s="207" t="s">
        <v>47</v>
      </c>
      <c r="W23" s="164" t="s">
        <v>42</v>
      </c>
      <c r="X23" s="164" t="s">
        <v>43</v>
      </c>
      <c r="Y23" s="164" t="s">
        <v>44</v>
      </c>
      <c r="Z23" s="164" t="s">
        <v>45</v>
      </c>
      <c r="AA23" s="164" t="s">
        <v>46</v>
      </c>
      <c r="AB23" s="164" t="s">
        <v>47</v>
      </c>
      <c r="AC23" s="166"/>
    </row>
    <row r="24" spans="2:29" ht="21.75" customHeight="1">
      <c r="B24" s="228" t="s">
        <v>48</v>
      </c>
      <c r="C24" s="208">
        <f>COUNTIFS('1. All Data'!$AB$3:$AB$136,"Environment and climate change",'1. All Data'!$H$3:$H$136,"Fully Achieved")</f>
        <v>2</v>
      </c>
      <c r="D24" s="209">
        <f>C24/C35</f>
        <v>5.8823529411764705E-2</v>
      </c>
      <c r="E24" s="390">
        <f>D24+D25</f>
        <v>0.44117647058823528</v>
      </c>
      <c r="F24" s="210">
        <f>C24/C36</f>
        <v>0.1111111111111111</v>
      </c>
      <c r="G24" s="392">
        <f>F24+F25</f>
        <v>0.83333333333333326</v>
      </c>
      <c r="I24" s="228" t="s">
        <v>48</v>
      </c>
      <c r="J24" s="208">
        <f>COUNTIFS('1. All Data'!$AB$3:$AB$136,"Environment and Climate Change",'1. All Data'!$M$3:$M$136,"Fully Achieved")</f>
        <v>0</v>
      </c>
      <c r="K24" s="209" t="e">
        <f>J24/J35</f>
        <v>#DIV/0!</v>
      </c>
      <c r="L24" s="390" t="e">
        <f>K24+K25</f>
        <v>#DIV/0!</v>
      </c>
      <c r="M24" s="210" t="e">
        <f>J24/J36</f>
        <v>#DIV/0!</v>
      </c>
      <c r="N24" s="392" t="e">
        <f>M24+M25</f>
        <v>#DIV/0!</v>
      </c>
      <c r="P24" s="228" t="s">
        <v>48</v>
      </c>
      <c r="Q24" s="208">
        <f>COUNTIFS('1. All Data'!$AB$3:$AB$136,"Environment and Climate Change",'1. All Data'!$R$3:$R$136,"Fully Achieved")</f>
        <v>0</v>
      </c>
      <c r="R24" s="209" t="e">
        <f>Q24/Q35</f>
        <v>#DIV/0!</v>
      </c>
      <c r="S24" s="390" t="e">
        <f>R24+R25</f>
        <v>#DIV/0!</v>
      </c>
      <c r="T24" s="210" t="e">
        <f>Q24/Q36</f>
        <v>#DIV/0!</v>
      </c>
      <c r="U24" s="392" t="e">
        <f>T24+T25</f>
        <v>#DIV/0!</v>
      </c>
      <c r="W24" s="228" t="s">
        <v>48</v>
      </c>
      <c r="X24" s="208">
        <f>COUNTIFS('1. All Data'!$AB$3:$AB$136,"Environment and Climate Change",'1. All Data'!$V$3:$V$136,"Fully Achieved")</f>
        <v>0</v>
      </c>
      <c r="Y24" s="209" t="e">
        <f>X24/X35</f>
        <v>#DIV/0!</v>
      </c>
      <c r="Z24" s="390" t="e">
        <f>Y24+Y25</f>
        <v>#DIV/0!</v>
      </c>
      <c r="AA24" s="209" t="e">
        <f>X24/X36</f>
        <v>#DIV/0!</v>
      </c>
      <c r="AB24" s="371" t="e">
        <f>AA24+AA25</f>
        <v>#DIV/0!</v>
      </c>
      <c r="AC24" s="166"/>
    </row>
    <row r="25" spans="2:29" ht="18.75" customHeight="1">
      <c r="B25" s="228" t="s">
        <v>31</v>
      </c>
      <c r="C25" s="208">
        <f>COUNTIFS('1. All Data'!$AB$3:$AB$136,"Environment and climate change",'1. All Data'!$H$3:$H$136,"On Track to be Achieved")</f>
        <v>13</v>
      </c>
      <c r="D25" s="209">
        <f>C25/C35</f>
        <v>0.38235294117647056</v>
      </c>
      <c r="E25" s="390"/>
      <c r="F25" s="210">
        <f>C25/C36</f>
        <v>0.72222222222222221</v>
      </c>
      <c r="G25" s="392"/>
      <c r="I25" s="228" t="s">
        <v>31</v>
      </c>
      <c r="J25" s="208">
        <f>COUNTIFS('1. All Data'!$AB$3:$AB$136,"Environment and Climate Change",'1. All Data'!$M$3:$M$136,"On Track to be Achieved")</f>
        <v>0</v>
      </c>
      <c r="K25" s="209" t="e">
        <f>J25/J35</f>
        <v>#DIV/0!</v>
      </c>
      <c r="L25" s="390"/>
      <c r="M25" s="210" t="e">
        <f>J25/J36</f>
        <v>#DIV/0!</v>
      </c>
      <c r="N25" s="392"/>
      <c r="P25" s="228" t="s">
        <v>31</v>
      </c>
      <c r="Q25" s="208">
        <f>COUNTIFS('1. All Data'!$AB$3:$AB$136,"Environment and Climate Change",'1. All Data'!$R$3:$R$136,"On Track to be Achieved")</f>
        <v>0</v>
      </c>
      <c r="R25" s="209" t="e">
        <f>Q25/Q35</f>
        <v>#DIV/0!</v>
      </c>
      <c r="S25" s="390"/>
      <c r="T25" s="210" t="e">
        <f>Q25/Q36</f>
        <v>#DIV/0!</v>
      </c>
      <c r="U25" s="392"/>
      <c r="W25" s="228" t="s">
        <v>23</v>
      </c>
      <c r="X25" s="208">
        <f>COUNTIFS('1. All Data'!$AB$3:$AB$136,"Environment and Climate Change",'1. All Data'!$V$3:$V$136,"Numerical Outturn Within 5% Tolerance")</f>
        <v>0</v>
      </c>
      <c r="Y25" s="209" t="e">
        <f>X25/X35</f>
        <v>#DIV/0!</v>
      </c>
      <c r="Z25" s="390"/>
      <c r="AA25" s="209" t="e">
        <f>X25/X36</f>
        <v>#DIV/0!</v>
      </c>
      <c r="AB25" s="371"/>
      <c r="AC25" s="166"/>
    </row>
    <row r="26" spans="2:29" ht="21" customHeight="1">
      <c r="B26" s="402" t="s">
        <v>32</v>
      </c>
      <c r="C26" s="405">
        <f>COUNTIFS('1. All Data'!$AB$3:$AB$136,"Environment and climate change",'1. All Data'!$H$3:$H$136,"In Danger of Falling Behind Target")</f>
        <v>3</v>
      </c>
      <c r="D26" s="393">
        <f>C26/C35</f>
        <v>8.8235294117647065E-2</v>
      </c>
      <c r="E26" s="393">
        <f>D26</f>
        <v>8.8235294117647065E-2</v>
      </c>
      <c r="F26" s="396">
        <f>C26/C36</f>
        <v>0.16666666666666666</v>
      </c>
      <c r="G26" s="399">
        <f>F26</f>
        <v>0.16666666666666666</v>
      </c>
      <c r="I26" s="402" t="s">
        <v>32</v>
      </c>
      <c r="J26" s="405">
        <f>COUNTIFS('1. All Data'!$AB$3:$AB$136,"Environment and Climate Change",'1. All Data'!$M$3:$M$136,"In Danger of Falling Behind Target")</f>
        <v>0</v>
      </c>
      <c r="K26" s="393" t="e">
        <f>J26/J35</f>
        <v>#DIV/0!</v>
      </c>
      <c r="L26" s="393" t="e">
        <f>K26</f>
        <v>#DIV/0!</v>
      </c>
      <c r="M26" s="396" t="e">
        <f>J26/J36</f>
        <v>#DIV/0!</v>
      </c>
      <c r="N26" s="399" t="e">
        <f>M26</f>
        <v>#DIV/0!</v>
      </c>
      <c r="P26" s="402" t="s">
        <v>32</v>
      </c>
      <c r="Q26" s="405">
        <f>COUNTIFS('1. All Data'!$AB$3:$AB$136,"Environment and Climate Change",'1. All Data'!$R$3:$R$136,"In Danger of Falling Behind Target")</f>
        <v>0</v>
      </c>
      <c r="R26" s="393" t="e">
        <f>Q26/Q35</f>
        <v>#DIV/0!</v>
      </c>
      <c r="S26" s="393" t="e">
        <f>R26</f>
        <v>#DIV/0!</v>
      </c>
      <c r="T26" s="396" t="e">
        <f>Q26/Q36</f>
        <v>#DIV/0!</v>
      </c>
      <c r="U26" s="399" t="e">
        <f>T26</f>
        <v>#DIV/0!</v>
      </c>
      <c r="W26" s="169" t="s">
        <v>24</v>
      </c>
      <c r="X26" s="170">
        <f>COUNTIFS('1. All Data'!$AB$3:$AB$136,"Environment and Climate Change",'1. All Data'!$V$3:$V$136,"Numerical Outturn Within 10% Tolerance")</f>
        <v>0</v>
      </c>
      <c r="Y26" s="168" t="e">
        <f>X26/X35</f>
        <v>#DIV/0!</v>
      </c>
      <c r="Z26" s="369" t="e">
        <f>SUM(Y26:Y28)</f>
        <v>#DIV/0!</v>
      </c>
      <c r="AA26" s="168" t="e">
        <f>X26/X36</f>
        <v>#DIV/0!</v>
      </c>
      <c r="AB26" s="378" t="e">
        <f>SUM(AA26:AA28)</f>
        <v>#DIV/0!</v>
      </c>
      <c r="AC26" s="166"/>
    </row>
    <row r="27" spans="2:29" ht="20.25" customHeight="1">
      <c r="B27" s="403"/>
      <c r="C27" s="406"/>
      <c r="D27" s="394"/>
      <c r="E27" s="394"/>
      <c r="F27" s="397"/>
      <c r="G27" s="400"/>
      <c r="I27" s="403"/>
      <c r="J27" s="406"/>
      <c r="K27" s="394"/>
      <c r="L27" s="394"/>
      <c r="M27" s="397"/>
      <c r="N27" s="400"/>
      <c r="P27" s="403"/>
      <c r="Q27" s="406"/>
      <c r="R27" s="394"/>
      <c r="S27" s="394"/>
      <c r="T27" s="397"/>
      <c r="U27" s="400"/>
      <c r="W27" s="169" t="s">
        <v>25</v>
      </c>
      <c r="X27" s="170">
        <f>COUNTIFS('1. All Data'!$AB$3:$AB$136,"Environment and Climate Change",'1. All Data'!$V$3:$V$136,"Target Partially Met")</f>
        <v>0</v>
      </c>
      <c r="Y27" s="168" t="e">
        <f>X27/X35</f>
        <v>#DIV/0!</v>
      </c>
      <c r="Z27" s="369"/>
      <c r="AA27" s="168" t="e">
        <f>X27/X36</f>
        <v>#DIV/0!</v>
      </c>
      <c r="AB27" s="378"/>
      <c r="AC27" s="166"/>
    </row>
    <row r="28" spans="2:29" ht="15.75" customHeight="1">
      <c r="B28" s="404"/>
      <c r="C28" s="407"/>
      <c r="D28" s="395"/>
      <c r="E28" s="395"/>
      <c r="F28" s="398"/>
      <c r="G28" s="401"/>
      <c r="I28" s="404"/>
      <c r="J28" s="407"/>
      <c r="K28" s="395"/>
      <c r="L28" s="395"/>
      <c r="M28" s="398"/>
      <c r="N28" s="401"/>
      <c r="P28" s="404"/>
      <c r="Q28" s="407"/>
      <c r="R28" s="395"/>
      <c r="S28" s="395"/>
      <c r="T28" s="398"/>
      <c r="U28" s="401"/>
      <c r="W28" s="169" t="s">
        <v>28</v>
      </c>
      <c r="X28" s="170">
        <f>COUNTIFS('1. All Data'!$AB$3:$AB$136,"Environment and Climate Change",'1. All Data'!$V$3:$V$136,"Completion Date Within Reasonable Tolerance")</f>
        <v>0</v>
      </c>
      <c r="Y28" s="168" t="e">
        <f>X28/X35</f>
        <v>#DIV/0!</v>
      </c>
      <c r="Z28" s="369"/>
      <c r="AA28" s="168" t="e">
        <f>X28/X36</f>
        <v>#DIV/0!</v>
      </c>
      <c r="AB28" s="378"/>
      <c r="AC28" s="166"/>
    </row>
    <row r="29" spans="2:29" ht="20.25" customHeight="1">
      <c r="B29" s="211" t="s">
        <v>33</v>
      </c>
      <c r="C29" s="208">
        <f>COUNTIFS('1. All Data'!$AB$3:$AB$136,"Environment and climate change",'1. All Data'!$H$3:$H$136,"Completed Behind Schedule")</f>
        <v>0</v>
      </c>
      <c r="D29" s="209">
        <f>C29/C35</f>
        <v>0</v>
      </c>
      <c r="E29" s="390">
        <f>D29+D30</f>
        <v>0</v>
      </c>
      <c r="F29" s="210">
        <f>C29/C36</f>
        <v>0</v>
      </c>
      <c r="G29" s="391">
        <f>F29+F30</f>
        <v>0</v>
      </c>
      <c r="I29" s="211" t="s">
        <v>33</v>
      </c>
      <c r="J29" s="208">
        <f>COUNTIFS('1. All Data'!$AB$3:$AB$136,"Environment and Climate Change",'1. All Data'!$M$3:$M$136,"Completed Behind Schedule")</f>
        <v>0</v>
      </c>
      <c r="K29" s="209" t="e">
        <f>J29/J35</f>
        <v>#DIV/0!</v>
      </c>
      <c r="L29" s="390" t="e">
        <f>K29+K30</f>
        <v>#DIV/0!</v>
      </c>
      <c r="M29" s="210" t="e">
        <f>J29/J36</f>
        <v>#DIV/0!</v>
      </c>
      <c r="N29" s="391" t="e">
        <f>M29+M30</f>
        <v>#DIV/0!</v>
      </c>
      <c r="P29" s="211" t="s">
        <v>33</v>
      </c>
      <c r="Q29" s="208">
        <f>COUNTIFS('1. All Data'!$AB$3:$AB$136,"Environment and Climate Change",'1. All Data'!$R$3:$R$136,"Completed Behind Schedule")</f>
        <v>0</v>
      </c>
      <c r="R29" s="209" t="e">
        <f>Q29/Q35</f>
        <v>#DIV/0!</v>
      </c>
      <c r="S29" s="390" t="e">
        <f>R29+R30</f>
        <v>#DIV/0!</v>
      </c>
      <c r="T29" s="210" t="e">
        <f>Q29/Q36</f>
        <v>#DIV/0!</v>
      </c>
      <c r="U29" s="391" t="e">
        <f>T29+T30</f>
        <v>#DIV/0!</v>
      </c>
      <c r="W29" s="171" t="s">
        <v>27</v>
      </c>
      <c r="X29" s="208">
        <f>COUNTIFS('1. All Data'!$AB$3:$AB$136,"Environment and Climate Change",'1. All Data'!$V$3:$V$136,"Completed Significantly After Target Deadline")</f>
        <v>0</v>
      </c>
      <c r="Y29" s="209" t="e">
        <f>X29/X35</f>
        <v>#DIV/0!</v>
      </c>
      <c r="Z29" s="390" t="e">
        <f>Y29+Y30</f>
        <v>#DIV/0!</v>
      </c>
      <c r="AA29" s="209" t="e">
        <f>X29/X36</f>
        <v>#DIV/0!</v>
      </c>
      <c r="AB29" s="370" t="e">
        <f>AA29+AA30</f>
        <v>#DIV/0!</v>
      </c>
      <c r="AC29" s="166"/>
    </row>
    <row r="30" spans="2:29" ht="20.25" customHeight="1">
      <c r="B30" s="211" t="s">
        <v>26</v>
      </c>
      <c r="C30" s="208">
        <f>COUNTIFS('1. All Data'!$AB$3:$AB$136,"Environment and climate change",'1. All Data'!$H$3:$H$136,"Off Target")</f>
        <v>0</v>
      </c>
      <c r="D30" s="209">
        <f>C30/C35</f>
        <v>0</v>
      </c>
      <c r="E30" s="390"/>
      <c r="F30" s="210">
        <f>C30/C36</f>
        <v>0</v>
      </c>
      <c r="G30" s="391"/>
      <c r="I30" s="211" t="s">
        <v>26</v>
      </c>
      <c r="J30" s="208">
        <f>COUNTIFS('1. All Data'!$AB$3:$AB$136,"Environment and Climate Change",'1. All Data'!$M$3:$M$136,"Off Target")</f>
        <v>0</v>
      </c>
      <c r="K30" s="209" t="e">
        <f>J30/J35</f>
        <v>#DIV/0!</v>
      </c>
      <c r="L30" s="390"/>
      <c r="M30" s="210" t="e">
        <f>J30/J36</f>
        <v>#DIV/0!</v>
      </c>
      <c r="N30" s="391"/>
      <c r="P30" s="211" t="s">
        <v>26</v>
      </c>
      <c r="Q30" s="208">
        <f>COUNTIFS('1. All Data'!$AB$3:$AB$136,"Environment and Climate Change",'1. All Data'!$R$3:$R$136,"Off Target")</f>
        <v>0</v>
      </c>
      <c r="R30" s="209" t="e">
        <f>Q30/Q35</f>
        <v>#DIV/0!</v>
      </c>
      <c r="S30" s="390"/>
      <c r="T30" s="210" t="e">
        <f>Q30/Q36</f>
        <v>#DIV/0!</v>
      </c>
      <c r="U30" s="391"/>
      <c r="W30" s="171" t="s">
        <v>26</v>
      </c>
      <c r="X30" s="208">
        <f>COUNTIFS('1. All Data'!$AB$3:$AB$136,"Environment and Climate Change",'1. All Data'!$V$3:$V$136,"Off Target")</f>
        <v>0</v>
      </c>
      <c r="Y30" s="209" t="e">
        <f>X30/X35</f>
        <v>#DIV/0!</v>
      </c>
      <c r="Z30" s="390"/>
      <c r="AA30" s="209" t="e">
        <f>X30/X36</f>
        <v>#DIV/0!</v>
      </c>
      <c r="AB30" s="370"/>
      <c r="AC30" s="166"/>
    </row>
    <row r="31" spans="2:29" ht="15" customHeight="1">
      <c r="B31" s="212" t="s">
        <v>49</v>
      </c>
      <c r="C31" s="208">
        <f>COUNTIFS('1. All Data'!$AB$3:$AB$136,"Environment and climate change",'1. All Data'!$H$3:$H$136,"Not yet due")</f>
        <v>16</v>
      </c>
      <c r="D31" s="213">
        <f>C31/C35</f>
        <v>0.47058823529411764</v>
      </c>
      <c r="E31" s="213">
        <f>D31</f>
        <v>0.47058823529411764</v>
      </c>
      <c r="F31" s="214"/>
      <c r="G31" s="58"/>
      <c r="I31" s="212" t="s">
        <v>49</v>
      </c>
      <c r="J31" s="208">
        <f>COUNTIFS('1. All Data'!$AB$3:$AB$136,"Environment and Climate Change",'1. All Data'!$M$3:$M$136,"Not yet due")</f>
        <v>0</v>
      </c>
      <c r="K31" s="213" t="e">
        <f>J31/J35</f>
        <v>#DIV/0!</v>
      </c>
      <c r="L31" s="213" t="e">
        <f>K31</f>
        <v>#DIV/0!</v>
      </c>
      <c r="M31" s="214"/>
      <c r="N31" s="58"/>
      <c r="P31" s="212" t="s">
        <v>49</v>
      </c>
      <c r="Q31" s="208">
        <f>COUNTIFS('1. All Data'!$AB$3:$AB$136,"Environment and Climate Change",'1. All Data'!$R$3:$R$136,"Not yet due")</f>
        <v>0</v>
      </c>
      <c r="R31" s="213" t="e">
        <f>Q31/Q35</f>
        <v>#DIV/0!</v>
      </c>
      <c r="S31" s="213" t="e">
        <f>R31</f>
        <v>#DIV/0!</v>
      </c>
      <c r="T31" s="214"/>
      <c r="U31" s="58"/>
      <c r="W31" s="172" t="s">
        <v>49</v>
      </c>
      <c r="X31" s="208">
        <f>COUNTIFS('1. All Data'!$AB$3:$AB$136,"Environment and Climate Change",'1. All Data'!$V$3:$V$136,"Not yet due")</f>
        <v>0</v>
      </c>
      <c r="Y31" s="213" t="e">
        <f>X31/X35</f>
        <v>#DIV/0!</v>
      </c>
      <c r="Z31" s="213" t="e">
        <f>Y31</f>
        <v>#DIV/0!</v>
      </c>
      <c r="AA31" s="174"/>
      <c r="AB31" s="58"/>
      <c r="AC31" s="166"/>
    </row>
    <row r="32" spans="2:29" ht="15" customHeight="1">
      <c r="B32" s="212" t="s">
        <v>21</v>
      </c>
      <c r="C32" s="208">
        <f>COUNTIFS('1. All Data'!$AB$3:$AB$136,"Environment and climate change",'1. All Data'!$H$3:$H$136,"Update not provided")</f>
        <v>0</v>
      </c>
      <c r="D32" s="213">
        <f>C32/C35</f>
        <v>0</v>
      </c>
      <c r="E32" s="213">
        <f>D32</f>
        <v>0</v>
      </c>
      <c r="F32" s="214"/>
      <c r="G32" s="2"/>
      <c r="I32" s="212" t="s">
        <v>21</v>
      </c>
      <c r="J32" s="208">
        <f>COUNTIFS('1. All Data'!$AB$3:$AB$136,"Environment and Climate Change",'1. All Data'!$M$3:$M$136,"Update not provided")</f>
        <v>0</v>
      </c>
      <c r="K32" s="213" t="e">
        <f>J32/J35</f>
        <v>#DIV/0!</v>
      </c>
      <c r="L32" s="213" t="e">
        <f>K32</f>
        <v>#DIV/0!</v>
      </c>
      <c r="M32" s="214"/>
      <c r="N32" s="2"/>
      <c r="P32" s="212" t="s">
        <v>21</v>
      </c>
      <c r="Q32" s="208">
        <f>COUNTIFS('1. All Data'!$AB$3:$AB$136,"Environment and Climate Change",'1. All Data'!$R$3:$R$136,"Update not provided")</f>
        <v>0</v>
      </c>
      <c r="R32" s="213" t="e">
        <f>Q32/Q35</f>
        <v>#DIV/0!</v>
      </c>
      <c r="S32" s="213" t="e">
        <f>R32</f>
        <v>#DIV/0!</v>
      </c>
      <c r="T32" s="214"/>
      <c r="U32" s="2"/>
      <c r="W32" s="172" t="s">
        <v>21</v>
      </c>
      <c r="X32" s="208">
        <f>COUNTIFS('1. All Data'!$AB$3:$AB$136,"Environment and Climate Change",'1. All Data'!$V$3:$V$136,"Update not provided")</f>
        <v>0</v>
      </c>
      <c r="Y32" s="213" t="e">
        <f>X32/X35</f>
        <v>#DIV/0!</v>
      </c>
      <c r="Z32" s="213" t="e">
        <f>Y32</f>
        <v>#DIV/0!</v>
      </c>
      <c r="AA32" s="174"/>
      <c r="AB32" s="2"/>
      <c r="AC32" s="166"/>
    </row>
    <row r="33" spans="2:29" ht="15.75" customHeight="1">
      <c r="B33" s="215" t="s">
        <v>29</v>
      </c>
      <c r="C33" s="208">
        <f>COUNTIFS('1. All Data'!$AB$3:$AB$136,"Environment and climate change",'1. All Data'!$H$3:$H$136,"Deferred")</f>
        <v>0</v>
      </c>
      <c r="D33" s="216">
        <f>C33/C35</f>
        <v>0</v>
      </c>
      <c r="E33" s="216">
        <f>D33</f>
        <v>0</v>
      </c>
      <c r="F33" s="217"/>
      <c r="G33" s="58"/>
      <c r="I33" s="215" t="s">
        <v>29</v>
      </c>
      <c r="J33" s="208">
        <f>COUNTIFS('1. All Data'!$AB$3:$AB$136,"Environment and Climate Change",'1. All Data'!$M$3:$M$136,"Deferred")</f>
        <v>0</v>
      </c>
      <c r="K33" s="216" t="e">
        <f>J33/J35</f>
        <v>#DIV/0!</v>
      </c>
      <c r="L33" s="216" t="e">
        <f>K33</f>
        <v>#DIV/0!</v>
      </c>
      <c r="M33" s="217"/>
      <c r="N33" s="58"/>
      <c r="P33" s="215" t="s">
        <v>29</v>
      </c>
      <c r="Q33" s="208">
        <f>COUNTIFS('1. All Data'!$AB$3:$AB$136,"Environment and Climate Change",'1. All Data'!$R$3:$R$136,"Deferred")</f>
        <v>0</v>
      </c>
      <c r="R33" s="216" t="e">
        <f>Q33/Q35</f>
        <v>#DIV/0!</v>
      </c>
      <c r="S33" s="216" t="e">
        <f>R33</f>
        <v>#DIV/0!</v>
      </c>
      <c r="T33" s="217"/>
      <c r="U33" s="58"/>
      <c r="W33" s="175" t="s">
        <v>29</v>
      </c>
      <c r="X33" s="208">
        <f>COUNTIFS('1. All Data'!$AB$3:$AB$136,"Environment and Climate Change",'1. All Data'!$V$3:$V$136,"Deferred")</f>
        <v>0</v>
      </c>
      <c r="Y33" s="216" t="e">
        <f>X33/X35</f>
        <v>#DIV/0!</v>
      </c>
      <c r="Z33" s="216" t="e">
        <f>Y33</f>
        <v>#DIV/0!</v>
      </c>
      <c r="AA33" s="177"/>
      <c r="AB33" s="58"/>
      <c r="AC33" s="166"/>
    </row>
    <row r="34" spans="2:29" ht="15.75" customHeight="1">
      <c r="B34" s="215" t="s">
        <v>30</v>
      </c>
      <c r="C34" s="208">
        <f>COUNTIFS('1. All Data'!$AB$3:$AB$136,"Environment and climate change",'1. All Data'!$H$3:$H$136,"Deleted")</f>
        <v>0</v>
      </c>
      <c r="D34" s="216">
        <f>C34/C35</f>
        <v>0</v>
      </c>
      <c r="E34" s="216">
        <f>D34</f>
        <v>0</v>
      </c>
      <c r="F34" s="217"/>
      <c r="G34" s="29"/>
      <c r="I34" s="215" t="s">
        <v>30</v>
      </c>
      <c r="J34" s="208">
        <f>COUNTIFS('1. All Data'!$AB$3:$AB$136,"Environment and Climate Change",'1. All Data'!$M$3:$M$136,"Deleted")</f>
        <v>0</v>
      </c>
      <c r="K34" s="216" t="e">
        <f>J34/J35</f>
        <v>#DIV/0!</v>
      </c>
      <c r="L34" s="216" t="e">
        <f>K34</f>
        <v>#DIV/0!</v>
      </c>
      <c r="M34" s="217"/>
      <c r="N34" s="29"/>
      <c r="P34" s="215" t="s">
        <v>30</v>
      </c>
      <c r="Q34" s="208">
        <f>COUNTIFS('1. All Data'!$AB$3:$AB$136,"Environment and Climate Change",'1. All Data'!$R$3:$R$136,"Deleted")</f>
        <v>0</v>
      </c>
      <c r="R34" s="216" t="e">
        <f>Q34/Q35</f>
        <v>#DIV/0!</v>
      </c>
      <c r="S34" s="216" t="e">
        <f>R34</f>
        <v>#DIV/0!</v>
      </c>
      <c r="T34" s="217"/>
      <c r="U34" s="29"/>
      <c r="W34" s="175" t="s">
        <v>30</v>
      </c>
      <c r="X34" s="208">
        <f>COUNTIFS('1. All Data'!$AB$3:$AB$136,"Environment and Climate Change",'1. All Data'!$V$3:$V$136,"Deleted")</f>
        <v>0</v>
      </c>
      <c r="Y34" s="216" t="e">
        <f>X34/X35</f>
        <v>#DIV/0!</v>
      </c>
      <c r="Z34" s="216" t="e">
        <f>Y34</f>
        <v>#DIV/0!</v>
      </c>
      <c r="AA34" s="177"/>
      <c r="AB34" s="3"/>
      <c r="AC34" s="166"/>
    </row>
    <row r="35" spans="2:29" ht="15.75" customHeight="1">
      <c r="B35" s="218" t="s">
        <v>51</v>
      </c>
      <c r="C35" s="219">
        <f>SUM(C24:C34)</f>
        <v>34</v>
      </c>
      <c r="D35" s="177"/>
      <c r="E35" s="177"/>
      <c r="F35" s="220"/>
      <c r="G35" s="58"/>
      <c r="I35" s="218" t="s">
        <v>51</v>
      </c>
      <c r="J35" s="219">
        <f>SUM(J24:J34)</f>
        <v>0</v>
      </c>
      <c r="K35" s="177"/>
      <c r="L35" s="177"/>
      <c r="M35" s="220"/>
      <c r="N35" s="58"/>
      <c r="P35" s="218" t="s">
        <v>51</v>
      </c>
      <c r="Q35" s="219">
        <f>SUM(Q24:Q34)</f>
        <v>0</v>
      </c>
      <c r="R35" s="177"/>
      <c r="S35" s="177"/>
      <c r="T35" s="220"/>
      <c r="U35" s="58"/>
      <c r="W35" s="178" t="s">
        <v>51</v>
      </c>
      <c r="X35" s="219">
        <f>SUM(X24:X34)</f>
        <v>0</v>
      </c>
      <c r="Y35" s="177"/>
      <c r="Z35" s="177"/>
      <c r="AA35" s="58"/>
      <c r="AB35" s="58"/>
      <c r="AC35" s="166"/>
    </row>
    <row r="36" spans="2:29" ht="15.75" customHeight="1">
      <c r="B36" s="218" t="s">
        <v>52</v>
      </c>
      <c r="C36" s="219">
        <f>C35-C34-C33-C32-C31</f>
        <v>18</v>
      </c>
      <c r="D36" s="58"/>
      <c r="E36" s="58"/>
      <c r="F36" s="220"/>
      <c r="G36" s="58"/>
      <c r="I36" s="218" t="s">
        <v>52</v>
      </c>
      <c r="J36" s="219">
        <f>J35-J34-J33-J32-J31</f>
        <v>0</v>
      </c>
      <c r="K36" s="58"/>
      <c r="L36" s="58"/>
      <c r="M36" s="220"/>
      <c r="N36" s="58"/>
      <c r="P36" s="218" t="s">
        <v>52</v>
      </c>
      <c r="Q36" s="219">
        <f>Q35-Q34-Q33-Q32-Q31</f>
        <v>0</v>
      </c>
      <c r="R36" s="58"/>
      <c r="S36" s="58"/>
      <c r="T36" s="220"/>
      <c r="U36" s="58"/>
      <c r="W36" s="178" t="s">
        <v>52</v>
      </c>
      <c r="X36" s="219">
        <f>X35-X34-X33-X32-X31</f>
        <v>0</v>
      </c>
      <c r="Y36" s="58"/>
      <c r="Z36" s="58"/>
      <c r="AA36" s="58"/>
      <c r="AB36" s="58"/>
      <c r="AC36" s="166"/>
    </row>
    <row r="37" spans="2:29" ht="15.75" customHeight="1">
      <c r="W37" s="180"/>
      <c r="AA37" s="2"/>
      <c r="AC37" s="166"/>
    </row>
    <row r="38" spans="2:29" ht="15.75" customHeight="1">
      <c r="W38" s="165"/>
      <c r="X38" s="165"/>
      <c r="Y38" s="165"/>
      <c r="Z38" s="165"/>
      <c r="AA38" s="165"/>
      <c r="AB38" s="186"/>
      <c r="AC38" s="166"/>
    </row>
    <row r="39" spans="2:29" s="166" customFormat="1" ht="15.75" customHeight="1">
      <c r="B39" s="187"/>
      <c r="C39" s="165"/>
      <c r="D39" s="165"/>
      <c r="E39" s="165"/>
      <c r="F39" s="220"/>
      <c r="G39" s="165"/>
      <c r="I39" s="187"/>
      <c r="J39" s="165"/>
      <c r="K39" s="165"/>
      <c r="L39" s="165"/>
      <c r="M39" s="220"/>
      <c r="N39" s="165"/>
      <c r="P39" s="187"/>
      <c r="Q39" s="165"/>
      <c r="R39" s="165"/>
      <c r="S39" s="165"/>
      <c r="T39" s="220"/>
      <c r="U39" s="165"/>
      <c r="W39" s="221"/>
      <c r="X39" s="58"/>
      <c r="Y39" s="58"/>
      <c r="Z39" s="58"/>
      <c r="AA39" s="58"/>
      <c r="AB39" s="177"/>
    </row>
    <row r="40" spans="2:29" s="166" customFormat="1" ht="15.75" customHeight="1">
      <c r="B40" s="203" t="s">
        <v>215</v>
      </c>
      <c r="C40" s="204"/>
      <c r="D40" s="204"/>
      <c r="E40" s="204"/>
      <c r="F40" s="205"/>
      <c r="G40" s="204"/>
      <c r="I40" s="203" t="s">
        <v>215</v>
      </c>
      <c r="J40" s="204"/>
      <c r="K40" s="204"/>
      <c r="L40" s="204"/>
      <c r="M40" s="205"/>
      <c r="N40" s="204"/>
      <c r="P40" s="203" t="s">
        <v>215</v>
      </c>
      <c r="Q40" s="204"/>
      <c r="R40" s="204"/>
      <c r="S40" s="204"/>
      <c r="T40" s="205"/>
      <c r="U40" s="204"/>
      <c r="W40" s="203" t="s">
        <v>215</v>
      </c>
      <c r="X40" s="204"/>
      <c r="Y40" s="204"/>
      <c r="Z40" s="204"/>
      <c r="AA40" s="205"/>
      <c r="AB40" s="204"/>
    </row>
    <row r="41" spans="2:29" ht="36" customHeight="1">
      <c r="B41" s="206" t="s">
        <v>42</v>
      </c>
      <c r="C41" s="207" t="s">
        <v>43</v>
      </c>
      <c r="D41" s="207" t="s">
        <v>44</v>
      </c>
      <c r="E41" s="207" t="s">
        <v>45</v>
      </c>
      <c r="F41" s="206" t="s">
        <v>46</v>
      </c>
      <c r="G41" s="207" t="s">
        <v>47</v>
      </c>
      <c r="I41" s="206" t="s">
        <v>42</v>
      </c>
      <c r="J41" s="207" t="s">
        <v>43</v>
      </c>
      <c r="K41" s="207" t="s">
        <v>44</v>
      </c>
      <c r="L41" s="207" t="s">
        <v>45</v>
      </c>
      <c r="M41" s="206" t="s">
        <v>46</v>
      </c>
      <c r="N41" s="207" t="s">
        <v>47</v>
      </c>
      <c r="P41" s="206" t="s">
        <v>42</v>
      </c>
      <c r="Q41" s="207" t="s">
        <v>43</v>
      </c>
      <c r="R41" s="207" t="s">
        <v>44</v>
      </c>
      <c r="S41" s="207" t="s">
        <v>45</v>
      </c>
      <c r="T41" s="206" t="s">
        <v>46</v>
      </c>
      <c r="U41" s="207" t="s">
        <v>47</v>
      </c>
      <c r="W41" s="164" t="s">
        <v>42</v>
      </c>
      <c r="X41" s="164" t="s">
        <v>43</v>
      </c>
      <c r="Y41" s="164" t="s">
        <v>44</v>
      </c>
      <c r="Z41" s="164" t="s">
        <v>45</v>
      </c>
      <c r="AA41" s="164" t="s">
        <v>46</v>
      </c>
      <c r="AB41" s="164" t="s">
        <v>47</v>
      </c>
      <c r="AC41" s="166"/>
    </row>
    <row r="42" spans="2:29" ht="18.75" customHeight="1">
      <c r="B42" s="228" t="s">
        <v>48</v>
      </c>
      <c r="C42" s="208">
        <f>COUNTIFS('1. All Data'!$AB$3:$AB$136,"Finance and treasury management",'1. All Data'!$H$3:$H$136,"Fully Achieved")</f>
        <v>0</v>
      </c>
      <c r="D42" s="209">
        <f>C42/C53</f>
        <v>0</v>
      </c>
      <c r="E42" s="390">
        <f>D42+D43</f>
        <v>0.69230769230769229</v>
      </c>
      <c r="F42" s="210">
        <f>C42/C54</f>
        <v>0</v>
      </c>
      <c r="G42" s="392">
        <f>F42+F43</f>
        <v>1</v>
      </c>
      <c r="I42" s="228" t="s">
        <v>48</v>
      </c>
      <c r="J42" s="208">
        <f>COUNTIFS('1. All Data'!$AB$3:$AB$136,"Finance and Treasury Management",'1. All Data'!$M$3:$M$136,"Fully Achieved")</f>
        <v>0</v>
      </c>
      <c r="K42" s="209" t="e">
        <f>J42/J53</f>
        <v>#DIV/0!</v>
      </c>
      <c r="L42" s="390" t="e">
        <f>K42+K43</f>
        <v>#DIV/0!</v>
      </c>
      <c r="M42" s="210" t="e">
        <f>J42/J54</f>
        <v>#DIV/0!</v>
      </c>
      <c r="N42" s="392" t="e">
        <f>M42+M43</f>
        <v>#DIV/0!</v>
      </c>
      <c r="P42" s="228" t="s">
        <v>48</v>
      </c>
      <c r="Q42" s="208">
        <f>COUNTIFS('1. All Data'!$AB$3:$AB$136,"Finance and Treasury Management",'1. All Data'!$R$3:$R$136,"Fully Achieved")</f>
        <v>0</v>
      </c>
      <c r="R42" s="209" t="e">
        <f>Q42/Q53</f>
        <v>#DIV/0!</v>
      </c>
      <c r="S42" s="390" t="e">
        <f>R42+R43</f>
        <v>#DIV/0!</v>
      </c>
      <c r="T42" s="210" t="e">
        <f>Q42/Q54</f>
        <v>#DIV/0!</v>
      </c>
      <c r="U42" s="392" t="e">
        <f>T42+T43</f>
        <v>#DIV/0!</v>
      </c>
      <c r="W42" s="228" t="s">
        <v>48</v>
      </c>
      <c r="X42" s="208">
        <f>COUNTIFS('1. All Data'!$AB$3:$AB$136,"Finance and Treasury Management",'1. All Data'!$V$3:$V$136,"Fully Achieved")</f>
        <v>0</v>
      </c>
      <c r="Y42" s="209" t="e">
        <f>X42/X53</f>
        <v>#DIV/0!</v>
      </c>
      <c r="Z42" s="390" t="e">
        <f>Y42+Y43</f>
        <v>#DIV/0!</v>
      </c>
      <c r="AA42" s="209" t="e">
        <f>X42/X54</f>
        <v>#DIV/0!</v>
      </c>
      <c r="AB42" s="371" t="e">
        <f>AA42+AA43</f>
        <v>#DIV/0!</v>
      </c>
      <c r="AC42" s="166"/>
    </row>
    <row r="43" spans="2:29" ht="18.75" customHeight="1">
      <c r="B43" s="228" t="s">
        <v>31</v>
      </c>
      <c r="C43" s="208">
        <f>COUNTIFS('1. All Data'!$AB$3:$AB$136,"Finance and treasury management",'1. All Data'!$H$3:$H$136,"On Track to be Achieved")</f>
        <v>9</v>
      </c>
      <c r="D43" s="209">
        <f>C43/C53</f>
        <v>0.69230769230769229</v>
      </c>
      <c r="E43" s="390"/>
      <c r="F43" s="210">
        <f>C43/C54</f>
        <v>1</v>
      </c>
      <c r="G43" s="392"/>
      <c r="I43" s="228" t="s">
        <v>31</v>
      </c>
      <c r="J43" s="208">
        <f>COUNTIFS('1. All Data'!$AB$3:$AB$136,"Finance and Treasury Management",'1. All Data'!$M$3:$M$136,"On Track to be Achieved")</f>
        <v>0</v>
      </c>
      <c r="K43" s="209" t="e">
        <f>J43/J53</f>
        <v>#DIV/0!</v>
      </c>
      <c r="L43" s="390"/>
      <c r="M43" s="210" t="e">
        <f>J43/J54</f>
        <v>#DIV/0!</v>
      </c>
      <c r="N43" s="392"/>
      <c r="P43" s="228" t="s">
        <v>31</v>
      </c>
      <c r="Q43" s="208">
        <f>COUNTIFS('1. All Data'!$AB$3:$AB$136,"Finance and Treasury Management",'1. All Data'!$R$3:$R$136,"On Track to be Achieved")</f>
        <v>0</v>
      </c>
      <c r="R43" s="209" t="e">
        <f>Q43/Q53</f>
        <v>#DIV/0!</v>
      </c>
      <c r="S43" s="390"/>
      <c r="T43" s="210" t="e">
        <f>Q43/Q54</f>
        <v>#DIV/0!</v>
      </c>
      <c r="U43" s="392"/>
      <c r="W43" s="228" t="s">
        <v>23</v>
      </c>
      <c r="X43" s="208">
        <f>COUNTIFS('1. All Data'!$AB$3:$AB$136,"Finance and Treasury Management",'1. All Data'!$V$3:$V$136,"Numerical Outturn Within 5% Tolerance")</f>
        <v>0</v>
      </c>
      <c r="Y43" s="209" t="e">
        <f>X43/X53</f>
        <v>#DIV/0!</v>
      </c>
      <c r="Z43" s="390"/>
      <c r="AA43" s="209" t="e">
        <f>X43/X54</f>
        <v>#DIV/0!</v>
      </c>
      <c r="AB43" s="371"/>
      <c r="AC43" s="166"/>
    </row>
    <row r="44" spans="2:29" ht="16.5" customHeight="1">
      <c r="B44" s="402" t="s">
        <v>32</v>
      </c>
      <c r="C44" s="405">
        <f>COUNTIFS('1. All Data'!$AB$3:$AB$136,"Finance and treasury management",'1. All Data'!$H$3:$H$136,"In Danger of Falling Behind Target")</f>
        <v>0</v>
      </c>
      <c r="D44" s="393">
        <f>C44/C53</f>
        <v>0</v>
      </c>
      <c r="E44" s="393">
        <f>D44</f>
        <v>0</v>
      </c>
      <c r="F44" s="396">
        <f>C44/C54</f>
        <v>0</v>
      </c>
      <c r="G44" s="399">
        <f>F44</f>
        <v>0</v>
      </c>
      <c r="I44" s="402" t="s">
        <v>32</v>
      </c>
      <c r="J44" s="405">
        <f>COUNTIFS('1. All Data'!$AB$3:$AB$136,"Finance and Treasury Management",'1. All Data'!$M$3:$M$136,"In Danger of Falling Behind Target")</f>
        <v>0</v>
      </c>
      <c r="K44" s="393" t="e">
        <f>J44/J53</f>
        <v>#DIV/0!</v>
      </c>
      <c r="L44" s="393" t="e">
        <f>K44</f>
        <v>#DIV/0!</v>
      </c>
      <c r="M44" s="396" t="e">
        <f>J44/J54</f>
        <v>#DIV/0!</v>
      </c>
      <c r="N44" s="399" t="e">
        <f>M44</f>
        <v>#DIV/0!</v>
      </c>
      <c r="P44" s="402" t="s">
        <v>32</v>
      </c>
      <c r="Q44" s="405">
        <f>COUNTIFS('1. All Data'!$AB$3:$AB$136,"Finance and Treasury Management",'1. All Data'!$R$3:$R$136,"In Danger of Falling Behind Target")</f>
        <v>0</v>
      </c>
      <c r="R44" s="393" t="e">
        <f>Q44/Q53</f>
        <v>#DIV/0!</v>
      </c>
      <c r="S44" s="393" t="e">
        <f>R44</f>
        <v>#DIV/0!</v>
      </c>
      <c r="T44" s="396" t="e">
        <f>Q44/Q54</f>
        <v>#DIV/0!</v>
      </c>
      <c r="U44" s="399" t="e">
        <f>T44</f>
        <v>#DIV/0!</v>
      </c>
      <c r="W44" s="169" t="s">
        <v>24</v>
      </c>
      <c r="X44" s="170">
        <f>COUNTIFS('1. All Data'!$AB$3:$AB$136,"Finance and Treasury Management",'1. All Data'!$V$3:$V$136,"Numerical Outturn Within 10% Tolerance")</f>
        <v>0</v>
      </c>
      <c r="Y44" s="168" t="e">
        <f>X44/X53</f>
        <v>#DIV/0!</v>
      </c>
      <c r="Z44" s="369" t="e">
        <f>SUM(Y44:Y46)</f>
        <v>#DIV/0!</v>
      </c>
      <c r="AA44" s="168" t="e">
        <f>X44/X54</f>
        <v>#DIV/0!</v>
      </c>
      <c r="AB44" s="378" t="e">
        <f>SUM(AA44:AA46)</f>
        <v>#DIV/0!</v>
      </c>
      <c r="AC44" s="166"/>
    </row>
    <row r="45" spans="2:29" ht="16.5" customHeight="1">
      <c r="B45" s="403"/>
      <c r="C45" s="406"/>
      <c r="D45" s="394"/>
      <c r="E45" s="394"/>
      <c r="F45" s="397"/>
      <c r="G45" s="400"/>
      <c r="I45" s="403"/>
      <c r="J45" s="406"/>
      <c r="K45" s="394"/>
      <c r="L45" s="394"/>
      <c r="M45" s="397"/>
      <c r="N45" s="400"/>
      <c r="P45" s="403"/>
      <c r="Q45" s="406"/>
      <c r="R45" s="394"/>
      <c r="S45" s="394"/>
      <c r="T45" s="397"/>
      <c r="U45" s="400"/>
      <c r="W45" s="169" t="s">
        <v>25</v>
      </c>
      <c r="X45" s="170">
        <f>COUNTIFS('1. All Data'!$AB$3:$AB$136,"Finance and Treasury Management",'1. All Data'!$V$3:$V$136,"Target Partially Met")</f>
        <v>0</v>
      </c>
      <c r="Y45" s="168" t="e">
        <f>X45/X53</f>
        <v>#DIV/0!</v>
      </c>
      <c r="Z45" s="369"/>
      <c r="AA45" s="168" t="e">
        <f>X45/X54</f>
        <v>#DIV/0!</v>
      </c>
      <c r="AB45" s="378"/>
      <c r="AC45" s="166"/>
    </row>
    <row r="46" spans="2:29" ht="16.5" customHeight="1">
      <c r="B46" s="404"/>
      <c r="C46" s="407"/>
      <c r="D46" s="395"/>
      <c r="E46" s="395"/>
      <c r="F46" s="398"/>
      <c r="G46" s="401"/>
      <c r="I46" s="404"/>
      <c r="J46" s="407"/>
      <c r="K46" s="395"/>
      <c r="L46" s="395"/>
      <c r="M46" s="398"/>
      <c r="N46" s="401"/>
      <c r="P46" s="404"/>
      <c r="Q46" s="407"/>
      <c r="R46" s="395"/>
      <c r="S46" s="395"/>
      <c r="T46" s="398"/>
      <c r="U46" s="401"/>
      <c r="W46" s="169" t="s">
        <v>28</v>
      </c>
      <c r="X46" s="170">
        <f>COUNTIFS('1. All Data'!$AB$3:$AB$136,"Finance and Treasury Management",'1. All Data'!$V$3:$V$136,"Completion Date Within Reasonable Tolerance")</f>
        <v>0</v>
      </c>
      <c r="Y46" s="168" t="e">
        <f>X46/X53</f>
        <v>#DIV/0!</v>
      </c>
      <c r="Z46" s="369"/>
      <c r="AA46" s="168" t="e">
        <f>X46/X54</f>
        <v>#DIV/0!</v>
      </c>
      <c r="AB46" s="378"/>
      <c r="AC46" s="166"/>
    </row>
    <row r="47" spans="2:29" ht="22.5" customHeight="1">
      <c r="B47" s="211" t="s">
        <v>33</v>
      </c>
      <c r="C47" s="208">
        <f>COUNTIFS('1. All Data'!$AB$3:$AB$136,"Finance and treasury management",'1. All Data'!$H$3:$H$136,"Completed Behind Schedule")</f>
        <v>0</v>
      </c>
      <c r="D47" s="209">
        <f>C47/C53</f>
        <v>0</v>
      </c>
      <c r="E47" s="390">
        <f>D47+D48</f>
        <v>0</v>
      </c>
      <c r="F47" s="210">
        <f>C47/C54</f>
        <v>0</v>
      </c>
      <c r="G47" s="391">
        <f>F47+F48</f>
        <v>0</v>
      </c>
      <c r="I47" s="211" t="s">
        <v>33</v>
      </c>
      <c r="J47" s="208">
        <f>COUNTIFS('1. All Data'!$AB$3:$AB$136,"Finance and Treasury Management",'1. All Data'!$M$3:$M$136,"Completed Behind Schedule")</f>
        <v>0</v>
      </c>
      <c r="K47" s="209" t="e">
        <f>J47/J53</f>
        <v>#DIV/0!</v>
      </c>
      <c r="L47" s="390" t="e">
        <f>K47+K48</f>
        <v>#DIV/0!</v>
      </c>
      <c r="M47" s="210" t="e">
        <f>J47/J54</f>
        <v>#DIV/0!</v>
      </c>
      <c r="N47" s="391" t="e">
        <f>M47+M48</f>
        <v>#DIV/0!</v>
      </c>
      <c r="P47" s="211" t="s">
        <v>33</v>
      </c>
      <c r="Q47" s="208">
        <f>COUNTIFS('1. All Data'!$AB$3:$AB$136,"Finance and Treasury Management",'1. All Data'!$R$3:$R$136,"Completed Behind Schedule")</f>
        <v>0</v>
      </c>
      <c r="R47" s="209" t="e">
        <f>Q47/Q53</f>
        <v>#DIV/0!</v>
      </c>
      <c r="S47" s="390" t="e">
        <f>R47+R48</f>
        <v>#DIV/0!</v>
      </c>
      <c r="T47" s="210" t="e">
        <f>Q47/Q54</f>
        <v>#DIV/0!</v>
      </c>
      <c r="U47" s="391" t="e">
        <f>T47+T48</f>
        <v>#DIV/0!</v>
      </c>
      <c r="W47" s="171" t="s">
        <v>27</v>
      </c>
      <c r="X47" s="208">
        <f>COUNTIFS('1. All Data'!$AB$3:$AB$136,"Finance and Treasury Management",'1. All Data'!$V$3:$V$136,"Completed Significantly After Target Deadline")</f>
        <v>0</v>
      </c>
      <c r="Y47" s="209" t="e">
        <f>X47/X53</f>
        <v>#DIV/0!</v>
      </c>
      <c r="Z47" s="390" t="e">
        <f>Y47+Y48</f>
        <v>#DIV/0!</v>
      </c>
      <c r="AA47" s="209" t="e">
        <f>X47/X54</f>
        <v>#DIV/0!</v>
      </c>
      <c r="AB47" s="370" t="e">
        <f>AA47+AA48</f>
        <v>#DIV/0!</v>
      </c>
      <c r="AC47" s="166"/>
    </row>
    <row r="48" spans="2:29" ht="22.5" customHeight="1">
      <c r="B48" s="211" t="s">
        <v>26</v>
      </c>
      <c r="C48" s="208">
        <f>COUNTIFS('1. All Data'!$AB$3:$AB$136,"Finance and treasury management",'1. All Data'!$H$3:$H$136,"Off Target")</f>
        <v>0</v>
      </c>
      <c r="D48" s="209">
        <f>C48/C53</f>
        <v>0</v>
      </c>
      <c r="E48" s="390"/>
      <c r="F48" s="210">
        <f>C48/C54</f>
        <v>0</v>
      </c>
      <c r="G48" s="391"/>
      <c r="I48" s="211" t="s">
        <v>26</v>
      </c>
      <c r="J48" s="208">
        <f>COUNTIFS('1. All Data'!$AB$3:$AB$136,"Finance and Treasury Management",'1. All Data'!$M$3:$M$136,"Off Target")</f>
        <v>0</v>
      </c>
      <c r="K48" s="209" t="e">
        <f>J48/J53</f>
        <v>#DIV/0!</v>
      </c>
      <c r="L48" s="390"/>
      <c r="M48" s="210" t="e">
        <f>J48/J54</f>
        <v>#DIV/0!</v>
      </c>
      <c r="N48" s="391"/>
      <c r="P48" s="211" t="s">
        <v>26</v>
      </c>
      <c r="Q48" s="208">
        <f>COUNTIFS('1. All Data'!$AB$3:$AB$136,"Finance and Treasury Management",'1. All Data'!$R$3:$R$136,"Off Target")</f>
        <v>0</v>
      </c>
      <c r="R48" s="209" t="e">
        <f>Q48/Q53</f>
        <v>#DIV/0!</v>
      </c>
      <c r="S48" s="390"/>
      <c r="T48" s="210" t="e">
        <f>Q48/Q54</f>
        <v>#DIV/0!</v>
      </c>
      <c r="U48" s="391"/>
      <c r="W48" s="171" t="s">
        <v>26</v>
      </c>
      <c r="X48" s="208">
        <f>COUNTIFS('1. All Data'!$AB$3:$AB$136,"Finance and Treasury Management",'1. All Data'!$V$3:$V$136,"Off Target")</f>
        <v>0</v>
      </c>
      <c r="Y48" s="209" t="e">
        <f>X48/X53</f>
        <v>#DIV/0!</v>
      </c>
      <c r="Z48" s="390"/>
      <c r="AA48" s="209" t="e">
        <f>X48/X54</f>
        <v>#DIV/0!</v>
      </c>
      <c r="AB48" s="370"/>
      <c r="AC48" s="166"/>
    </row>
    <row r="49" spans="2:29" ht="15.75" customHeight="1">
      <c r="B49" s="212" t="s">
        <v>49</v>
      </c>
      <c r="C49" s="208">
        <f>COUNTIFS('1. All Data'!$AB$3:$AB$136,"Finance and treasury management",'1. All Data'!$H$3:$H$136,"Not yet due")</f>
        <v>4</v>
      </c>
      <c r="D49" s="213">
        <f>C49/C53</f>
        <v>0.30769230769230771</v>
      </c>
      <c r="E49" s="213">
        <f>D49</f>
        <v>0.30769230769230771</v>
      </c>
      <c r="F49" s="214"/>
      <c r="G49" s="58"/>
      <c r="I49" s="212" t="s">
        <v>49</v>
      </c>
      <c r="J49" s="208">
        <f>COUNTIFS('1. All Data'!$AB$3:$AB$136,"Finance and Treasury Management",'1. All Data'!$M$3:$M$136,"Not yet due")</f>
        <v>0</v>
      </c>
      <c r="K49" s="213" t="e">
        <f>J49/J53</f>
        <v>#DIV/0!</v>
      </c>
      <c r="L49" s="213" t="e">
        <f>K49</f>
        <v>#DIV/0!</v>
      </c>
      <c r="M49" s="214"/>
      <c r="N49" s="58"/>
      <c r="P49" s="212" t="s">
        <v>49</v>
      </c>
      <c r="Q49" s="208">
        <f>COUNTIFS('1. All Data'!$AB$3:$AB$136,"Finance and Treasury Management",'1. All Data'!$R$3:$R$136,"Not yet due")</f>
        <v>0</v>
      </c>
      <c r="R49" s="213" t="e">
        <f>Q49/Q53</f>
        <v>#DIV/0!</v>
      </c>
      <c r="S49" s="213" t="e">
        <f>R49</f>
        <v>#DIV/0!</v>
      </c>
      <c r="T49" s="214"/>
      <c r="U49" s="58"/>
      <c r="W49" s="172" t="s">
        <v>49</v>
      </c>
      <c r="X49" s="208">
        <f>COUNTIFS('1. All Data'!$AB$3:$AB$136,"Finance and Treasury Management",'1. All Data'!$V$3:$V$136,"Not yet due")</f>
        <v>0</v>
      </c>
      <c r="Y49" s="213" t="e">
        <f>X49/X53</f>
        <v>#DIV/0!</v>
      </c>
      <c r="Z49" s="213" t="e">
        <f>Y49</f>
        <v>#DIV/0!</v>
      </c>
      <c r="AA49" s="174"/>
      <c r="AB49" s="58"/>
      <c r="AC49" s="166"/>
    </row>
    <row r="50" spans="2:29" ht="15.75" customHeight="1">
      <c r="B50" s="212" t="s">
        <v>21</v>
      </c>
      <c r="C50" s="208">
        <f>COUNTIFS('1. All Data'!$AB$3:$AB$136,"Finance and treasury management",'1. All Data'!$H$3:$H$136,"Update not provided")</f>
        <v>0</v>
      </c>
      <c r="D50" s="213">
        <f>C50/C53</f>
        <v>0</v>
      </c>
      <c r="E50" s="213">
        <f>D50</f>
        <v>0</v>
      </c>
      <c r="F50" s="214"/>
      <c r="G50" s="2"/>
      <c r="I50" s="212" t="s">
        <v>21</v>
      </c>
      <c r="J50" s="208">
        <f>COUNTIFS('1. All Data'!$AB$3:$AB$136,"Finance and Treasury Management",'1. All Data'!$M$3:$M$136,"Update not provided")</f>
        <v>0</v>
      </c>
      <c r="K50" s="213" t="e">
        <f>J50/J53</f>
        <v>#DIV/0!</v>
      </c>
      <c r="L50" s="213" t="e">
        <f>K50</f>
        <v>#DIV/0!</v>
      </c>
      <c r="M50" s="214"/>
      <c r="N50" s="2"/>
      <c r="P50" s="212" t="s">
        <v>21</v>
      </c>
      <c r="Q50" s="208">
        <f>COUNTIFS('1. All Data'!$AB$3:$AB$136,"Finance and Treasury Management",'1. All Data'!$R$3:$R$136,"Update not provided")</f>
        <v>0</v>
      </c>
      <c r="R50" s="213" t="e">
        <f>Q50/Q53</f>
        <v>#DIV/0!</v>
      </c>
      <c r="S50" s="213" t="e">
        <f>R50</f>
        <v>#DIV/0!</v>
      </c>
      <c r="T50" s="214"/>
      <c r="U50" s="2"/>
      <c r="W50" s="172" t="s">
        <v>21</v>
      </c>
      <c r="X50" s="208">
        <f>COUNTIFS('1. All Data'!$AB$3:$AB$136,"Finance and Treasury Management",'1. All Data'!$V$3:$V$136,"Update not provided")</f>
        <v>0</v>
      </c>
      <c r="Y50" s="213" t="e">
        <f>X50/X53</f>
        <v>#DIV/0!</v>
      </c>
      <c r="Z50" s="213" t="e">
        <f>Y50</f>
        <v>#DIV/0!</v>
      </c>
      <c r="AA50" s="174"/>
      <c r="AB50" s="2"/>
      <c r="AC50" s="166"/>
    </row>
    <row r="51" spans="2:29" ht="15.75" customHeight="1">
      <c r="B51" s="215" t="s">
        <v>29</v>
      </c>
      <c r="C51" s="208">
        <f>COUNTIFS('1. All Data'!$AB$3:$AB$136,"Finance and treasury management",'1. All Data'!$H$3:$H$136,"Deferred")</f>
        <v>0</v>
      </c>
      <c r="D51" s="216">
        <f>C51/C53</f>
        <v>0</v>
      </c>
      <c r="E51" s="216">
        <f>D51</f>
        <v>0</v>
      </c>
      <c r="F51" s="217"/>
      <c r="G51" s="58"/>
      <c r="I51" s="215" t="s">
        <v>29</v>
      </c>
      <c r="J51" s="208">
        <f>COUNTIFS('1. All Data'!$AB$3:$AB$136,"Finance and Treasury Management",'1. All Data'!$M$3:$M$136,"Deferred")</f>
        <v>0</v>
      </c>
      <c r="K51" s="216" t="e">
        <f>J51/J53</f>
        <v>#DIV/0!</v>
      </c>
      <c r="L51" s="216" t="e">
        <f>K51</f>
        <v>#DIV/0!</v>
      </c>
      <c r="M51" s="217"/>
      <c r="N51" s="58"/>
      <c r="P51" s="215" t="s">
        <v>29</v>
      </c>
      <c r="Q51" s="208">
        <f>COUNTIFS('1. All Data'!$AB$3:$AB$136,"Finance and Treasury Management",'1. All Data'!$R$3:$R$136,"Deferred")</f>
        <v>0</v>
      </c>
      <c r="R51" s="216" t="e">
        <f>Q51/Q53</f>
        <v>#DIV/0!</v>
      </c>
      <c r="S51" s="216" t="e">
        <f>R51</f>
        <v>#DIV/0!</v>
      </c>
      <c r="T51" s="217"/>
      <c r="U51" s="58"/>
      <c r="W51" s="175" t="s">
        <v>29</v>
      </c>
      <c r="X51" s="208">
        <f>COUNTIFS('1. All Data'!$AB$3:$AB$136,"Finance and Treasury Management",'1. All Data'!$V$3:$V$136,"Deferred")</f>
        <v>0</v>
      </c>
      <c r="Y51" s="216" t="e">
        <f>X51/X53</f>
        <v>#DIV/0!</v>
      </c>
      <c r="Z51" s="216" t="e">
        <f>Y51</f>
        <v>#DIV/0!</v>
      </c>
      <c r="AA51" s="177"/>
      <c r="AB51" s="58"/>
      <c r="AC51" s="166"/>
    </row>
    <row r="52" spans="2:29" ht="15.75" customHeight="1">
      <c r="B52" s="215" t="s">
        <v>30</v>
      </c>
      <c r="C52" s="208">
        <f>COUNTIFS('1. All Data'!$AB$3:$AB$136,"Finance and treasury management",'1. All Data'!$H$3:$H$136,"Deleted")</f>
        <v>0</v>
      </c>
      <c r="D52" s="216">
        <f>C52/C53</f>
        <v>0</v>
      </c>
      <c r="E52" s="216">
        <f>D52</f>
        <v>0</v>
      </c>
      <c r="F52" s="217"/>
      <c r="G52" s="29"/>
      <c r="I52" s="215" t="s">
        <v>30</v>
      </c>
      <c r="J52" s="208">
        <f>COUNTIFS('1. All Data'!$AB$3:$AB$136,"Finance and Treasury Management",'1. All Data'!$M$3:$M$136,"Deleted")</f>
        <v>0</v>
      </c>
      <c r="K52" s="216" t="e">
        <f>J52/J53</f>
        <v>#DIV/0!</v>
      </c>
      <c r="L52" s="216" t="e">
        <f>K52</f>
        <v>#DIV/0!</v>
      </c>
      <c r="M52" s="217"/>
      <c r="N52" s="29"/>
      <c r="P52" s="215" t="s">
        <v>30</v>
      </c>
      <c r="Q52" s="208">
        <f>COUNTIFS('1. All Data'!$AB$3:$AB$136,"Finance and Treasury Management",'1. All Data'!$R$3:$R$136,"Deleted")</f>
        <v>0</v>
      </c>
      <c r="R52" s="216" t="e">
        <f>Q52/Q53</f>
        <v>#DIV/0!</v>
      </c>
      <c r="S52" s="216" t="e">
        <f>R52</f>
        <v>#DIV/0!</v>
      </c>
      <c r="T52" s="217"/>
      <c r="U52" s="29"/>
      <c r="W52" s="175" t="s">
        <v>30</v>
      </c>
      <c r="X52" s="208">
        <f>COUNTIFS('1. All Data'!$AB$3:$AB$136,"Finance and Treasury Management",'1. All Data'!$V$3:$V$136,"Deleted")</f>
        <v>0</v>
      </c>
      <c r="Y52" s="216" t="e">
        <f>X52/X53</f>
        <v>#DIV/0!</v>
      </c>
      <c r="Z52" s="216" t="e">
        <f>Y52</f>
        <v>#DIV/0!</v>
      </c>
      <c r="AA52" s="177"/>
      <c r="AB52" s="3"/>
      <c r="AC52" s="166"/>
    </row>
    <row r="53" spans="2:29" ht="15.75" customHeight="1">
      <c r="B53" s="218" t="s">
        <v>51</v>
      </c>
      <c r="C53" s="219">
        <f>SUM(C42:C52)</f>
        <v>13</v>
      </c>
      <c r="D53" s="177"/>
      <c r="E53" s="177"/>
      <c r="F53" s="220"/>
      <c r="G53" s="58"/>
      <c r="I53" s="218" t="s">
        <v>51</v>
      </c>
      <c r="J53" s="219">
        <f>SUM(J42:J52)</f>
        <v>0</v>
      </c>
      <c r="K53" s="177"/>
      <c r="L53" s="177"/>
      <c r="M53" s="220"/>
      <c r="N53" s="58"/>
      <c r="P53" s="218" t="s">
        <v>51</v>
      </c>
      <c r="Q53" s="219">
        <f>SUM(Q42:Q52)</f>
        <v>0</v>
      </c>
      <c r="R53" s="177"/>
      <c r="S53" s="177"/>
      <c r="T53" s="220"/>
      <c r="U53" s="58"/>
      <c r="W53" s="178" t="s">
        <v>51</v>
      </c>
      <c r="X53" s="219">
        <f>SUM(X42:X52)</f>
        <v>0</v>
      </c>
      <c r="Y53" s="177"/>
      <c r="Z53" s="177"/>
      <c r="AA53" s="58"/>
      <c r="AB53" s="58"/>
      <c r="AC53" s="166"/>
    </row>
    <row r="54" spans="2:29" ht="15.75" customHeight="1">
      <c r="B54" s="218" t="s">
        <v>52</v>
      </c>
      <c r="C54" s="219">
        <f>C53-C52-C51-C50-C49</f>
        <v>9</v>
      </c>
      <c r="D54" s="58"/>
      <c r="E54" s="58"/>
      <c r="F54" s="220"/>
      <c r="G54" s="58"/>
      <c r="I54" s="218" t="s">
        <v>52</v>
      </c>
      <c r="J54" s="219">
        <f>J53-J52-J51-J50-J49</f>
        <v>0</v>
      </c>
      <c r="K54" s="58"/>
      <c r="L54" s="58"/>
      <c r="M54" s="220"/>
      <c r="N54" s="58"/>
      <c r="P54" s="218" t="s">
        <v>52</v>
      </c>
      <c r="Q54" s="219">
        <f>Q53-Q52-Q51-Q50-Q49</f>
        <v>0</v>
      </c>
      <c r="R54" s="58"/>
      <c r="S54" s="58"/>
      <c r="T54" s="220"/>
      <c r="U54" s="58"/>
      <c r="W54" s="178" t="s">
        <v>52</v>
      </c>
      <c r="X54" s="219">
        <f>X53-X52-X51-X50-X49</f>
        <v>0</v>
      </c>
      <c r="Y54" s="58"/>
      <c r="Z54" s="58"/>
      <c r="AA54" s="58"/>
      <c r="AB54" s="58"/>
      <c r="AC54" s="166"/>
    </row>
    <row r="55" spans="2:29" ht="15.75" customHeight="1">
      <c r="W55" s="180"/>
      <c r="AA55" s="2"/>
      <c r="AC55" s="166"/>
    </row>
    <row r="56" spans="2:29" ht="15.75" customHeight="1">
      <c r="W56" s="165"/>
      <c r="X56" s="222"/>
      <c r="Y56" s="165"/>
      <c r="Z56" s="165"/>
      <c r="AA56" s="165"/>
      <c r="AB56" s="186"/>
      <c r="AC56" s="166"/>
    </row>
    <row r="57" spans="2:29" ht="15.75" customHeight="1">
      <c r="W57" s="223"/>
      <c r="X57" s="224"/>
      <c r="Y57" s="58"/>
      <c r="Z57" s="58"/>
      <c r="AA57" s="58"/>
      <c r="AB57" s="177"/>
      <c r="AC57" s="166"/>
    </row>
    <row r="58" spans="2:29" s="166" customFormat="1" ht="15.6">
      <c r="B58" s="225" t="s">
        <v>434</v>
      </c>
      <c r="C58" s="204"/>
      <c r="D58" s="204"/>
      <c r="E58" s="204"/>
      <c r="F58" s="205"/>
      <c r="G58" s="204"/>
      <c r="I58" s="225" t="s">
        <v>434</v>
      </c>
      <c r="J58" s="204"/>
      <c r="K58" s="204"/>
      <c r="L58" s="204"/>
      <c r="M58" s="205"/>
      <c r="N58" s="204"/>
      <c r="P58" s="225" t="s">
        <v>434</v>
      </c>
      <c r="Q58" s="204"/>
      <c r="R58" s="204"/>
      <c r="S58" s="204"/>
      <c r="T58" s="205"/>
      <c r="U58" s="204"/>
      <c r="W58" s="225" t="s">
        <v>434</v>
      </c>
      <c r="X58" s="204"/>
      <c r="Y58" s="204"/>
      <c r="Z58" s="204"/>
      <c r="AA58" s="205"/>
      <c r="AB58" s="204"/>
    </row>
    <row r="59" spans="2:29" ht="41.25" customHeight="1">
      <c r="B59" s="206" t="s">
        <v>42</v>
      </c>
      <c r="C59" s="207" t="s">
        <v>43</v>
      </c>
      <c r="D59" s="207" t="s">
        <v>44</v>
      </c>
      <c r="E59" s="207" t="s">
        <v>45</v>
      </c>
      <c r="F59" s="206" t="s">
        <v>46</v>
      </c>
      <c r="G59" s="207" t="s">
        <v>47</v>
      </c>
      <c r="I59" s="206" t="s">
        <v>42</v>
      </c>
      <c r="J59" s="207" t="s">
        <v>43</v>
      </c>
      <c r="K59" s="207" t="s">
        <v>44</v>
      </c>
      <c r="L59" s="207" t="s">
        <v>45</v>
      </c>
      <c r="M59" s="206" t="s">
        <v>46</v>
      </c>
      <c r="N59" s="207" t="s">
        <v>47</v>
      </c>
      <c r="P59" s="206" t="s">
        <v>42</v>
      </c>
      <c r="Q59" s="207" t="s">
        <v>43</v>
      </c>
      <c r="R59" s="207" t="s">
        <v>44</v>
      </c>
      <c r="S59" s="207" t="s">
        <v>45</v>
      </c>
      <c r="T59" s="206" t="s">
        <v>46</v>
      </c>
      <c r="U59" s="207" t="s">
        <v>47</v>
      </c>
      <c r="W59" s="164" t="s">
        <v>42</v>
      </c>
      <c r="X59" s="164" t="s">
        <v>43</v>
      </c>
      <c r="Y59" s="164" t="s">
        <v>44</v>
      </c>
      <c r="Z59" s="164" t="s">
        <v>45</v>
      </c>
      <c r="AA59" s="164" t="s">
        <v>46</v>
      </c>
      <c r="AB59" s="164" t="s">
        <v>47</v>
      </c>
      <c r="AC59" s="166"/>
    </row>
    <row r="60" spans="2:29" ht="27.75" customHeight="1">
      <c r="B60" s="228" t="s">
        <v>48</v>
      </c>
      <c r="C60" s="208">
        <f>COUNTIFS('1. All Data'!$AB$3:$AB$136,"Leader",'1. All Data'!$H$3:$H$136,"Fully Achieved")</f>
        <v>4</v>
      </c>
      <c r="D60" s="209">
        <f>C60/C71</f>
        <v>0.26666666666666666</v>
      </c>
      <c r="E60" s="390">
        <f>D60+D61</f>
        <v>0.6</v>
      </c>
      <c r="F60" s="210">
        <f>C60/C72</f>
        <v>0.44444444444444442</v>
      </c>
      <c r="G60" s="392">
        <f>F60+F61</f>
        <v>1</v>
      </c>
      <c r="I60" s="228" t="s">
        <v>48</v>
      </c>
      <c r="J60" s="208">
        <f>COUNTIFS('1. All Data'!$AB$3:$AB$136,"Leader",'1. All Data'!$M$3:$M$136,"Fully Achieved")</f>
        <v>0</v>
      </c>
      <c r="K60" s="209" t="e">
        <f>J60/J71</f>
        <v>#DIV/0!</v>
      </c>
      <c r="L60" s="390" t="e">
        <f>K60+K61</f>
        <v>#DIV/0!</v>
      </c>
      <c r="M60" s="210" t="e">
        <f>J60/J72</f>
        <v>#DIV/0!</v>
      </c>
      <c r="N60" s="392" t="e">
        <f>M60+M61</f>
        <v>#DIV/0!</v>
      </c>
      <c r="P60" s="228" t="s">
        <v>48</v>
      </c>
      <c r="Q60" s="208">
        <f>COUNTIFS('1. All Data'!$AB$3:$AB$136,"Leader",'1. All Data'!$R$3:$R$136,"Fully Achieved")</f>
        <v>0</v>
      </c>
      <c r="R60" s="209" t="e">
        <f>Q60/Q71</f>
        <v>#DIV/0!</v>
      </c>
      <c r="S60" s="390" t="e">
        <f>R60+R61</f>
        <v>#DIV/0!</v>
      </c>
      <c r="T60" s="210" t="e">
        <f>Q60/Q72</f>
        <v>#DIV/0!</v>
      </c>
      <c r="U60" s="392" t="e">
        <f>T60+T61</f>
        <v>#DIV/0!</v>
      </c>
      <c r="W60" s="228" t="s">
        <v>48</v>
      </c>
      <c r="X60" s="208">
        <f>COUNTIFS('1. All Data'!$AB$3:$AB$136,"Leader",'1. All Data'!$V$3:$V$136,"Fully Achieved")</f>
        <v>0</v>
      </c>
      <c r="Y60" s="209" t="e">
        <f>X60/X71</f>
        <v>#DIV/0!</v>
      </c>
      <c r="Z60" s="390" t="e">
        <f>Y60+Y61</f>
        <v>#DIV/0!</v>
      </c>
      <c r="AA60" s="209" t="e">
        <f>X60/X72</f>
        <v>#DIV/0!</v>
      </c>
      <c r="AB60" s="371" t="e">
        <f>AA60+AA61</f>
        <v>#DIV/0!</v>
      </c>
      <c r="AC60" s="166"/>
    </row>
    <row r="61" spans="2:29" ht="27.75" customHeight="1">
      <c r="B61" s="228" t="s">
        <v>31</v>
      </c>
      <c r="C61" s="208">
        <f>COUNTIFS('1. All Data'!$AB$3:$AB$136,"Leader",'1. All Data'!$H$3:$H$136,"On Track to be Achieved")</f>
        <v>5</v>
      </c>
      <c r="D61" s="209">
        <f>C61/C71</f>
        <v>0.33333333333333331</v>
      </c>
      <c r="E61" s="390"/>
      <c r="F61" s="210">
        <f>C61/C72</f>
        <v>0.55555555555555558</v>
      </c>
      <c r="G61" s="392"/>
      <c r="I61" s="228" t="s">
        <v>31</v>
      </c>
      <c r="J61" s="208">
        <f>COUNTIFS('1. All Data'!$AB$3:$AB$136,"Leader",'1. All Data'!$M$3:$M$136,"On Track to be Achieved")</f>
        <v>0</v>
      </c>
      <c r="K61" s="209" t="e">
        <f>J61/J71</f>
        <v>#DIV/0!</v>
      </c>
      <c r="L61" s="390"/>
      <c r="M61" s="210" t="e">
        <f>J61/J72</f>
        <v>#DIV/0!</v>
      </c>
      <c r="N61" s="392"/>
      <c r="P61" s="228" t="s">
        <v>31</v>
      </c>
      <c r="Q61" s="208">
        <f>COUNTIFS('1. All Data'!$AB$3:$AB$136,"Leader",'1. All Data'!$R$3:$R$136,"On Track to be Achieved")</f>
        <v>0</v>
      </c>
      <c r="R61" s="209" t="e">
        <f>Q61/Q71</f>
        <v>#DIV/0!</v>
      </c>
      <c r="S61" s="390"/>
      <c r="T61" s="210" t="e">
        <f>Q61/Q72</f>
        <v>#DIV/0!</v>
      </c>
      <c r="U61" s="392"/>
      <c r="W61" s="228" t="s">
        <v>23</v>
      </c>
      <c r="X61" s="208">
        <f>COUNTIFS('1. All Data'!$AB$3:$AB$136,"Leader",'1. All Data'!$V$3:$V$136,"Numerical Outturn Within 5% Tolerance")</f>
        <v>0</v>
      </c>
      <c r="Y61" s="209" t="e">
        <f>X61/X71</f>
        <v>#DIV/0!</v>
      </c>
      <c r="Z61" s="390"/>
      <c r="AA61" s="209" t="e">
        <f>X61/X72</f>
        <v>#DIV/0!</v>
      </c>
      <c r="AB61" s="371"/>
      <c r="AC61" s="166"/>
    </row>
    <row r="62" spans="2:29" ht="21" customHeight="1">
      <c r="B62" s="402" t="s">
        <v>32</v>
      </c>
      <c r="C62" s="405">
        <f>COUNTIFS('1. All Data'!$AB$3:$AB$136,"Leader",'1. All Data'!$H$3:$H$136,"In Danger of Falling Behind Target")</f>
        <v>0</v>
      </c>
      <c r="D62" s="393">
        <f>C62/C71</f>
        <v>0</v>
      </c>
      <c r="E62" s="393">
        <f>D62</f>
        <v>0</v>
      </c>
      <c r="F62" s="396">
        <f>C62/C72</f>
        <v>0</v>
      </c>
      <c r="G62" s="399">
        <f>F62</f>
        <v>0</v>
      </c>
      <c r="I62" s="402" t="s">
        <v>32</v>
      </c>
      <c r="J62" s="405">
        <f>COUNTIFS('1. All Data'!$AB$3:$AB$136,"Leader",'1. All Data'!$M$3:$M$136,"In Danger of Falling Behind Target")</f>
        <v>0</v>
      </c>
      <c r="K62" s="393" t="e">
        <f>J62/J71</f>
        <v>#DIV/0!</v>
      </c>
      <c r="L62" s="393" t="e">
        <f>K62</f>
        <v>#DIV/0!</v>
      </c>
      <c r="M62" s="396" t="e">
        <f>J62/J72</f>
        <v>#DIV/0!</v>
      </c>
      <c r="N62" s="399" t="e">
        <f>M62</f>
        <v>#DIV/0!</v>
      </c>
      <c r="P62" s="402" t="s">
        <v>32</v>
      </c>
      <c r="Q62" s="405">
        <f>COUNTIFS('1. All Data'!$AB$3:$AB$136,"Leader",'1. All Data'!$R$3:$R$136,"In Danger of Falling Behind Target")</f>
        <v>0</v>
      </c>
      <c r="R62" s="393" t="e">
        <f>Q62/Q71</f>
        <v>#DIV/0!</v>
      </c>
      <c r="S62" s="393" t="e">
        <f>R62</f>
        <v>#DIV/0!</v>
      </c>
      <c r="T62" s="396" t="e">
        <f>Q62/Q72</f>
        <v>#DIV/0!</v>
      </c>
      <c r="U62" s="399" t="e">
        <f>T62</f>
        <v>#DIV/0!</v>
      </c>
      <c r="W62" s="169" t="s">
        <v>24</v>
      </c>
      <c r="X62" s="170">
        <f>COUNTIFS('1. All Data'!$AB$3:$AB$136,"Leader",'1. All Data'!$V$3:$V$136,"Numerical Outturn Within 10% Tolerance")</f>
        <v>0</v>
      </c>
      <c r="Y62" s="168" t="e">
        <f>X62/X71</f>
        <v>#DIV/0!</v>
      </c>
      <c r="Z62" s="369" t="e">
        <f>SUM(Y62:Y64)</f>
        <v>#DIV/0!</v>
      </c>
      <c r="AA62" s="168" t="e">
        <f>X62/X72</f>
        <v>#DIV/0!</v>
      </c>
      <c r="AB62" s="378" t="e">
        <f>SUM(AA62:AA64)</f>
        <v>#DIV/0!</v>
      </c>
      <c r="AC62" s="166"/>
    </row>
    <row r="63" spans="2:29" ht="18.75" customHeight="1">
      <c r="B63" s="403"/>
      <c r="C63" s="406"/>
      <c r="D63" s="394"/>
      <c r="E63" s="394"/>
      <c r="F63" s="397"/>
      <c r="G63" s="400"/>
      <c r="I63" s="403"/>
      <c r="J63" s="406"/>
      <c r="K63" s="394"/>
      <c r="L63" s="394"/>
      <c r="M63" s="397"/>
      <c r="N63" s="400"/>
      <c r="P63" s="403"/>
      <c r="Q63" s="406"/>
      <c r="R63" s="394"/>
      <c r="S63" s="394"/>
      <c r="T63" s="397"/>
      <c r="U63" s="400"/>
      <c r="W63" s="169" t="s">
        <v>25</v>
      </c>
      <c r="X63" s="170">
        <f>COUNTIFS('1. All Data'!$AB$3:$AB$136,"Leader",'1. All Data'!$V$3:$V$136,"Target Partially Met")</f>
        <v>0</v>
      </c>
      <c r="Y63" s="168" t="e">
        <f>X63/X71</f>
        <v>#DIV/0!</v>
      </c>
      <c r="Z63" s="369"/>
      <c r="AA63" s="168" t="e">
        <f>X63/X72</f>
        <v>#DIV/0!</v>
      </c>
      <c r="AB63" s="378"/>
      <c r="AC63" s="166"/>
    </row>
    <row r="64" spans="2:29" ht="20.25" customHeight="1">
      <c r="B64" s="404"/>
      <c r="C64" s="407"/>
      <c r="D64" s="395"/>
      <c r="E64" s="395"/>
      <c r="F64" s="398"/>
      <c r="G64" s="401"/>
      <c r="I64" s="404"/>
      <c r="J64" s="407"/>
      <c r="K64" s="395"/>
      <c r="L64" s="395"/>
      <c r="M64" s="398"/>
      <c r="N64" s="401"/>
      <c r="P64" s="404"/>
      <c r="Q64" s="407"/>
      <c r="R64" s="395"/>
      <c r="S64" s="395"/>
      <c r="T64" s="398"/>
      <c r="U64" s="401"/>
      <c r="W64" s="169" t="s">
        <v>28</v>
      </c>
      <c r="X64" s="170">
        <f>COUNTIFS('1. All Data'!$AB$3:$AB$136,"Leader",'1. All Data'!$V$3:$V$136,"Completion Date Within Reasonable Tolerance")</f>
        <v>0</v>
      </c>
      <c r="Y64" s="168" t="e">
        <f>X64/X71</f>
        <v>#DIV/0!</v>
      </c>
      <c r="Z64" s="369"/>
      <c r="AA64" s="168" t="e">
        <f>X64/X72</f>
        <v>#DIV/0!</v>
      </c>
      <c r="AB64" s="378"/>
      <c r="AC64" s="166"/>
    </row>
    <row r="65" spans="2:29" ht="30" customHeight="1">
      <c r="B65" s="211" t="s">
        <v>33</v>
      </c>
      <c r="C65" s="208">
        <f>COUNTIFS('1. All Data'!$AB$3:$AB$136,"Leader",'1. All Data'!$H$3:$H$136,"Completed Behind Schedule")</f>
        <v>0</v>
      </c>
      <c r="D65" s="209">
        <f>C65/C71</f>
        <v>0</v>
      </c>
      <c r="E65" s="390">
        <f>D65+D66</f>
        <v>0</v>
      </c>
      <c r="F65" s="210">
        <f>C65/C72</f>
        <v>0</v>
      </c>
      <c r="G65" s="391">
        <f>F65+F66</f>
        <v>0</v>
      </c>
      <c r="I65" s="211" t="s">
        <v>33</v>
      </c>
      <c r="J65" s="208">
        <f>COUNTIFS('1. All Data'!$AB$3:$AB$136,"Leader",'1. All Data'!$M$3:$M$136,"Completed Behind Schedule")</f>
        <v>0</v>
      </c>
      <c r="K65" s="209" t="e">
        <f>J65/J71</f>
        <v>#DIV/0!</v>
      </c>
      <c r="L65" s="390" t="e">
        <f>K65+K66</f>
        <v>#DIV/0!</v>
      </c>
      <c r="M65" s="210" t="e">
        <f>J65/J72</f>
        <v>#DIV/0!</v>
      </c>
      <c r="N65" s="391" t="e">
        <f>M65+M66</f>
        <v>#DIV/0!</v>
      </c>
      <c r="P65" s="211" t="s">
        <v>33</v>
      </c>
      <c r="Q65" s="208">
        <f>COUNTIFS('1. All Data'!$AB$3:$AB$136,"Leader",'1. All Data'!$R$3:$R$136,"Completed Behind Schedule")</f>
        <v>0</v>
      </c>
      <c r="R65" s="209" t="e">
        <f>Q65/Q71</f>
        <v>#DIV/0!</v>
      </c>
      <c r="S65" s="390" t="e">
        <f>R65+R66</f>
        <v>#DIV/0!</v>
      </c>
      <c r="T65" s="210" t="e">
        <f>Q65/Q72</f>
        <v>#DIV/0!</v>
      </c>
      <c r="U65" s="391" t="e">
        <f>T65+T66</f>
        <v>#DIV/0!</v>
      </c>
      <c r="W65" s="171" t="s">
        <v>27</v>
      </c>
      <c r="X65" s="208">
        <f>COUNTIFS('1. All Data'!$AB$3:$AB$136,"Leader",'1. All Data'!$V$3:$V$136,"Completed Significantly After Target Deadline")</f>
        <v>0</v>
      </c>
      <c r="Y65" s="209" t="e">
        <f>X65/X71</f>
        <v>#DIV/0!</v>
      </c>
      <c r="Z65" s="390" t="e">
        <f>Y65+Y66</f>
        <v>#DIV/0!</v>
      </c>
      <c r="AA65" s="168" t="e">
        <f>X65/X72</f>
        <v>#DIV/0!</v>
      </c>
      <c r="AB65" s="370" t="e">
        <f>AA65+AA66</f>
        <v>#DIV/0!</v>
      </c>
      <c r="AC65" s="166"/>
    </row>
    <row r="66" spans="2:29" ht="30" customHeight="1">
      <c r="B66" s="211" t="s">
        <v>26</v>
      </c>
      <c r="C66" s="208">
        <f>COUNTIFS('1. All Data'!$AB$3:$AB$136,"Leader",'1. All Data'!$H$3:$H$136,"Off Target")</f>
        <v>0</v>
      </c>
      <c r="D66" s="209">
        <f>C66/C71</f>
        <v>0</v>
      </c>
      <c r="E66" s="390"/>
      <c r="F66" s="210">
        <f>C66/C72</f>
        <v>0</v>
      </c>
      <c r="G66" s="391"/>
      <c r="I66" s="211" t="s">
        <v>26</v>
      </c>
      <c r="J66" s="208">
        <f>COUNTIFS('1. All Data'!$AB$3:$AB$136,"Leader",'1. All Data'!$M$3:$M$136,"Off Target")</f>
        <v>0</v>
      </c>
      <c r="K66" s="209" t="e">
        <f>J66/J71</f>
        <v>#DIV/0!</v>
      </c>
      <c r="L66" s="390"/>
      <c r="M66" s="210" t="e">
        <f>J66/J72</f>
        <v>#DIV/0!</v>
      </c>
      <c r="N66" s="391"/>
      <c r="P66" s="211" t="s">
        <v>26</v>
      </c>
      <c r="Q66" s="208">
        <f>COUNTIFS('1. All Data'!$AB$3:$AB$136,"Leader",'1. All Data'!$R$3:$R$136,"Off Target")</f>
        <v>0</v>
      </c>
      <c r="R66" s="209" t="e">
        <f>Q66/Q71</f>
        <v>#DIV/0!</v>
      </c>
      <c r="S66" s="390"/>
      <c r="T66" s="210" t="e">
        <f>Q66/Q72</f>
        <v>#DIV/0!</v>
      </c>
      <c r="U66" s="391"/>
      <c r="W66" s="171" t="s">
        <v>26</v>
      </c>
      <c r="X66" s="208">
        <f>COUNTIFS('1. All Data'!$AB$3:$AB$136,"Leader",'1. All Data'!$V$3:$V$136,"Off Target")</f>
        <v>0</v>
      </c>
      <c r="Y66" s="209" t="e">
        <f>X66/X71</f>
        <v>#DIV/0!</v>
      </c>
      <c r="Z66" s="390"/>
      <c r="AA66" s="168" t="e">
        <f>X66/X72</f>
        <v>#DIV/0!</v>
      </c>
      <c r="AB66" s="370"/>
      <c r="AC66" s="166"/>
    </row>
    <row r="67" spans="2:29" ht="15.75" customHeight="1">
      <c r="B67" s="212" t="s">
        <v>49</v>
      </c>
      <c r="C67" s="208">
        <f>COUNTIFS('1. All Data'!$AB$3:$AB$136,"Leader",'1. All Data'!$H$3:$H$136,"Not yet due")</f>
        <v>6</v>
      </c>
      <c r="D67" s="213">
        <f>C67/C71</f>
        <v>0.4</v>
      </c>
      <c r="E67" s="213">
        <f>D67</f>
        <v>0.4</v>
      </c>
      <c r="F67" s="214"/>
      <c r="G67" s="58"/>
      <c r="I67" s="212" t="s">
        <v>49</v>
      </c>
      <c r="J67" s="208">
        <f>COUNTIFS('1. All Data'!$AB$3:$AB$136,"Leader",'1. All Data'!$M$3:$M$136,"Not yet due")</f>
        <v>0</v>
      </c>
      <c r="K67" s="213" t="e">
        <f>J67/J71</f>
        <v>#DIV/0!</v>
      </c>
      <c r="L67" s="213" t="e">
        <f>K67</f>
        <v>#DIV/0!</v>
      </c>
      <c r="M67" s="214"/>
      <c r="N67" s="58"/>
      <c r="P67" s="212" t="s">
        <v>49</v>
      </c>
      <c r="Q67" s="208">
        <f>COUNTIFS('1. All Data'!$AB$3:$AB$136,"Leader",'1. All Data'!$R$3:$R$136,"Not yet due")</f>
        <v>0</v>
      </c>
      <c r="R67" s="213" t="e">
        <f>Q67/Q71</f>
        <v>#DIV/0!</v>
      </c>
      <c r="S67" s="213" t="e">
        <f>R67</f>
        <v>#DIV/0!</v>
      </c>
      <c r="T67" s="214"/>
      <c r="U67" s="58"/>
      <c r="W67" s="172" t="s">
        <v>49</v>
      </c>
      <c r="X67" s="208">
        <f>COUNTIFS('1. All Data'!$AB$3:$AB$136,"Leader",'1. All Data'!$V$3:$V$136,"Not yet due")</f>
        <v>0</v>
      </c>
      <c r="Y67" s="213" t="e">
        <f>X67/X71</f>
        <v>#DIV/0!</v>
      </c>
      <c r="Z67" s="213" t="e">
        <f>Y67</f>
        <v>#DIV/0!</v>
      </c>
      <c r="AA67" s="174"/>
      <c r="AB67" s="58"/>
      <c r="AC67" s="166"/>
    </row>
    <row r="68" spans="2:29" ht="15.75" customHeight="1">
      <c r="B68" s="212" t="s">
        <v>21</v>
      </c>
      <c r="C68" s="208">
        <f>COUNTIFS('1. All Data'!$AB$3:$AB$136,"Leader",'1. All Data'!$H$3:$H$136,"Update not provided")</f>
        <v>0</v>
      </c>
      <c r="D68" s="213">
        <f>C68/C71</f>
        <v>0</v>
      </c>
      <c r="E68" s="213">
        <f>D68</f>
        <v>0</v>
      </c>
      <c r="F68" s="214"/>
      <c r="G68" s="2"/>
      <c r="I68" s="212" t="s">
        <v>21</v>
      </c>
      <c r="J68" s="208">
        <f>COUNTIFS('1. All Data'!$AB$3:$AB$136,"Leader",'1. All Data'!$M$3:$M$136,"Update not provided")</f>
        <v>0</v>
      </c>
      <c r="K68" s="213" t="e">
        <f>J68/J71</f>
        <v>#DIV/0!</v>
      </c>
      <c r="L68" s="213" t="e">
        <f>K68</f>
        <v>#DIV/0!</v>
      </c>
      <c r="M68" s="214"/>
      <c r="N68" s="2"/>
      <c r="P68" s="212" t="s">
        <v>21</v>
      </c>
      <c r="Q68" s="208">
        <f>COUNTIFS('1. All Data'!$AB$3:$AB$136,"Leader",'1. All Data'!$R$3:$R$136,"Update not provided")</f>
        <v>0</v>
      </c>
      <c r="R68" s="213" t="e">
        <f>Q68/Q71</f>
        <v>#DIV/0!</v>
      </c>
      <c r="S68" s="213" t="e">
        <f>R68</f>
        <v>#DIV/0!</v>
      </c>
      <c r="T68" s="214"/>
      <c r="U68" s="2"/>
      <c r="W68" s="172" t="s">
        <v>21</v>
      </c>
      <c r="X68" s="208">
        <f>COUNTIFS('1. All Data'!$AB$3:$AB$136,"Leader",'1. All Data'!$V$3:$V$136,"Update not provided")</f>
        <v>0</v>
      </c>
      <c r="Y68" s="213" t="e">
        <f>X68/X71</f>
        <v>#DIV/0!</v>
      </c>
      <c r="Z68" s="213" t="e">
        <f>Y68</f>
        <v>#DIV/0!</v>
      </c>
      <c r="AA68" s="174"/>
      <c r="AB68" s="2"/>
      <c r="AC68" s="166"/>
    </row>
    <row r="69" spans="2:29" ht="15.75" customHeight="1">
      <c r="B69" s="215" t="s">
        <v>29</v>
      </c>
      <c r="C69" s="208">
        <f>COUNTIFS('1. All Data'!$AB$3:$AB$136,"Leader",'1. All Data'!$H$3:$H$136,"Deferred")</f>
        <v>0</v>
      </c>
      <c r="D69" s="216">
        <f>C69/C71</f>
        <v>0</v>
      </c>
      <c r="E69" s="216">
        <f>D69</f>
        <v>0</v>
      </c>
      <c r="F69" s="217"/>
      <c r="G69" s="58"/>
      <c r="I69" s="215" t="s">
        <v>29</v>
      </c>
      <c r="J69" s="208">
        <f>COUNTIFS('1. All Data'!$AB$3:$AB$136,"Leader",'1. All Data'!$M$3:$M$136,"Deferred")</f>
        <v>0</v>
      </c>
      <c r="K69" s="216" t="e">
        <f>J69/J71</f>
        <v>#DIV/0!</v>
      </c>
      <c r="L69" s="216" t="e">
        <f>K69</f>
        <v>#DIV/0!</v>
      </c>
      <c r="M69" s="217"/>
      <c r="N69" s="58"/>
      <c r="P69" s="215" t="s">
        <v>29</v>
      </c>
      <c r="Q69" s="208">
        <f>COUNTIFS('1. All Data'!$AB$3:$AB$136,"Leader",'1. All Data'!$R$3:$R$136,"Deferred")</f>
        <v>0</v>
      </c>
      <c r="R69" s="216" t="e">
        <f>Q69/Q71</f>
        <v>#DIV/0!</v>
      </c>
      <c r="S69" s="216" t="e">
        <f>R69</f>
        <v>#DIV/0!</v>
      </c>
      <c r="T69" s="217"/>
      <c r="U69" s="58"/>
      <c r="W69" s="175" t="s">
        <v>29</v>
      </c>
      <c r="X69" s="208">
        <f>COUNTIFS('1. All Data'!$AB$3:$AB$136,"Leader",'1. All Data'!$V$3:$V$136,"Deferred")</f>
        <v>0</v>
      </c>
      <c r="Y69" s="216" t="e">
        <f>X69/X71</f>
        <v>#DIV/0!</v>
      </c>
      <c r="Z69" s="216" t="e">
        <f>Y69</f>
        <v>#DIV/0!</v>
      </c>
      <c r="AA69" s="177"/>
      <c r="AB69" s="58"/>
      <c r="AC69" s="166"/>
    </row>
    <row r="70" spans="2:29" ht="15.75" customHeight="1">
      <c r="B70" s="215" t="s">
        <v>30</v>
      </c>
      <c r="C70" s="208">
        <f>COUNTIFS('1. All Data'!$AB$3:$AB$136,"Leader",'1. All Data'!$H$3:$H$136,"Deleted")</f>
        <v>0</v>
      </c>
      <c r="D70" s="216">
        <f>C70/C71</f>
        <v>0</v>
      </c>
      <c r="E70" s="216">
        <f>D70</f>
        <v>0</v>
      </c>
      <c r="F70" s="217"/>
      <c r="G70" s="29"/>
      <c r="I70" s="215" t="s">
        <v>30</v>
      </c>
      <c r="J70" s="208">
        <f>COUNTIFS('1. All Data'!$AB$3:$AB$136,"Leader",'1. All Data'!$M$3:$M$136,"Deleted")</f>
        <v>0</v>
      </c>
      <c r="K70" s="216" t="e">
        <f>J70/J71</f>
        <v>#DIV/0!</v>
      </c>
      <c r="L70" s="216" t="e">
        <f>K70</f>
        <v>#DIV/0!</v>
      </c>
      <c r="M70" s="217"/>
      <c r="N70" s="29"/>
      <c r="P70" s="215" t="s">
        <v>30</v>
      </c>
      <c r="Q70" s="208">
        <f>COUNTIFS('1. All Data'!$AB$3:$AB$136,"Leader",'1. All Data'!$R$3:$R$136,"Deleted")</f>
        <v>0</v>
      </c>
      <c r="R70" s="216" t="e">
        <f>Q70/Q71</f>
        <v>#DIV/0!</v>
      </c>
      <c r="S70" s="216" t="e">
        <f>R70</f>
        <v>#DIV/0!</v>
      </c>
      <c r="T70" s="217"/>
      <c r="U70" s="29"/>
      <c r="W70" s="175" t="s">
        <v>30</v>
      </c>
      <c r="X70" s="208">
        <f>COUNTIFS('1. All Data'!$AB$3:$AB$136,"Leader",'1. All Data'!$V$3:$V$136,"Deleted")</f>
        <v>0</v>
      </c>
      <c r="Y70" s="216" t="e">
        <f>X70/X71</f>
        <v>#DIV/0!</v>
      </c>
      <c r="Z70" s="216" t="e">
        <f>Y70</f>
        <v>#DIV/0!</v>
      </c>
      <c r="AA70" s="177"/>
      <c r="AB70" s="3"/>
      <c r="AC70" s="166"/>
    </row>
    <row r="71" spans="2:29" ht="15.75" customHeight="1">
      <c r="B71" s="218" t="s">
        <v>51</v>
      </c>
      <c r="C71" s="219">
        <f>SUM(C60:C70)</f>
        <v>15</v>
      </c>
      <c r="D71" s="177"/>
      <c r="E71" s="177"/>
      <c r="F71" s="220"/>
      <c r="G71" s="58"/>
      <c r="I71" s="218" t="s">
        <v>51</v>
      </c>
      <c r="J71" s="219">
        <f>SUM(J60:J70)</f>
        <v>0</v>
      </c>
      <c r="K71" s="177"/>
      <c r="L71" s="177"/>
      <c r="M71" s="220"/>
      <c r="N71" s="58"/>
      <c r="P71" s="218" t="s">
        <v>51</v>
      </c>
      <c r="Q71" s="219">
        <f>SUM(Q60:Q70)</f>
        <v>0</v>
      </c>
      <c r="R71" s="177"/>
      <c r="S71" s="177"/>
      <c r="T71" s="220"/>
      <c r="U71" s="58"/>
      <c r="W71" s="178" t="s">
        <v>51</v>
      </c>
      <c r="X71" s="219">
        <f>SUM(X60:X70)</f>
        <v>0</v>
      </c>
      <c r="Y71" s="177"/>
      <c r="Z71" s="177"/>
      <c r="AA71" s="58"/>
      <c r="AB71" s="58"/>
      <c r="AC71" s="166"/>
    </row>
    <row r="72" spans="2:29" ht="15.75" customHeight="1">
      <c r="B72" s="218" t="s">
        <v>52</v>
      </c>
      <c r="C72" s="219">
        <f>C71-C70-C69-C68-C67</f>
        <v>9</v>
      </c>
      <c r="D72" s="58"/>
      <c r="E72" s="58"/>
      <c r="F72" s="220"/>
      <c r="G72" s="58"/>
      <c r="I72" s="218" t="s">
        <v>52</v>
      </c>
      <c r="J72" s="219">
        <f>J71-J70-J69-J68-J67</f>
        <v>0</v>
      </c>
      <c r="K72" s="58"/>
      <c r="L72" s="58"/>
      <c r="M72" s="220"/>
      <c r="N72" s="58"/>
      <c r="P72" s="218" t="s">
        <v>52</v>
      </c>
      <c r="Q72" s="219">
        <f>Q71-Q70-Q69-Q68-Q67</f>
        <v>0</v>
      </c>
      <c r="R72" s="58"/>
      <c r="S72" s="58"/>
      <c r="T72" s="220"/>
      <c r="U72" s="58"/>
      <c r="W72" s="178" t="s">
        <v>52</v>
      </c>
      <c r="X72" s="219">
        <f>X71-X70-X69-X68-X67</f>
        <v>0</v>
      </c>
      <c r="Y72" s="58"/>
      <c r="Z72" s="58"/>
      <c r="AA72" s="58"/>
      <c r="AB72" s="58"/>
      <c r="AC72" s="166"/>
    </row>
    <row r="73" spans="2:29" ht="15.75" customHeight="1">
      <c r="W73" s="180"/>
      <c r="AA73" s="2"/>
      <c r="AC73" s="166"/>
    </row>
    <row r="74" spans="2:29" ht="15.75" customHeight="1">
      <c r="W74" s="165"/>
      <c r="X74" s="165"/>
      <c r="Y74" s="165"/>
      <c r="Z74" s="165"/>
      <c r="AA74" s="165"/>
      <c r="AB74" s="186"/>
      <c r="AC74" s="166"/>
    </row>
    <row r="75" spans="2:29" s="166" customFormat="1" ht="15.75" customHeight="1">
      <c r="B75" s="187"/>
      <c r="C75" s="165"/>
      <c r="D75" s="165"/>
      <c r="E75" s="165"/>
      <c r="F75" s="220"/>
      <c r="G75" s="165"/>
      <c r="I75" s="187"/>
      <c r="J75" s="165"/>
      <c r="K75" s="165"/>
      <c r="L75" s="165"/>
      <c r="M75" s="220"/>
      <c r="N75" s="165"/>
      <c r="P75" s="187"/>
      <c r="Q75" s="165"/>
      <c r="R75" s="165"/>
      <c r="S75" s="165"/>
      <c r="T75" s="220"/>
      <c r="U75" s="165"/>
      <c r="W75" s="165"/>
      <c r="X75" s="165"/>
      <c r="Y75" s="165"/>
      <c r="Z75" s="165"/>
      <c r="AA75" s="165"/>
      <c r="AB75" s="186"/>
    </row>
    <row r="76" spans="2:29" s="166" customFormat="1" ht="15.6">
      <c r="B76" s="225" t="s">
        <v>212</v>
      </c>
      <c r="C76" s="204"/>
      <c r="D76" s="204"/>
      <c r="E76" s="204"/>
      <c r="F76" s="205"/>
      <c r="G76" s="204"/>
      <c r="I76" s="225" t="s">
        <v>212</v>
      </c>
      <c r="J76" s="204"/>
      <c r="K76" s="204"/>
      <c r="L76" s="204"/>
      <c r="M76" s="205"/>
      <c r="N76" s="204"/>
      <c r="P76" s="225" t="s">
        <v>212</v>
      </c>
      <c r="Q76" s="204"/>
      <c r="R76" s="204"/>
      <c r="S76" s="204"/>
      <c r="T76" s="205"/>
      <c r="U76" s="204"/>
      <c r="W76" s="225" t="s">
        <v>212</v>
      </c>
      <c r="X76" s="204"/>
      <c r="Y76" s="204"/>
      <c r="Z76" s="204"/>
      <c r="AA76" s="205"/>
      <c r="AB76" s="204"/>
    </row>
    <row r="77" spans="2:29" ht="36" customHeight="1">
      <c r="B77" s="206" t="s">
        <v>42</v>
      </c>
      <c r="C77" s="207" t="s">
        <v>43</v>
      </c>
      <c r="D77" s="207" t="s">
        <v>44</v>
      </c>
      <c r="E77" s="207" t="s">
        <v>45</v>
      </c>
      <c r="F77" s="206" t="s">
        <v>46</v>
      </c>
      <c r="G77" s="207" t="s">
        <v>47</v>
      </c>
      <c r="I77" s="206" t="s">
        <v>42</v>
      </c>
      <c r="J77" s="207" t="s">
        <v>43</v>
      </c>
      <c r="K77" s="207" t="s">
        <v>44</v>
      </c>
      <c r="L77" s="207" t="s">
        <v>45</v>
      </c>
      <c r="M77" s="206" t="s">
        <v>46</v>
      </c>
      <c r="N77" s="207" t="s">
        <v>47</v>
      </c>
      <c r="P77" s="206" t="s">
        <v>42</v>
      </c>
      <c r="Q77" s="207" t="s">
        <v>43</v>
      </c>
      <c r="R77" s="207" t="s">
        <v>44</v>
      </c>
      <c r="S77" s="207" t="s">
        <v>45</v>
      </c>
      <c r="T77" s="206" t="s">
        <v>46</v>
      </c>
      <c r="U77" s="207" t="s">
        <v>47</v>
      </c>
      <c r="W77" s="164" t="s">
        <v>42</v>
      </c>
      <c r="X77" s="164" t="s">
        <v>43</v>
      </c>
      <c r="Y77" s="164" t="s">
        <v>44</v>
      </c>
      <c r="Z77" s="164" t="s">
        <v>45</v>
      </c>
      <c r="AA77" s="164" t="s">
        <v>46</v>
      </c>
      <c r="AB77" s="164" t="s">
        <v>47</v>
      </c>
      <c r="AC77" s="166"/>
    </row>
    <row r="78" spans="2:29" ht="18.75" customHeight="1">
      <c r="B78" s="228" t="s">
        <v>48</v>
      </c>
      <c r="C78" s="208">
        <f>COUNTIFS('1. All Data'!$AB$3:$AB$136,"Regeneration and Development",'1. All Data'!$H$3:$H$136,"Fully Achieved")</f>
        <v>0</v>
      </c>
      <c r="D78" s="209">
        <f>C78/C89</f>
        <v>0</v>
      </c>
      <c r="E78" s="390">
        <f>D78+D79</f>
        <v>0.64</v>
      </c>
      <c r="F78" s="210">
        <f>C78/C90</f>
        <v>0</v>
      </c>
      <c r="G78" s="392">
        <f>F78+F79</f>
        <v>0.88888888888888884</v>
      </c>
      <c r="I78" s="228" t="s">
        <v>48</v>
      </c>
      <c r="J78" s="208">
        <f>COUNTIFS('1. All Data'!$AB$3:$AB$136,"Regeneration and Development",'1. All Data'!$M$3:$M$136,"Fully Achieved")</f>
        <v>0</v>
      </c>
      <c r="K78" s="209" t="e">
        <f>J78/J89</f>
        <v>#DIV/0!</v>
      </c>
      <c r="L78" s="390" t="e">
        <f>K78+K79</f>
        <v>#DIV/0!</v>
      </c>
      <c r="M78" s="210" t="e">
        <f>J78/J90</f>
        <v>#DIV/0!</v>
      </c>
      <c r="N78" s="392" t="e">
        <f>M78+M79</f>
        <v>#DIV/0!</v>
      </c>
      <c r="P78" s="228" t="s">
        <v>48</v>
      </c>
      <c r="Q78" s="208">
        <f>COUNTIFS('1. All Data'!$AB$3:$AB$136,"Regeneration and Development",'1. All Data'!$R$3:$R$136,"Fully Achieved")</f>
        <v>0</v>
      </c>
      <c r="R78" s="209" t="e">
        <f>Q78/Q89</f>
        <v>#DIV/0!</v>
      </c>
      <c r="S78" s="390" t="e">
        <f>R78+R79</f>
        <v>#DIV/0!</v>
      </c>
      <c r="T78" s="210" t="e">
        <f>Q78/Q90</f>
        <v>#DIV/0!</v>
      </c>
      <c r="U78" s="392" t="e">
        <f>T78+T79</f>
        <v>#DIV/0!</v>
      </c>
      <c r="W78" s="228" t="s">
        <v>48</v>
      </c>
      <c r="X78" s="208">
        <f>COUNTIFS('1. All Data'!$AB$3:$AB$136,"Regeneration and Development",'1. All Data'!$V$3:$V$136,"Fully Achieved")</f>
        <v>0</v>
      </c>
      <c r="Y78" s="209" t="e">
        <f>X78/X89</f>
        <v>#DIV/0!</v>
      </c>
      <c r="Z78" s="390" t="e">
        <f>Y78+Y79</f>
        <v>#DIV/0!</v>
      </c>
      <c r="AA78" s="209" t="e">
        <f>X78/X90</f>
        <v>#DIV/0!</v>
      </c>
      <c r="AB78" s="371" t="e">
        <f>AA78+AA79</f>
        <v>#DIV/0!</v>
      </c>
      <c r="AC78" s="166"/>
    </row>
    <row r="79" spans="2:29" ht="18.75" customHeight="1">
      <c r="B79" s="228" t="s">
        <v>31</v>
      </c>
      <c r="C79" s="208">
        <f>COUNTIFS('1. All Data'!$AB$3:$AB$136,"Regeneration and Development",'1. All Data'!$H$3:$H$136,"On Track to be Achieved")</f>
        <v>16</v>
      </c>
      <c r="D79" s="209">
        <f>C79/C89</f>
        <v>0.64</v>
      </c>
      <c r="E79" s="390"/>
      <c r="F79" s="210">
        <f>C79/C90</f>
        <v>0.88888888888888884</v>
      </c>
      <c r="G79" s="392"/>
      <c r="I79" s="228" t="s">
        <v>31</v>
      </c>
      <c r="J79" s="208">
        <f>COUNTIFS('1. All Data'!$AB$3:$AB$136,"Regeneration and Development",'1. All Data'!$M$3:$M$136,"On Track to be Achieved")</f>
        <v>0</v>
      </c>
      <c r="K79" s="209" t="e">
        <f>J79/J89</f>
        <v>#DIV/0!</v>
      </c>
      <c r="L79" s="390"/>
      <c r="M79" s="210" t="e">
        <f>J79/J90</f>
        <v>#DIV/0!</v>
      </c>
      <c r="N79" s="392"/>
      <c r="P79" s="228" t="s">
        <v>31</v>
      </c>
      <c r="Q79" s="208">
        <f>COUNTIFS('1. All Data'!$AB$3:$AB$136,"Regeneration and Development",'1. All Data'!$R$3:$R$136,"On Track to be Achieved")</f>
        <v>0</v>
      </c>
      <c r="R79" s="209" t="e">
        <f>Q79/Q89</f>
        <v>#DIV/0!</v>
      </c>
      <c r="S79" s="390"/>
      <c r="T79" s="210" t="e">
        <f>Q79/Q90</f>
        <v>#DIV/0!</v>
      </c>
      <c r="U79" s="392"/>
      <c r="W79" s="228" t="s">
        <v>23</v>
      </c>
      <c r="X79" s="208">
        <f>COUNTIFS('1. All Data'!$AB$3:$AB$136,"Regeneration and Development",'1. All Data'!$V$3:$V$136,"Numerical Outturn Within 5% Tolerance")</f>
        <v>0</v>
      </c>
      <c r="Y79" s="209" t="e">
        <f>X79/X89</f>
        <v>#DIV/0!</v>
      </c>
      <c r="Z79" s="390"/>
      <c r="AA79" s="209" t="e">
        <f>X79/X90</f>
        <v>#DIV/0!</v>
      </c>
      <c r="AB79" s="371"/>
      <c r="AC79" s="166"/>
    </row>
    <row r="80" spans="2:29" ht="16.5" customHeight="1">
      <c r="B80" s="402" t="s">
        <v>32</v>
      </c>
      <c r="C80" s="405">
        <f>COUNTIFS('1. All Data'!$AB$3:$AB$136,"Regeneration and Development",'1. All Data'!$H$3:$H$136,"In Danger of Falling Behind Target")</f>
        <v>2</v>
      </c>
      <c r="D80" s="393">
        <f>C80/C89</f>
        <v>0.08</v>
      </c>
      <c r="E80" s="393">
        <f>D80</f>
        <v>0.08</v>
      </c>
      <c r="F80" s="396">
        <f>C80/C90</f>
        <v>0.1111111111111111</v>
      </c>
      <c r="G80" s="399">
        <f>F80</f>
        <v>0.1111111111111111</v>
      </c>
      <c r="I80" s="402" t="s">
        <v>32</v>
      </c>
      <c r="J80" s="405">
        <f>COUNTIFS('1. All Data'!$AB$3:$AB$136,"Regeneration and Development",'1. All Data'!$M$3:$M$136,"In Danger of Falling Behind Target")</f>
        <v>0</v>
      </c>
      <c r="K80" s="393" t="e">
        <f>J80/J89</f>
        <v>#DIV/0!</v>
      </c>
      <c r="L80" s="393" t="e">
        <f>K80</f>
        <v>#DIV/0!</v>
      </c>
      <c r="M80" s="396" t="e">
        <f>J80/J90</f>
        <v>#DIV/0!</v>
      </c>
      <c r="N80" s="399" t="e">
        <f>M80</f>
        <v>#DIV/0!</v>
      </c>
      <c r="P80" s="402" t="s">
        <v>32</v>
      </c>
      <c r="Q80" s="405">
        <f>COUNTIFS('1. All Data'!$AB$3:$AB$136,"Regeneration and Development",'1. All Data'!$R$3:$R$136,"In Danger of Falling Behind Target")</f>
        <v>0</v>
      </c>
      <c r="R80" s="393" t="e">
        <f>Q80/Q89</f>
        <v>#DIV/0!</v>
      </c>
      <c r="S80" s="393" t="e">
        <f>R80</f>
        <v>#DIV/0!</v>
      </c>
      <c r="T80" s="396" t="e">
        <f>Q80/Q90</f>
        <v>#DIV/0!</v>
      </c>
      <c r="U80" s="399" t="e">
        <f>T80</f>
        <v>#DIV/0!</v>
      </c>
      <c r="W80" s="169" t="s">
        <v>24</v>
      </c>
      <c r="X80" s="170">
        <f>COUNTIFS('1. All Data'!$AB$3:$AB$136,"Regeneration and Development",'1. All Data'!$V$3:$V$136,"Numerical Outturn Within 10% Tolerance")</f>
        <v>0</v>
      </c>
      <c r="Y80" s="168" t="e">
        <f>X80/X89</f>
        <v>#DIV/0!</v>
      </c>
      <c r="Z80" s="369" t="e">
        <f>SUM(Y80:Y82)</f>
        <v>#DIV/0!</v>
      </c>
      <c r="AA80" s="168" t="e">
        <f>X80/X90</f>
        <v>#DIV/0!</v>
      </c>
      <c r="AB80" s="378" t="e">
        <f>SUM(AA80:AA82)</f>
        <v>#DIV/0!</v>
      </c>
      <c r="AC80" s="166"/>
    </row>
    <row r="81" spans="2:29" ht="16.5" customHeight="1">
      <c r="B81" s="403"/>
      <c r="C81" s="406"/>
      <c r="D81" s="394"/>
      <c r="E81" s="394"/>
      <c r="F81" s="397"/>
      <c r="G81" s="400"/>
      <c r="I81" s="403"/>
      <c r="J81" s="406"/>
      <c r="K81" s="394"/>
      <c r="L81" s="394"/>
      <c r="M81" s="397"/>
      <c r="N81" s="400"/>
      <c r="P81" s="403"/>
      <c r="Q81" s="406"/>
      <c r="R81" s="394"/>
      <c r="S81" s="394"/>
      <c r="T81" s="397"/>
      <c r="U81" s="400"/>
      <c r="W81" s="169" t="s">
        <v>25</v>
      </c>
      <c r="X81" s="170">
        <f>COUNTIFS('1. All Data'!$AB$3:$AB$136,"Regeneration and Development",'1. All Data'!$V$3:$V$136,"Target Partially Met")</f>
        <v>0</v>
      </c>
      <c r="Y81" s="168" t="e">
        <f>X81/X89</f>
        <v>#DIV/0!</v>
      </c>
      <c r="Z81" s="369"/>
      <c r="AA81" s="168" t="e">
        <f>X81/X90</f>
        <v>#DIV/0!</v>
      </c>
      <c r="AB81" s="378"/>
      <c r="AC81" s="166"/>
    </row>
    <row r="82" spans="2:29" ht="16.5" customHeight="1">
      <c r="B82" s="404"/>
      <c r="C82" s="407"/>
      <c r="D82" s="395"/>
      <c r="E82" s="395"/>
      <c r="F82" s="398"/>
      <c r="G82" s="401"/>
      <c r="I82" s="404"/>
      <c r="J82" s="407"/>
      <c r="K82" s="395"/>
      <c r="L82" s="395"/>
      <c r="M82" s="398"/>
      <c r="N82" s="401"/>
      <c r="P82" s="404"/>
      <c r="Q82" s="407"/>
      <c r="R82" s="395"/>
      <c r="S82" s="395"/>
      <c r="T82" s="398"/>
      <c r="U82" s="401"/>
      <c r="W82" s="169" t="s">
        <v>28</v>
      </c>
      <c r="X82" s="170">
        <f>COUNTIFS('1. All Data'!$AB$3:$AB$136,"Regeneration and Development",'1. All Data'!$V$3:$V$136,"Completion Date Within Reasonable Tolerance")</f>
        <v>0</v>
      </c>
      <c r="Y82" s="168" t="e">
        <f>X82/X89</f>
        <v>#DIV/0!</v>
      </c>
      <c r="Z82" s="369"/>
      <c r="AA82" s="168" t="e">
        <f>X82/X90</f>
        <v>#DIV/0!</v>
      </c>
      <c r="AB82" s="378"/>
      <c r="AC82" s="166"/>
    </row>
    <row r="83" spans="2:29" ht="22.5" customHeight="1">
      <c r="B83" s="211" t="s">
        <v>33</v>
      </c>
      <c r="C83" s="208">
        <f>COUNTIFS('1. All Data'!$AB$3:$AB$136,"Regeneration and Development",'1. All Data'!$H$3:$H$136,"Completed Behind Schedule")</f>
        <v>0</v>
      </c>
      <c r="D83" s="209">
        <f>C83/C89</f>
        <v>0</v>
      </c>
      <c r="E83" s="390">
        <f>D83+D84</f>
        <v>0</v>
      </c>
      <c r="F83" s="210">
        <f>C83/C90</f>
        <v>0</v>
      </c>
      <c r="G83" s="391">
        <f>F83+F84</f>
        <v>0</v>
      </c>
      <c r="I83" s="211" t="s">
        <v>33</v>
      </c>
      <c r="J83" s="208">
        <f>COUNTIFS('1. All Data'!$AB$3:$AB$136,"Regeneration and Development",'1. All Data'!$M$3:$M$136,"Completed Behind Schedule")</f>
        <v>0</v>
      </c>
      <c r="K83" s="209" t="e">
        <f>J83/J89</f>
        <v>#DIV/0!</v>
      </c>
      <c r="L83" s="390" t="e">
        <f>K83+K84</f>
        <v>#DIV/0!</v>
      </c>
      <c r="M83" s="210" t="e">
        <f>J83/J90</f>
        <v>#DIV/0!</v>
      </c>
      <c r="N83" s="391" t="e">
        <f>M83+M84</f>
        <v>#DIV/0!</v>
      </c>
      <c r="P83" s="211" t="s">
        <v>33</v>
      </c>
      <c r="Q83" s="208">
        <f>COUNTIFS('1. All Data'!$AB$3:$AB$136,"Regeneration and Development",'1. All Data'!$R$3:$R$136,"Completed Behind Schedule")</f>
        <v>0</v>
      </c>
      <c r="R83" s="209" t="e">
        <f>Q83/Q89</f>
        <v>#DIV/0!</v>
      </c>
      <c r="S83" s="390" t="e">
        <f>R83+R84</f>
        <v>#DIV/0!</v>
      </c>
      <c r="T83" s="210" t="e">
        <f>Q83/Q90</f>
        <v>#DIV/0!</v>
      </c>
      <c r="U83" s="391" t="e">
        <f>T83+T84</f>
        <v>#DIV/0!</v>
      </c>
      <c r="W83" s="171" t="s">
        <v>27</v>
      </c>
      <c r="X83" s="208">
        <f>COUNTIFS('1. All Data'!$AB$3:$AB$136,"Regeneration and Development",'1. All Data'!$V$3:$V$136,"Completed Significantly After Target Deadline")</f>
        <v>0</v>
      </c>
      <c r="Y83" s="209" t="e">
        <f>X83/X89</f>
        <v>#DIV/0!</v>
      </c>
      <c r="Z83" s="390" t="e">
        <f>Y83+Y84</f>
        <v>#DIV/0!</v>
      </c>
      <c r="AA83" s="168" t="e">
        <f>X83/X90</f>
        <v>#DIV/0!</v>
      </c>
      <c r="AB83" s="370" t="e">
        <f>AA83+AA84</f>
        <v>#DIV/0!</v>
      </c>
      <c r="AC83" s="166"/>
    </row>
    <row r="84" spans="2:29" ht="22.5" customHeight="1">
      <c r="B84" s="211" t="s">
        <v>26</v>
      </c>
      <c r="C84" s="208">
        <f>COUNTIFS('1. All Data'!$AB$3:$AB$136,"Regeneration and Development",'1. All Data'!$H$3:$H$136,"Off Target")</f>
        <v>0</v>
      </c>
      <c r="D84" s="209">
        <f>C84/C89</f>
        <v>0</v>
      </c>
      <c r="E84" s="390"/>
      <c r="F84" s="210">
        <f>C84/C90</f>
        <v>0</v>
      </c>
      <c r="G84" s="391"/>
      <c r="I84" s="211" t="s">
        <v>26</v>
      </c>
      <c r="J84" s="208">
        <f>COUNTIFS('1. All Data'!$AB$3:$AB$136,"Regeneration and Development",'1. All Data'!$M$3:$M$136,"Off Target")</f>
        <v>0</v>
      </c>
      <c r="K84" s="209" t="e">
        <f>J84/J89</f>
        <v>#DIV/0!</v>
      </c>
      <c r="L84" s="390"/>
      <c r="M84" s="210" t="e">
        <f>J84/J90</f>
        <v>#DIV/0!</v>
      </c>
      <c r="N84" s="391"/>
      <c r="P84" s="211" t="s">
        <v>26</v>
      </c>
      <c r="Q84" s="208">
        <f>COUNTIFS('1. All Data'!$AB$3:$AB$136,"Regeneration and Development",'1. All Data'!$R$3:$R$136,"Off Target")</f>
        <v>0</v>
      </c>
      <c r="R84" s="209" t="e">
        <f>Q84/Q89</f>
        <v>#DIV/0!</v>
      </c>
      <c r="S84" s="390"/>
      <c r="T84" s="210" t="e">
        <f>Q84/Q90</f>
        <v>#DIV/0!</v>
      </c>
      <c r="U84" s="391"/>
      <c r="W84" s="171" t="s">
        <v>26</v>
      </c>
      <c r="X84" s="208">
        <f>COUNTIFS('1. All Data'!$AB$3:$AB$136,"Regeneration and Development",'1. All Data'!$V$3:$V$136,"Off Target")</f>
        <v>0</v>
      </c>
      <c r="Y84" s="209" t="e">
        <f>X84/X89</f>
        <v>#DIV/0!</v>
      </c>
      <c r="Z84" s="390"/>
      <c r="AA84" s="168" t="e">
        <f>X84/X90</f>
        <v>#DIV/0!</v>
      </c>
      <c r="AB84" s="370"/>
      <c r="AC84" s="166"/>
    </row>
    <row r="85" spans="2:29" ht="15.75" customHeight="1">
      <c r="B85" s="212" t="s">
        <v>49</v>
      </c>
      <c r="C85" s="208">
        <f>COUNTIFS('1. All Data'!$AB$3:$AB$136,"Regeneration and Development",'1. All Data'!$H$3:$H$136,"Not yet due")</f>
        <v>7</v>
      </c>
      <c r="D85" s="213">
        <f>C85/C89</f>
        <v>0.28000000000000003</v>
      </c>
      <c r="E85" s="213">
        <f>D85</f>
        <v>0.28000000000000003</v>
      </c>
      <c r="F85" s="214"/>
      <c r="G85" s="58"/>
      <c r="I85" s="212" t="s">
        <v>49</v>
      </c>
      <c r="J85" s="208">
        <f>COUNTIFS('1. All Data'!$AB$3:$AB$136,"Regeneration and Development",'1. All Data'!$M$3:$M$136,"Not yet due")</f>
        <v>0</v>
      </c>
      <c r="K85" s="213" t="e">
        <f>J85/J89</f>
        <v>#DIV/0!</v>
      </c>
      <c r="L85" s="213" t="e">
        <f>K85</f>
        <v>#DIV/0!</v>
      </c>
      <c r="M85" s="214"/>
      <c r="N85" s="58"/>
      <c r="P85" s="212" t="s">
        <v>49</v>
      </c>
      <c r="Q85" s="208">
        <f>COUNTIFS('1. All Data'!$AB$3:$AB$136,"Regeneration and Development",'1. All Data'!$R$3:$R$136,"Not yet due")</f>
        <v>0</v>
      </c>
      <c r="R85" s="213" t="e">
        <f>Q85/Q89</f>
        <v>#DIV/0!</v>
      </c>
      <c r="S85" s="213" t="e">
        <f>R85</f>
        <v>#DIV/0!</v>
      </c>
      <c r="T85" s="214"/>
      <c r="U85" s="58"/>
      <c r="W85" s="172" t="s">
        <v>49</v>
      </c>
      <c r="X85" s="208">
        <f>COUNTIFS('1. All Data'!$AB$3:$AB$136,"Regeneration and Development",'1. All Data'!$V$3:$V$136,"Not yet due")</f>
        <v>0</v>
      </c>
      <c r="Y85" s="213" t="e">
        <f>X85/X89</f>
        <v>#DIV/0!</v>
      </c>
      <c r="Z85" s="213" t="e">
        <f>Y85</f>
        <v>#DIV/0!</v>
      </c>
      <c r="AA85" s="174"/>
      <c r="AB85" s="58"/>
      <c r="AC85" s="166"/>
    </row>
    <row r="86" spans="2:29" ht="15.75" customHeight="1">
      <c r="B86" s="212" t="s">
        <v>21</v>
      </c>
      <c r="C86" s="208">
        <f>COUNTIFS('1. All Data'!$AB$3:$AB$136,"Regeneration and Development",'1. All Data'!$H$3:$H$136,"Update not provided")</f>
        <v>0</v>
      </c>
      <c r="D86" s="213">
        <f>C86/C89</f>
        <v>0</v>
      </c>
      <c r="E86" s="213">
        <f>D86</f>
        <v>0</v>
      </c>
      <c r="F86" s="214"/>
      <c r="G86" s="2"/>
      <c r="I86" s="212" t="s">
        <v>21</v>
      </c>
      <c r="J86" s="208">
        <f>COUNTIFS('1. All Data'!$AB$3:$AB$136,"Regeneration and Development",'1. All Data'!$M$3:$M$136,"Update not provided")</f>
        <v>0</v>
      </c>
      <c r="K86" s="213" t="e">
        <f>J86/J89</f>
        <v>#DIV/0!</v>
      </c>
      <c r="L86" s="213" t="e">
        <f>K86</f>
        <v>#DIV/0!</v>
      </c>
      <c r="M86" s="214"/>
      <c r="N86" s="2"/>
      <c r="P86" s="212" t="s">
        <v>21</v>
      </c>
      <c r="Q86" s="208">
        <f>COUNTIFS('1. All Data'!$AB$3:$AB$136,"Regeneration and Development",'1. All Data'!$R$3:$R$136,"Update not provided")</f>
        <v>0</v>
      </c>
      <c r="R86" s="213" t="e">
        <f>Q86/Q89</f>
        <v>#DIV/0!</v>
      </c>
      <c r="S86" s="213" t="e">
        <f>R86</f>
        <v>#DIV/0!</v>
      </c>
      <c r="T86" s="214"/>
      <c r="U86" s="2"/>
      <c r="W86" s="172" t="s">
        <v>21</v>
      </c>
      <c r="X86" s="208">
        <f>COUNTIFS('1. All Data'!$AB$3:$AB$136,"Regeneration and Development",'1. All Data'!$V$3:$V$136,"Update not provided")</f>
        <v>0</v>
      </c>
      <c r="Y86" s="213" t="e">
        <f>X86/X89</f>
        <v>#DIV/0!</v>
      </c>
      <c r="Z86" s="213" t="e">
        <f>Y86</f>
        <v>#DIV/0!</v>
      </c>
      <c r="AA86" s="174"/>
      <c r="AB86" s="2"/>
      <c r="AC86" s="166"/>
    </row>
    <row r="87" spans="2:29" ht="15.75" customHeight="1">
      <c r="B87" s="215" t="s">
        <v>29</v>
      </c>
      <c r="C87" s="208">
        <f>COUNTIFS('1. All Data'!$AB$3:$AB$136,"Regeneration and Development",'1. All Data'!$H$3:$H$136,"Deferred")</f>
        <v>0</v>
      </c>
      <c r="D87" s="216">
        <f>C87/C89</f>
        <v>0</v>
      </c>
      <c r="E87" s="216">
        <f>D87</f>
        <v>0</v>
      </c>
      <c r="F87" s="217"/>
      <c r="G87" s="58"/>
      <c r="I87" s="215" t="s">
        <v>29</v>
      </c>
      <c r="J87" s="208">
        <f>COUNTIFS('1. All Data'!$AB$3:$AB$136,"Regeneration and Development",'1. All Data'!$M$3:$M$136,"Deferred")</f>
        <v>0</v>
      </c>
      <c r="K87" s="216" t="e">
        <f>J87/J89</f>
        <v>#DIV/0!</v>
      </c>
      <c r="L87" s="216" t="e">
        <f>K87</f>
        <v>#DIV/0!</v>
      </c>
      <c r="M87" s="217"/>
      <c r="N87" s="58"/>
      <c r="P87" s="215" t="s">
        <v>29</v>
      </c>
      <c r="Q87" s="208">
        <f>COUNTIFS('1. All Data'!$AB$3:$AB$136,"Regeneration and Development",'1. All Data'!$R$3:$R$136,"Deferred")</f>
        <v>0</v>
      </c>
      <c r="R87" s="216" t="e">
        <f>Q87/Q89</f>
        <v>#DIV/0!</v>
      </c>
      <c r="S87" s="216" t="e">
        <f>R87</f>
        <v>#DIV/0!</v>
      </c>
      <c r="T87" s="217"/>
      <c r="U87" s="58"/>
      <c r="W87" s="175" t="s">
        <v>29</v>
      </c>
      <c r="X87" s="208">
        <f>COUNTIFS('1. All Data'!$AB$3:$AB$136,"Regeneration and Development",'1. All Data'!$V$3:$V$136,"Deferred")</f>
        <v>0</v>
      </c>
      <c r="Y87" s="216" t="e">
        <f>X87/X89</f>
        <v>#DIV/0!</v>
      </c>
      <c r="Z87" s="216" t="e">
        <f>Y87</f>
        <v>#DIV/0!</v>
      </c>
      <c r="AA87" s="177"/>
      <c r="AB87" s="58"/>
      <c r="AC87" s="166"/>
    </row>
    <row r="88" spans="2:29" ht="15.75" customHeight="1">
      <c r="B88" s="215" t="s">
        <v>30</v>
      </c>
      <c r="C88" s="208">
        <f>COUNTIFS('1. All Data'!$AB$3:$AB$136,"Regeneration and Development",'1. All Data'!$H$3:$H$136,"Deleted")</f>
        <v>0</v>
      </c>
      <c r="D88" s="216">
        <f>C88/C89</f>
        <v>0</v>
      </c>
      <c r="E88" s="216">
        <f>D88</f>
        <v>0</v>
      </c>
      <c r="F88" s="217"/>
      <c r="G88" s="29"/>
      <c r="I88" s="215" t="s">
        <v>30</v>
      </c>
      <c r="J88" s="208">
        <f>COUNTIFS('1. All Data'!$AB$3:$AB$136,"Regeneration and Development",'1. All Data'!$M$3:$M$136,"Deleted")</f>
        <v>0</v>
      </c>
      <c r="K88" s="216" t="e">
        <f>J88/J89</f>
        <v>#DIV/0!</v>
      </c>
      <c r="L88" s="216" t="e">
        <f>K88</f>
        <v>#DIV/0!</v>
      </c>
      <c r="M88" s="217"/>
      <c r="N88" s="29"/>
      <c r="P88" s="215" t="s">
        <v>30</v>
      </c>
      <c r="Q88" s="208">
        <f>COUNTIFS('1. All Data'!$AB$3:$AB$136,"Regeneration and Development",'1. All Data'!$R$3:$R$136,"Deleted")</f>
        <v>0</v>
      </c>
      <c r="R88" s="216" t="e">
        <f>Q88/Q89</f>
        <v>#DIV/0!</v>
      </c>
      <c r="S88" s="216" t="e">
        <f>R88</f>
        <v>#DIV/0!</v>
      </c>
      <c r="T88" s="217"/>
      <c r="U88" s="29"/>
      <c r="W88" s="175" t="s">
        <v>30</v>
      </c>
      <c r="X88" s="208">
        <f>COUNTIFS('1. All Data'!$AB$3:$AB$136,"Regeneration and Development",'1. All Data'!$V$3:$V$136,"Deleted")</f>
        <v>0</v>
      </c>
      <c r="Y88" s="216" t="e">
        <f>X88/X89</f>
        <v>#DIV/0!</v>
      </c>
      <c r="Z88" s="216" t="e">
        <f>Y88</f>
        <v>#DIV/0!</v>
      </c>
      <c r="AA88" s="177"/>
      <c r="AB88" s="3"/>
      <c r="AC88" s="166"/>
    </row>
    <row r="89" spans="2:29" ht="15.75" customHeight="1">
      <c r="B89" s="218" t="s">
        <v>51</v>
      </c>
      <c r="C89" s="219">
        <f>SUM(C78:C88)</f>
        <v>25</v>
      </c>
      <c r="D89" s="177"/>
      <c r="E89" s="177"/>
      <c r="F89" s="220"/>
      <c r="G89" s="58"/>
      <c r="I89" s="218" t="s">
        <v>51</v>
      </c>
      <c r="J89" s="219">
        <f>SUM(J78:J88)</f>
        <v>0</v>
      </c>
      <c r="K89" s="177"/>
      <c r="L89" s="177"/>
      <c r="M89" s="220"/>
      <c r="N89" s="58"/>
      <c r="P89" s="218" t="s">
        <v>51</v>
      </c>
      <c r="Q89" s="219">
        <f>SUM(Q78:Q88)</f>
        <v>0</v>
      </c>
      <c r="R89" s="177"/>
      <c r="S89" s="177"/>
      <c r="T89" s="220"/>
      <c r="U89" s="58"/>
      <c r="W89" s="178" t="s">
        <v>51</v>
      </c>
      <c r="X89" s="219">
        <f>SUM(X78:X88)</f>
        <v>0</v>
      </c>
      <c r="Y89" s="177"/>
      <c r="Z89" s="177"/>
      <c r="AA89" s="58"/>
      <c r="AB89" s="58"/>
      <c r="AC89" s="166"/>
    </row>
    <row r="90" spans="2:29" ht="15.75" customHeight="1">
      <c r="B90" s="218" t="s">
        <v>52</v>
      </c>
      <c r="C90" s="219">
        <f>C89-C88-C87-C86-C85</f>
        <v>18</v>
      </c>
      <c r="D90" s="58"/>
      <c r="E90" s="58"/>
      <c r="F90" s="220"/>
      <c r="G90" s="58"/>
      <c r="I90" s="218" t="s">
        <v>52</v>
      </c>
      <c r="J90" s="219">
        <f>J89-J88-J87-J86-J85</f>
        <v>0</v>
      </c>
      <c r="K90" s="58"/>
      <c r="L90" s="58"/>
      <c r="M90" s="220"/>
      <c r="N90" s="58"/>
      <c r="P90" s="218" t="s">
        <v>52</v>
      </c>
      <c r="Q90" s="219">
        <f>Q89-Q88-Q87-Q86-Q85</f>
        <v>0</v>
      </c>
      <c r="R90" s="58"/>
      <c r="S90" s="58"/>
      <c r="T90" s="220"/>
      <c r="U90" s="58"/>
      <c r="W90" s="178" t="s">
        <v>52</v>
      </c>
      <c r="X90" s="219">
        <f>X89-X88-X87-X86-X85</f>
        <v>0</v>
      </c>
      <c r="Y90" s="58"/>
      <c r="Z90" s="58"/>
      <c r="AA90" s="58"/>
      <c r="AB90" s="58"/>
      <c r="AC90" s="166"/>
    </row>
    <row r="91" spans="2:29" ht="15.75" customHeight="1">
      <c r="W91" s="180"/>
      <c r="AA91" s="2"/>
      <c r="AC91" s="166"/>
    </row>
    <row r="92" spans="2:29" ht="15.75" customHeight="1">
      <c r="W92" s="165"/>
      <c r="X92" s="165"/>
      <c r="Y92" s="165"/>
      <c r="Z92" s="165"/>
      <c r="AA92" s="165"/>
      <c r="AB92" s="186"/>
      <c r="AC92" s="166"/>
    </row>
    <row r="93" spans="2:29" ht="15.75" customHeight="1">
      <c r="W93" s="165"/>
      <c r="X93" s="165"/>
      <c r="Y93" s="165"/>
      <c r="Z93" s="165"/>
      <c r="AA93" s="165"/>
      <c r="AB93" s="186"/>
      <c r="AC93" s="166"/>
    </row>
    <row r="94" spans="2:29" ht="15.6">
      <c r="B94" s="225" t="s">
        <v>117</v>
      </c>
      <c r="C94" s="204"/>
      <c r="D94" s="204"/>
      <c r="E94" s="204"/>
      <c r="F94" s="205"/>
      <c r="G94" s="204"/>
      <c r="I94" s="225" t="s">
        <v>117</v>
      </c>
      <c r="J94" s="204"/>
      <c r="K94" s="204"/>
      <c r="L94" s="204"/>
      <c r="M94" s="205"/>
      <c r="N94" s="204"/>
      <c r="O94" s="166"/>
      <c r="P94" s="225" t="s">
        <v>117</v>
      </c>
      <c r="Q94" s="204"/>
      <c r="R94" s="204"/>
      <c r="S94" s="204"/>
      <c r="T94" s="205"/>
      <c r="U94" s="204"/>
      <c r="V94" s="166"/>
      <c r="W94" s="225" t="s">
        <v>117</v>
      </c>
      <c r="X94" s="204"/>
      <c r="Y94" s="204"/>
      <c r="Z94" s="204"/>
      <c r="AA94" s="205"/>
      <c r="AB94" s="204"/>
      <c r="AC94" s="166"/>
    </row>
    <row r="95" spans="2:29" ht="31.2">
      <c r="B95" s="206" t="s">
        <v>42</v>
      </c>
      <c r="C95" s="207" t="s">
        <v>43</v>
      </c>
      <c r="D95" s="207" t="s">
        <v>44</v>
      </c>
      <c r="E95" s="207" t="s">
        <v>45</v>
      </c>
      <c r="F95" s="206" t="s">
        <v>46</v>
      </c>
      <c r="G95" s="207" t="s">
        <v>47</v>
      </c>
      <c r="I95" s="206" t="s">
        <v>42</v>
      </c>
      <c r="J95" s="207" t="s">
        <v>43</v>
      </c>
      <c r="K95" s="207" t="s">
        <v>44</v>
      </c>
      <c r="L95" s="207" t="s">
        <v>45</v>
      </c>
      <c r="M95" s="206" t="s">
        <v>46</v>
      </c>
      <c r="N95" s="207" t="s">
        <v>47</v>
      </c>
      <c r="P95" s="206" t="s">
        <v>42</v>
      </c>
      <c r="Q95" s="207" t="s">
        <v>43</v>
      </c>
      <c r="R95" s="207" t="s">
        <v>44</v>
      </c>
      <c r="S95" s="207" t="s">
        <v>45</v>
      </c>
      <c r="T95" s="206" t="s">
        <v>46</v>
      </c>
      <c r="U95" s="207" t="s">
        <v>47</v>
      </c>
      <c r="W95" s="164" t="s">
        <v>42</v>
      </c>
      <c r="X95" s="164" t="s">
        <v>43</v>
      </c>
      <c r="Y95" s="164" t="s">
        <v>44</v>
      </c>
      <c r="Z95" s="164" t="s">
        <v>45</v>
      </c>
      <c r="AA95" s="164" t="s">
        <v>46</v>
      </c>
      <c r="AB95" s="164" t="s">
        <v>47</v>
      </c>
      <c r="AC95" s="166"/>
    </row>
    <row r="96" spans="2:29" ht="15.6">
      <c r="B96" s="228" t="s">
        <v>48</v>
      </c>
      <c r="C96" s="208">
        <f>COUNTIFS('1. All Data'!$AB$3:$AB$136,"Tourism and Cultural Development",'1. All Data'!$H$3:$H$136,"Fully Achieved")</f>
        <v>1</v>
      </c>
      <c r="D96" s="289">
        <f>C96/C107</f>
        <v>4.5454545454545456E-2</v>
      </c>
      <c r="E96" s="390">
        <f>D96+D97</f>
        <v>0.72727272727272718</v>
      </c>
      <c r="F96" s="210">
        <f>C96/C108</f>
        <v>6.25E-2</v>
      </c>
      <c r="G96" s="392">
        <f>F96+F97</f>
        <v>1</v>
      </c>
      <c r="I96" s="228" t="s">
        <v>48</v>
      </c>
      <c r="J96" s="208">
        <f>COUNTIFS('1. All Data'!$AB$3:$AB$136,"Tourism and Cultural Development",'1. All Data'!$M$3:$M$136,"Fully Achieved")</f>
        <v>0</v>
      </c>
      <c r="K96" s="289" t="e">
        <f>J96/J107</f>
        <v>#DIV/0!</v>
      </c>
      <c r="L96" s="390" t="e">
        <f>K96+K97</f>
        <v>#DIV/0!</v>
      </c>
      <c r="M96" s="210" t="e">
        <f>J96/J108</f>
        <v>#DIV/0!</v>
      </c>
      <c r="N96" s="392" t="e">
        <f>M96+M97</f>
        <v>#DIV/0!</v>
      </c>
      <c r="P96" s="228" t="s">
        <v>48</v>
      </c>
      <c r="Q96" s="208">
        <f>COUNTIFS('1. All Data'!$AB$3:$AB$136,"Tourism and Cultural Development",'1. All Data'!$R$3:$R$136,"Fully Achieved")</f>
        <v>0</v>
      </c>
      <c r="R96" s="289" t="e">
        <f>Q96/Q107</f>
        <v>#DIV/0!</v>
      </c>
      <c r="S96" s="390" t="e">
        <f>R96+R97</f>
        <v>#DIV/0!</v>
      </c>
      <c r="T96" s="210" t="e">
        <f>Q96/Q108</f>
        <v>#DIV/0!</v>
      </c>
      <c r="U96" s="392" t="e">
        <f>T96+T97</f>
        <v>#DIV/0!</v>
      </c>
      <c r="W96" s="228" t="s">
        <v>48</v>
      </c>
      <c r="X96" s="208">
        <f>COUNTIFS('1. All Data'!$AB$3:$AB$136,"Tourism and Cultural Development",'1. All Data'!$V$3:$V$136,"Fully Achieved")</f>
        <v>0</v>
      </c>
      <c r="Y96" s="289" t="e">
        <f>X96/X107</f>
        <v>#DIV/0!</v>
      </c>
      <c r="Z96" s="390" t="e">
        <f>Y96+Y97</f>
        <v>#DIV/0!</v>
      </c>
      <c r="AA96" s="289" t="e">
        <f>X96/X108</f>
        <v>#DIV/0!</v>
      </c>
      <c r="AB96" s="371" t="e">
        <f>AA96+AA97</f>
        <v>#DIV/0!</v>
      </c>
      <c r="AC96" s="166"/>
    </row>
    <row r="97" spans="2:29" ht="15.6">
      <c r="B97" s="228" t="s">
        <v>31</v>
      </c>
      <c r="C97" s="208">
        <f>COUNTIFS('1. All Data'!$AB$3:$AB$136,"Tourism and Cultural Development",'1. All Data'!$H$3:$H$136,"On Track to be Achieved")</f>
        <v>15</v>
      </c>
      <c r="D97" s="289">
        <f>C97/C107</f>
        <v>0.68181818181818177</v>
      </c>
      <c r="E97" s="390"/>
      <c r="F97" s="210">
        <f>C97/C108</f>
        <v>0.9375</v>
      </c>
      <c r="G97" s="392"/>
      <c r="I97" s="228" t="s">
        <v>31</v>
      </c>
      <c r="J97" s="208">
        <f>COUNTIFS('1. All Data'!$AB$3:$AB$136,"Tourism and Cultural Development",'1. All Data'!$M$3:$M$136,"On Track to be Achieved")</f>
        <v>0</v>
      </c>
      <c r="K97" s="289" t="e">
        <f>J97/J107</f>
        <v>#DIV/0!</v>
      </c>
      <c r="L97" s="390"/>
      <c r="M97" s="210" t="e">
        <f>J97/J108</f>
        <v>#DIV/0!</v>
      </c>
      <c r="N97" s="392"/>
      <c r="P97" s="228" t="s">
        <v>31</v>
      </c>
      <c r="Q97" s="208">
        <f>COUNTIFS('1. All Data'!$AB$3:$AB$136,"Tourism and Cultural Development",'1. All Data'!$R$3:$R$136,"On Track to be Achieved")</f>
        <v>0</v>
      </c>
      <c r="R97" s="289" t="e">
        <f>Q97/Q107</f>
        <v>#DIV/0!</v>
      </c>
      <c r="S97" s="390"/>
      <c r="T97" s="210" t="e">
        <f>Q97/Q108</f>
        <v>#DIV/0!</v>
      </c>
      <c r="U97" s="392"/>
      <c r="W97" s="228" t="s">
        <v>23</v>
      </c>
      <c r="X97" s="208">
        <f>COUNTIFS('1. All Data'!$AB$3:$AB$136,"Tourism and Cultural Development",'1. All Data'!$V$3:$V$136,"Numerical Outturn Within 5% Tolerance")</f>
        <v>0</v>
      </c>
      <c r="Y97" s="289" t="e">
        <f>X97/X107</f>
        <v>#DIV/0!</v>
      </c>
      <c r="Z97" s="390"/>
      <c r="AA97" s="289" t="e">
        <f>X97/X108</f>
        <v>#DIV/0!</v>
      </c>
      <c r="AB97" s="371"/>
      <c r="AC97" s="166"/>
    </row>
    <row r="98" spans="2:29" ht="15.6">
      <c r="B98" s="402" t="s">
        <v>32</v>
      </c>
      <c r="C98" s="405">
        <f>COUNTIFS('1. All Data'!$AB$3:$AB$136,"Tourism and Cultural Development",'1. All Data'!$H$3:$H$136,"In Danger of Falling Behind Target")</f>
        <v>0</v>
      </c>
      <c r="D98" s="393">
        <f>C98/C107</f>
        <v>0</v>
      </c>
      <c r="E98" s="393">
        <f>D98</f>
        <v>0</v>
      </c>
      <c r="F98" s="396">
        <f>C98/C108</f>
        <v>0</v>
      </c>
      <c r="G98" s="399">
        <f>F98</f>
        <v>0</v>
      </c>
      <c r="I98" s="402" t="s">
        <v>32</v>
      </c>
      <c r="J98" s="405">
        <f>COUNTIFS('1. All Data'!$AB$3:$AB$136,"Tourism and Cultural Development",'1. All Data'!$M$3:$M$136,"In Danger of Falling Behind Target")</f>
        <v>0</v>
      </c>
      <c r="K98" s="393" t="e">
        <f>J98/J107</f>
        <v>#DIV/0!</v>
      </c>
      <c r="L98" s="393" t="e">
        <f>K98</f>
        <v>#DIV/0!</v>
      </c>
      <c r="M98" s="396" t="e">
        <f>J98/J108</f>
        <v>#DIV/0!</v>
      </c>
      <c r="N98" s="399" t="e">
        <f>M98</f>
        <v>#DIV/0!</v>
      </c>
      <c r="P98" s="402" t="s">
        <v>32</v>
      </c>
      <c r="Q98" s="405">
        <f>COUNTIFS('1. All Data'!$AB$3:$AB$136,"Tourism and Cultural Development",'1. All Data'!$R$3:$R$136,"In Danger of Falling Behind Target")</f>
        <v>0</v>
      </c>
      <c r="R98" s="393" t="e">
        <f>Q98/Q107</f>
        <v>#DIV/0!</v>
      </c>
      <c r="S98" s="393" t="e">
        <f>R98</f>
        <v>#DIV/0!</v>
      </c>
      <c r="T98" s="396" t="e">
        <f>Q98/Q108</f>
        <v>#DIV/0!</v>
      </c>
      <c r="U98" s="399" t="e">
        <f>T98</f>
        <v>#DIV/0!</v>
      </c>
      <c r="W98" s="169" t="s">
        <v>24</v>
      </c>
      <c r="X98" s="170">
        <f>COUNTIFS('1. All Data'!$AB$3:$AB$136,"Tourism and Cultural Development",'1. All Data'!$V$3:$V$136,"Numerical Outturn Within 10% Tolerance")</f>
        <v>0</v>
      </c>
      <c r="Y98" s="288" t="e">
        <f>X98/X107</f>
        <v>#DIV/0!</v>
      </c>
      <c r="Z98" s="369" t="e">
        <f>SUM(Y98:Y100)</f>
        <v>#DIV/0!</v>
      </c>
      <c r="AA98" s="288" t="e">
        <f>X98/X108</f>
        <v>#DIV/0!</v>
      </c>
      <c r="AB98" s="378" t="e">
        <f>SUM(AA98:AA100)</f>
        <v>#DIV/0!</v>
      </c>
      <c r="AC98" s="166"/>
    </row>
    <row r="99" spans="2:29" ht="15.6">
      <c r="B99" s="403"/>
      <c r="C99" s="406"/>
      <c r="D99" s="394"/>
      <c r="E99" s="394"/>
      <c r="F99" s="397"/>
      <c r="G99" s="400"/>
      <c r="I99" s="403"/>
      <c r="J99" s="406"/>
      <c r="K99" s="394"/>
      <c r="L99" s="394"/>
      <c r="M99" s="397"/>
      <c r="N99" s="400"/>
      <c r="P99" s="403"/>
      <c r="Q99" s="406"/>
      <c r="R99" s="394"/>
      <c r="S99" s="394"/>
      <c r="T99" s="397"/>
      <c r="U99" s="400"/>
      <c r="W99" s="169" t="s">
        <v>25</v>
      </c>
      <c r="X99" s="170">
        <f>COUNTIFS('1. All Data'!$AB$3:$AB$136,"Tourism and Cultural Development",'1. All Data'!$V$3:$V$136,"Target Partially Met")</f>
        <v>0</v>
      </c>
      <c r="Y99" s="288" t="e">
        <f>X99/X107</f>
        <v>#DIV/0!</v>
      </c>
      <c r="Z99" s="369"/>
      <c r="AA99" s="288" t="e">
        <f>X99/X108</f>
        <v>#DIV/0!</v>
      </c>
      <c r="AB99" s="378"/>
      <c r="AC99" s="166"/>
    </row>
    <row r="100" spans="2:29" ht="15.6">
      <c r="B100" s="404"/>
      <c r="C100" s="407"/>
      <c r="D100" s="395"/>
      <c r="E100" s="395"/>
      <c r="F100" s="398"/>
      <c r="G100" s="401"/>
      <c r="I100" s="404"/>
      <c r="J100" s="407"/>
      <c r="K100" s="395"/>
      <c r="L100" s="395"/>
      <c r="M100" s="398"/>
      <c r="N100" s="401"/>
      <c r="P100" s="404"/>
      <c r="Q100" s="407"/>
      <c r="R100" s="395"/>
      <c r="S100" s="395"/>
      <c r="T100" s="398"/>
      <c r="U100" s="401"/>
      <c r="W100" s="169" t="s">
        <v>28</v>
      </c>
      <c r="X100" s="170">
        <f>COUNTIFS('1. All Data'!$AB$3:$AB$136,"Tourism and Cultural Development",'1. All Data'!$V$3:$V$136,"Completion Date Within Reasonable Tolerance")</f>
        <v>0</v>
      </c>
      <c r="Y100" s="288" t="e">
        <f>X100/X107</f>
        <v>#DIV/0!</v>
      </c>
      <c r="Z100" s="369"/>
      <c r="AA100" s="288" t="e">
        <f>X100/X108</f>
        <v>#DIV/0!</v>
      </c>
      <c r="AB100" s="378"/>
      <c r="AC100" s="166"/>
    </row>
    <row r="101" spans="2:29" ht="15.6">
      <c r="B101" s="211" t="s">
        <v>33</v>
      </c>
      <c r="C101" s="208">
        <f>COUNTIFS('1. All Data'!$AB$3:$AB$136,"Tourism and Cultural Development",'1. All Data'!$H$3:$H$136,"Completed Behind Schedule")</f>
        <v>0</v>
      </c>
      <c r="D101" s="289">
        <f>C101/C107</f>
        <v>0</v>
      </c>
      <c r="E101" s="390">
        <f>D101+D102</f>
        <v>0</v>
      </c>
      <c r="F101" s="210">
        <f>C101/C108</f>
        <v>0</v>
      </c>
      <c r="G101" s="391">
        <f>F101+F102</f>
        <v>0</v>
      </c>
      <c r="I101" s="211" t="s">
        <v>33</v>
      </c>
      <c r="J101" s="208">
        <f>COUNTIFS('1. All Data'!$AB$3:$AB$136,"Tourism and Cultural Development",'1. All Data'!$M$3:$M$136,"Completed Behind Schedule")</f>
        <v>0</v>
      </c>
      <c r="K101" s="289" t="e">
        <f>J101/J107</f>
        <v>#DIV/0!</v>
      </c>
      <c r="L101" s="390" t="e">
        <f>K101+K102</f>
        <v>#DIV/0!</v>
      </c>
      <c r="M101" s="210" t="e">
        <f>J101/J108</f>
        <v>#DIV/0!</v>
      </c>
      <c r="N101" s="391" t="e">
        <f>M101+M102</f>
        <v>#DIV/0!</v>
      </c>
      <c r="P101" s="211" t="s">
        <v>33</v>
      </c>
      <c r="Q101" s="208">
        <f>COUNTIFS('1. All Data'!$AB$3:$AB$136,"Tourism and Cultural Development",'1. All Data'!$R$3:$R$136,"Completed Behind Schedule")</f>
        <v>0</v>
      </c>
      <c r="R101" s="289" t="e">
        <f>Q101/Q107</f>
        <v>#DIV/0!</v>
      </c>
      <c r="S101" s="390" t="e">
        <f>R101+R102</f>
        <v>#DIV/0!</v>
      </c>
      <c r="T101" s="210" t="e">
        <f>Q101/Q108</f>
        <v>#DIV/0!</v>
      </c>
      <c r="U101" s="391" t="e">
        <f>T101+T102</f>
        <v>#DIV/0!</v>
      </c>
      <c r="W101" s="171" t="s">
        <v>27</v>
      </c>
      <c r="X101" s="208">
        <f>COUNTIFS('1. All Data'!$AB$3:$AB$136,"Tourism and Cultural Development",'1. All Data'!$V$3:$V$136,"Completed Significantly After Target Deadline")</f>
        <v>0</v>
      </c>
      <c r="Y101" s="289" t="e">
        <f>X101/X107</f>
        <v>#DIV/0!</v>
      </c>
      <c r="Z101" s="390" t="e">
        <f>Y101+Y102</f>
        <v>#DIV/0!</v>
      </c>
      <c r="AA101" s="288" t="e">
        <f>X101/X108</f>
        <v>#DIV/0!</v>
      </c>
      <c r="AB101" s="370" t="e">
        <f>AA101+AA102</f>
        <v>#DIV/0!</v>
      </c>
      <c r="AC101" s="166"/>
    </row>
    <row r="102" spans="2:29" ht="15.6">
      <c r="B102" s="211" t="s">
        <v>26</v>
      </c>
      <c r="C102" s="208">
        <f>COUNTIFS('1. All Data'!$AB$3:$AB$136,"Tourism and Cultural Development",'1. All Data'!$H$3:$H$136,"Off Target")</f>
        <v>0</v>
      </c>
      <c r="D102" s="289">
        <f>C102/C107</f>
        <v>0</v>
      </c>
      <c r="E102" s="390"/>
      <c r="F102" s="210">
        <f>C102/C108</f>
        <v>0</v>
      </c>
      <c r="G102" s="391"/>
      <c r="I102" s="211" t="s">
        <v>26</v>
      </c>
      <c r="J102" s="208">
        <f>COUNTIFS('1. All Data'!$AB$3:$AB$136,"Tourism and Cultural Development",'1. All Data'!$M$3:$M$136,"Off Target")</f>
        <v>0</v>
      </c>
      <c r="K102" s="289" t="e">
        <f>J102/J107</f>
        <v>#DIV/0!</v>
      </c>
      <c r="L102" s="390"/>
      <c r="M102" s="210" t="e">
        <f>J102/J108</f>
        <v>#DIV/0!</v>
      </c>
      <c r="N102" s="391"/>
      <c r="P102" s="211" t="s">
        <v>26</v>
      </c>
      <c r="Q102" s="208">
        <f>COUNTIFS('1. All Data'!$AB$3:$AB$136,"Tourism and Cultural Development",'1. All Data'!$R$3:$R$136,"Off Target")</f>
        <v>0</v>
      </c>
      <c r="R102" s="289" t="e">
        <f>Q102/Q107</f>
        <v>#DIV/0!</v>
      </c>
      <c r="S102" s="390"/>
      <c r="T102" s="210" t="e">
        <f>Q102/Q108</f>
        <v>#DIV/0!</v>
      </c>
      <c r="U102" s="391"/>
      <c r="W102" s="171" t="s">
        <v>26</v>
      </c>
      <c r="X102" s="208">
        <f>COUNTIFS('1. All Data'!$AB$3:$AB$136,"Tourism and Cultural Development",'1. All Data'!$V$3:$V$136,"Off Target")</f>
        <v>0</v>
      </c>
      <c r="Y102" s="289" t="e">
        <f>X102/X107</f>
        <v>#DIV/0!</v>
      </c>
      <c r="Z102" s="390"/>
      <c r="AA102" s="288" t="e">
        <f>X102/X108</f>
        <v>#DIV/0!</v>
      </c>
      <c r="AB102" s="370"/>
      <c r="AC102" s="166"/>
    </row>
    <row r="103" spans="2:29" ht="15.6">
      <c r="B103" s="212" t="s">
        <v>49</v>
      </c>
      <c r="C103" s="208">
        <f>COUNTIFS('1. All Data'!$AB$3:$AB$136,"Tourism and Cultural Development",'1. All Data'!$H$3:$H$136,"Not yet due")</f>
        <v>6</v>
      </c>
      <c r="D103" s="213">
        <f>C103/C107</f>
        <v>0.27272727272727271</v>
      </c>
      <c r="E103" s="213">
        <f>D103</f>
        <v>0.27272727272727271</v>
      </c>
      <c r="F103" s="214"/>
      <c r="G103" s="58"/>
      <c r="I103" s="212" t="s">
        <v>49</v>
      </c>
      <c r="J103" s="208">
        <f>COUNTIFS('1. All Data'!$AB$3:$AB$136,"Tourism and Cultural Development",'1. All Data'!$M$3:$M$136,"Not yet due")</f>
        <v>0</v>
      </c>
      <c r="K103" s="213" t="e">
        <f>J103/J107</f>
        <v>#DIV/0!</v>
      </c>
      <c r="L103" s="213" t="e">
        <f>K103</f>
        <v>#DIV/0!</v>
      </c>
      <c r="M103" s="214"/>
      <c r="N103" s="58"/>
      <c r="P103" s="212" t="s">
        <v>49</v>
      </c>
      <c r="Q103" s="208">
        <f>COUNTIFS('1. All Data'!$AB$3:$AB$136,"Tourism and Cultural Development",'1. All Data'!$R$3:$R$136,"Not yet due")</f>
        <v>0</v>
      </c>
      <c r="R103" s="213" t="e">
        <f>Q103/Q107</f>
        <v>#DIV/0!</v>
      </c>
      <c r="S103" s="213" t="e">
        <f>R103</f>
        <v>#DIV/0!</v>
      </c>
      <c r="T103" s="214"/>
      <c r="U103" s="58"/>
      <c r="W103" s="172" t="s">
        <v>49</v>
      </c>
      <c r="X103" s="208">
        <f>COUNTIFS('1. All Data'!$AB$3:$AB$136,"Tourism and Cultural Development",'1. All Data'!$V$3:$V$136,"Not yet due")</f>
        <v>0</v>
      </c>
      <c r="Y103" s="213" t="e">
        <f>X103/X107</f>
        <v>#DIV/0!</v>
      </c>
      <c r="Z103" s="213" t="e">
        <f>Y103</f>
        <v>#DIV/0!</v>
      </c>
      <c r="AA103" s="174"/>
      <c r="AB103" s="58"/>
      <c r="AC103" s="166"/>
    </row>
    <row r="104" spans="2:29" ht="15.6">
      <c r="B104" s="212" t="s">
        <v>21</v>
      </c>
      <c r="C104" s="208">
        <f>COUNTIFS('1. All Data'!$AB$3:$AB$136,"Tourism and Cultural Development",'1. All Data'!$H$3:$H$136,"Update not provided")</f>
        <v>0</v>
      </c>
      <c r="D104" s="213">
        <f>C104/C107</f>
        <v>0</v>
      </c>
      <c r="E104" s="213">
        <f>D104</f>
        <v>0</v>
      </c>
      <c r="F104" s="214"/>
      <c r="G104" s="2"/>
      <c r="I104" s="212" t="s">
        <v>21</v>
      </c>
      <c r="J104" s="208">
        <f>COUNTIFS('1. All Data'!$AB$3:$AB$136,"Tourism and Cultural Development",'1. All Data'!$M$3:$M$136,"Update not provided")</f>
        <v>0</v>
      </c>
      <c r="K104" s="213" t="e">
        <f>J104/J107</f>
        <v>#DIV/0!</v>
      </c>
      <c r="L104" s="213" t="e">
        <f>K104</f>
        <v>#DIV/0!</v>
      </c>
      <c r="M104" s="214"/>
      <c r="N104" s="2"/>
      <c r="P104" s="212" t="s">
        <v>21</v>
      </c>
      <c r="Q104" s="208">
        <f>COUNTIFS('1. All Data'!$AB$3:$AB$136,"Tourism and Cultural Development",'1. All Data'!$R$3:$R$136,"Update not provided")</f>
        <v>0</v>
      </c>
      <c r="R104" s="213" t="e">
        <f>Q104/Q107</f>
        <v>#DIV/0!</v>
      </c>
      <c r="S104" s="213" t="e">
        <f>R104</f>
        <v>#DIV/0!</v>
      </c>
      <c r="T104" s="214"/>
      <c r="U104" s="2"/>
      <c r="W104" s="172" t="s">
        <v>21</v>
      </c>
      <c r="X104" s="208">
        <f>COUNTIFS('1. All Data'!$AB$3:$AB$136,"Tourism and Cultural Development",'1. All Data'!$V$3:$V$136,"Update not provided")</f>
        <v>0</v>
      </c>
      <c r="Y104" s="213" t="e">
        <f>X104/X107</f>
        <v>#DIV/0!</v>
      </c>
      <c r="Z104" s="213" t="e">
        <f>Y104</f>
        <v>#DIV/0!</v>
      </c>
      <c r="AA104" s="174"/>
      <c r="AB104" s="2"/>
      <c r="AC104" s="166"/>
    </row>
    <row r="105" spans="2:29" ht="15.6">
      <c r="B105" s="215" t="s">
        <v>29</v>
      </c>
      <c r="C105" s="208">
        <f>COUNTIFS('1. All Data'!$AB$3:$AB$136,"Tourism and Cultural Development",'1. All Data'!$H$3:$H$136,"Deferred")</f>
        <v>0</v>
      </c>
      <c r="D105" s="216">
        <f>C105/C107</f>
        <v>0</v>
      </c>
      <c r="E105" s="216">
        <f>D105</f>
        <v>0</v>
      </c>
      <c r="F105" s="217"/>
      <c r="G105" s="58"/>
      <c r="I105" s="215" t="s">
        <v>29</v>
      </c>
      <c r="J105" s="208">
        <f>COUNTIFS('1. All Data'!$AB$3:$AB$136,"Tourism and Cultural Development",'1. All Data'!$M$3:$M$136,"Deferred")</f>
        <v>0</v>
      </c>
      <c r="K105" s="216" t="e">
        <f>J105/J107</f>
        <v>#DIV/0!</v>
      </c>
      <c r="L105" s="216" t="e">
        <f>K105</f>
        <v>#DIV/0!</v>
      </c>
      <c r="M105" s="217"/>
      <c r="N105" s="58"/>
      <c r="P105" s="215" t="s">
        <v>29</v>
      </c>
      <c r="Q105" s="208">
        <f>COUNTIFS('1. All Data'!$AB$3:$AB$136,"Tourism and Cultural Development",'1. All Data'!$R$3:$R$136,"Deferred")</f>
        <v>0</v>
      </c>
      <c r="R105" s="216" t="e">
        <f>Q105/Q107</f>
        <v>#DIV/0!</v>
      </c>
      <c r="S105" s="216" t="e">
        <f>R105</f>
        <v>#DIV/0!</v>
      </c>
      <c r="T105" s="217"/>
      <c r="U105" s="58"/>
      <c r="W105" s="175" t="s">
        <v>29</v>
      </c>
      <c r="X105" s="208">
        <f>COUNTIFS('1. All Data'!$AB$3:$AB$136,"Tourism and Cultural Development",'1. All Data'!$V$3:$V$136,"Deferred")</f>
        <v>0</v>
      </c>
      <c r="Y105" s="216" t="e">
        <f>X105/X107</f>
        <v>#DIV/0!</v>
      </c>
      <c r="Z105" s="216" t="e">
        <f>Y105</f>
        <v>#DIV/0!</v>
      </c>
      <c r="AA105" s="177"/>
      <c r="AB105" s="58"/>
      <c r="AC105" s="166"/>
    </row>
    <row r="106" spans="2:29" ht="15.6">
      <c r="B106" s="215" t="s">
        <v>30</v>
      </c>
      <c r="C106" s="208">
        <f>COUNTIFS('1. All Data'!$AB$3:$AB$136,"Tourism and Cultural Development",'1. All Data'!$H$3:$H$136,"Deleted")</f>
        <v>0</v>
      </c>
      <c r="D106" s="216">
        <f>C106/C107</f>
        <v>0</v>
      </c>
      <c r="E106" s="216">
        <f>D106</f>
        <v>0</v>
      </c>
      <c r="F106" s="217"/>
      <c r="G106" s="29"/>
      <c r="I106" s="215" t="s">
        <v>30</v>
      </c>
      <c r="J106" s="208">
        <f>COUNTIFS('1. All Data'!$AB$3:$AB$136,"Tourism and Cultural Development",'1. All Data'!$M$3:$M$136,"Deleted")</f>
        <v>0</v>
      </c>
      <c r="K106" s="216" t="e">
        <f>J106/J107</f>
        <v>#DIV/0!</v>
      </c>
      <c r="L106" s="216" t="e">
        <f>K106</f>
        <v>#DIV/0!</v>
      </c>
      <c r="M106" s="217"/>
      <c r="N106" s="29"/>
      <c r="P106" s="215" t="s">
        <v>30</v>
      </c>
      <c r="Q106" s="208">
        <f>COUNTIFS('1. All Data'!$AB$3:$AB$136,"Tourism and Cultural Development",'1. All Data'!$R$3:$R$136,"Deleted")</f>
        <v>0</v>
      </c>
      <c r="R106" s="216" t="e">
        <f>Q106/Q107</f>
        <v>#DIV/0!</v>
      </c>
      <c r="S106" s="216" t="e">
        <f>R106</f>
        <v>#DIV/0!</v>
      </c>
      <c r="T106" s="217"/>
      <c r="U106" s="29"/>
      <c r="W106" s="175" t="s">
        <v>30</v>
      </c>
      <c r="X106" s="208">
        <f>COUNTIFS('1. All Data'!$AB$3:$AB$136,"Tourism and Cultural Development",'1. All Data'!$V$3:$V$136,"Deleted")</f>
        <v>0</v>
      </c>
      <c r="Y106" s="216" t="e">
        <f>X106/X107</f>
        <v>#DIV/0!</v>
      </c>
      <c r="Z106" s="216" t="e">
        <f>Y106</f>
        <v>#DIV/0!</v>
      </c>
      <c r="AA106" s="177"/>
      <c r="AB106" s="3"/>
      <c r="AC106" s="166"/>
    </row>
    <row r="107" spans="2:29" ht="15.6">
      <c r="B107" s="218" t="s">
        <v>51</v>
      </c>
      <c r="C107" s="219">
        <f>SUM(C96:C106)</f>
        <v>22</v>
      </c>
      <c r="D107" s="177"/>
      <c r="E107" s="177"/>
      <c r="F107" s="220"/>
      <c r="G107" s="58"/>
      <c r="I107" s="218" t="s">
        <v>51</v>
      </c>
      <c r="J107" s="219">
        <f>SUM(J96:J106)</f>
        <v>0</v>
      </c>
      <c r="K107" s="177"/>
      <c r="L107" s="177"/>
      <c r="M107" s="220"/>
      <c r="N107" s="58"/>
      <c r="P107" s="218" t="s">
        <v>51</v>
      </c>
      <c r="Q107" s="219">
        <f>SUM(Q96:Q106)</f>
        <v>0</v>
      </c>
      <c r="R107" s="177"/>
      <c r="S107" s="177"/>
      <c r="T107" s="220"/>
      <c r="U107" s="58"/>
      <c r="W107" s="178" t="s">
        <v>51</v>
      </c>
      <c r="X107" s="219">
        <f>SUM(X96:X106)</f>
        <v>0</v>
      </c>
      <c r="Y107" s="177"/>
      <c r="Z107" s="177"/>
      <c r="AA107" s="58"/>
      <c r="AB107" s="58"/>
      <c r="AC107" s="166"/>
    </row>
    <row r="108" spans="2:29" ht="15.6">
      <c r="B108" s="218" t="s">
        <v>52</v>
      </c>
      <c r="C108" s="219">
        <f>C107-C106-C105-C104-C103</f>
        <v>16</v>
      </c>
      <c r="D108" s="58"/>
      <c r="E108" s="58"/>
      <c r="F108" s="220"/>
      <c r="G108" s="58"/>
      <c r="I108" s="218" t="s">
        <v>52</v>
      </c>
      <c r="J108" s="219">
        <f>J107-J106-J105-J104-J103</f>
        <v>0</v>
      </c>
      <c r="K108" s="58"/>
      <c r="L108" s="58"/>
      <c r="M108" s="220"/>
      <c r="N108" s="58"/>
      <c r="P108" s="218" t="s">
        <v>52</v>
      </c>
      <c r="Q108" s="219">
        <f>Q107-Q106-Q105-Q104-Q103</f>
        <v>0</v>
      </c>
      <c r="R108" s="58"/>
      <c r="S108" s="58"/>
      <c r="T108" s="220"/>
      <c r="U108" s="58"/>
      <c r="W108" s="178" t="s">
        <v>52</v>
      </c>
      <c r="X108" s="219">
        <f>X107-X106-X105-X104-X103</f>
        <v>0</v>
      </c>
      <c r="Y108" s="58"/>
      <c r="Z108" s="58"/>
      <c r="AA108" s="58"/>
      <c r="AB108" s="58"/>
      <c r="AC108" s="166"/>
    </row>
    <row r="109" spans="2:29">
      <c r="W109" s="165"/>
      <c r="X109" s="165"/>
      <c r="Y109" s="165"/>
      <c r="Z109" s="165"/>
      <c r="AA109" s="165"/>
      <c r="AB109" s="186"/>
      <c r="AC109" s="166"/>
    </row>
    <row r="110" spans="2:29">
      <c r="W110" s="165"/>
      <c r="X110" s="165"/>
      <c r="Y110" s="165"/>
      <c r="Z110" s="165"/>
      <c r="AA110" s="165"/>
      <c r="AB110" s="186"/>
      <c r="AC110" s="166"/>
    </row>
    <row r="111" spans="2:29">
      <c r="W111" s="165"/>
      <c r="X111" s="165"/>
      <c r="Y111" s="165"/>
      <c r="Z111" s="165"/>
      <c r="AA111" s="165"/>
      <c r="AB111" s="186"/>
      <c r="AC111" s="166"/>
    </row>
    <row r="112" spans="2:29">
      <c r="W112" s="165"/>
      <c r="X112" s="165"/>
      <c r="Y112" s="165"/>
      <c r="Z112" s="165"/>
      <c r="AA112" s="165"/>
      <c r="AB112" s="186"/>
      <c r="AC112" s="166"/>
    </row>
    <row r="113" spans="23:29">
      <c r="W113" s="165"/>
      <c r="X113" s="165"/>
      <c r="Y113" s="165"/>
      <c r="Z113" s="165"/>
      <c r="AA113" s="165"/>
      <c r="AB113" s="186"/>
      <c r="AC113" s="166"/>
    </row>
    <row r="114" spans="23:29">
      <c r="W114" s="165"/>
      <c r="X114" s="165"/>
      <c r="Y114" s="165"/>
      <c r="Z114" s="165"/>
      <c r="AA114" s="165"/>
      <c r="AB114" s="186"/>
      <c r="AC114" s="166"/>
    </row>
    <row r="115" spans="23:29">
      <c r="W115" s="165"/>
      <c r="X115" s="165"/>
      <c r="Y115" s="165"/>
      <c r="Z115" s="165"/>
      <c r="AA115" s="165"/>
      <c r="AB115" s="186"/>
      <c r="AC115" s="166"/>
    </row>
    <row r="116" spans="23:29">
      <c r="W116" s="165"/>
      <c r="X116" s="165"/>
      <c r="Y116" s="165"/>
      <c r="Z116" s="165"/>
      <c r="AA116" s="165"/>
      <c r="AB116" s="186"/>
      <c r="AC116" s="166"/>
    </row>
    <row r="117" spans="23:29">
      <c r="W117" s="165"/>
      <c r="X117" s="165"/>
      <c r="Y117" s="165"/>
      <c r="Z117" s="165"/>
      <c r="AA117" s="165"/>
      <c r="AB117" s="186"/>
      <c r="AC117" s="166"/>
    </row>
    <row r="118" spans="23:29">
      <c r="W118" s="165"/>
      <c r="X118" s="165"/>
      <c r="Y118" s="165"/>
      <c r="Z118" s="165"/>
      <c r="AA118" s="165"/>
      <c r="AB118" s="186"/>
      <c r="AC118" s="166"/>
    </row>
    <row r="119" spans="23:29">
      <c r="W119" s="165"/>
      <c r="X119" s="165"/>
      <c r="Y119" s="165"/>
      <c r="Z119" s="165"/>
      <c r="AA119" s="165"/>
      <c r="AB119" s="186"/>
      <c r="AC119" s="166"/>
    </row>
    <row r="120" spans="23:29">
      <c r="W120" s="165"/>
      <c r="X120" s="165"/>
      <c r="Y120" s="165"/>
      <c r="Z120" s="165"/>
      <c r="AA120" s="165"/>
      <c r="AB120" s="186"/>
      <c r="AC120" s="166"/>
    </row>
    <row r="121" spans="23:29">
      <c r="W121" s="165"/>
      <c r="X121" s="165"/>
      <c r="Y121" s="165"/>
      <c r="Z121" s="165"/>
      <c r="AA121" s="165"/>
      <c r="AB121" s="186"/>
      <c r="AC121" s="166"/>
    </row>
    <row r="122" spans="23:29">
      <c r="W122" s="165"/>
      <c r="X122" s="165"/>
      <c r="Y122" s="165"/>
      <c r="Z122" s="165"/>
      <c r="AA122" s="165"/>
      <c r="AB122" s="186"/>
      <c r="AC122" s="166"/>
    </row>
    <row r="123" spans="23:29">
      <c r="W123" s="165"/>
      <c r="X123" s="165"/>
      <c r="Y123" s="165"/>
      <c r="Z123" s="165"/>
      <c r="AA123" s="165"/>
      <c r="AB123" s="186"/>
      <c r="AC123" s="166"/>
    </row>
    <row r="124" spans="23:29">
      <c r="W124" s="165"/>
      <c r="X124" s="165"/>
      <c r="Y124" s="165"/>
      <c r="Z124" s="165"/>
      <c r="AA124" s="165"/>
      <c r="AB124" s="186"/>
      <c r="AC124" s="166"/>
    </row>
    <row r="125" spans="23:29">
      <c r="W125" s="165"/>
      <c r="X125" s="165"/>
      <c r="Y125" s="165"/>
      <c r="Z125" s="165"/>
      <c r="AA125" s="165"/>
      <c r="AB125" s="186"/>
      <c r="AC125" s="166"/>
    </row>
    <row r="126" spans="23:29">
      <c r="W126" s="165"/>
      <c r="X126" s="165"/>
      <c r="Y126" s="165"/>
      <c r="Z126" s="165"/>
      <c r="AA126" s="165"/>
      <c r="AB126" s="186"/>
      <c r="AC126" s="166"/>
    </row>
    <row r="127" spans="23:29">
      <c r="W127" s="165"/>
      <c r="X127" s="165"/>
      <c r="Y127" s="165"/>
      <c r="Z127" s="165"/>
      <c r="AA127" s="165"/>
      <c r="AB127" s="186"/>
      <c r="AC127" s="166"/>
    </row>
    <row r="128" spans="23:29">
      <c r="W128" s="165"/>
      <c r="X128" s="165"/>
      <c r="Y128" s="165"/>
      <c r="Z128" s="165"/>
      <c r="AA128" s="165"/>
      <c r="AB128" s="186"/>
      <c r="AC128" s="166"/>
    </row>
    <row r="129" spans="23:29">
      <c r="W129" s="165"/>
      <c r="X129" s="165"/>
      <c r="Y129" s="165"/>
      <c r="Z129" s="165"/>
      <c r="AA129" s="165"/>
      <c r="AB129" s="186"/>
      <c r="AC129" s="166"/>
    </row>
    <row r="130" spans="23:29">
      <c r="W130" s="165"/>
      <c r="X130" s="165"/>
      <c r="Y130" s="165"/>
      <c r="Z130" s="165"/>
      <c r="AA130" s="165"/>
      <c r="AB130" s="186"/>
      <c r="AC130" s="166"/>
    </row>
    <row r="131" spans="23:29">
      <c r="W131" s="165"/>
      <c r="X131" s="165"/>
      <c r="Y131" s="165"/>
      <c r="Z131" s="165"/>
      <c r="AA131" s="165"/>
      <c r="AB131" s="186"/>
      <c r="AC131" s="166"/>
    </row>
    <row r="132" spans="23:29">
      <c r="W132" s="165"/>
      <c r="X132" s="165"/>
      <c r="Y132" s="165"/>
      <c r="Z132" s="165"/>
      <c r="AA132" s="165"/>
      <c r="AB132" s="186"/>
      <c r="AC132" s="166"/>
    </row>
    <row r="133" spans="23:29">
      <c r="W133" s="165"/>
      <c r="X133" s="165"/>
      <c r="Y133" s="165"/>
      <c r="Z133" s="165"/>
      <c r="AA133" s="165"/>
      <c r="AB133" s="186"/>
      <c r="AC133" s="166"/>
    </row>
    <row r="134" spans="23:29">
      <c r="W134" s="165"/>
      <c r="X134" s="165"/>
      <c r="Y134" s="165"/>
      <c r="Z134" s="165"/>
      <c r="AA134" s="165"/>
      <c r="AB134" s="186"/>
      <c r="AC134" s="166"/>
    </row>
    <row r="135" spans="23:29">
      <c r="W135" s="165"/>
      <c r="X135" s="165"/>
      <c r="Y135" s="165"/>
      <c r="Z135" s="165"/>
      <c r="AA135" s="165"/>
      <c r="AB135" s="186"/>
      <c r="AC135" s="166"/>
    </row>
    <row r="136" spans="23:29">
      <c r="W136" s="165"/>
      <c r="X136" s="165"/>
      <c r="Y136" s="165"/>
      <c r="Z136" s="165"/>
      <c r="AA136" s="165"/>
      <c r="AB136" s="186"/>
      <c r="AC136" s="166"/>
    </row>
    <row r="137" spans="23:29">
      <c r="W137" s="165"/>
      <c r="X137" s="165"/>
      <c r="Y137" s="165"/>
      <c r="Z137" s="165"/>
      <c r="AA137" s="165"/>
      <c r="AB137" s="186"/>
      <c r="AC137" s="166"/>
    </row>
    <row r="138" spans="23:29">
      <c r="W138" s="165"/>
      <c r="X138" s="165"/>
      <c r="Y138" s="165"/>
      <c r="Z138" s="165"/>
      <c r="AA138" s="165"/>
      <c r="AB138" s="186"/>
      <c r="AC138" s="166"/>
    </row>
    <row r="139" spans="23:29">
      <c r="W139" s="165"/>
      <c r="X139" s="165"/>
      <c r="Y139" s="165"/>
      <c r="Z139" s="165"/>
      <c r="AA139" s="165"/>
      <c r="AB139" s="186"/>
      <c r="AC139" s="166"/>
    </row>
    <row r="140" spans="23:29">
      <c r="W140" s="165"/>
      <c r="X140" s="165"/>
      <c r="Y140" s="165"/>
      <c r="Z140" s="165"/>
      <c r="AA140" s="165"/>
      <c r="AB140" s="186"/>
      <c r="AC140" s="166"/>
    </row>
    <row r="141" spans="23:29">
      <c r="W141" s="165"/>
      <c r="X141" s="165"/>
      <c r="Y141" s="165"/>
      <c r="Z141" s="165"/>
      <c r="AA141" s="165"/>
      <c r="AB141" s="186"/>
      <c r="AC141" s="166"/>
    </row>
    <row r="142" spans="23:29">
      <c r="W142" s="165"/>
      <c r="X142" s="165"/>
      <c r="Y142" s="165"/>
      <c r="Z142" s="165"/>
      <c r="AA142" s="165"/>
      <c r="AB142" s="186"/>
      <c r="AC142" s="166"/>
    </row>
    <row r="143" spans="23:29">
      <c r="W143" s="165"/>
      <c r="X143" s="165"/>
      <c r="Y143" s="165"/>
      <c r="Z143" s="165"/>
      <c r="AA143" s="165"/>
      <c r="AB143" s="186"/>
      <c r="AC143" s="166"/>
    </row>
    <row r="144" spans="23:29">
      <c r="W144" s="165"/>
      <c r="X144" s="165"/>
      <c r="Y144" s="165"/>
      <c r="Z144" s="165"/>
      <c r="AA144" s="165"/>
      <c r="AB144" s="186"/>
      <c r="AC144" s="166"/>
    </row>
    <row r="145" spans="23:29">
      <c r="W145" s="165"/>
      <c r="X145" s="165"/>
      <c r="Y145" s="165"/>
      <c r="Z145" s="165"/>
      <c r="AA145" s="165"/>
      <c r="AB145" s="186"/>
      <c r="AC145" s="166"/>
    </row>
    <row r="146" spans="23:29">
      <c r="W146" s="165"/>
      <c r="X146" s="165"/>
      <c r="Y146" s="165"/>
      <c r="Z146" s="165"/>
      <c r="AA146" s="165"/>
      <c r="AB146" s="186"/>
      <c r="AC146" s="166"/>
    </row>
    <row r="147" spans="23:29">
      <c r="W147" s="165"/>
      <c r="X147" s="165"/>
      <c r="Y147" s="165"/>
      <c r="Z147" s="165"/>
      <c r="AA147" s="165"/>
      <c r="AB147" s="186"/>
      <c r="AC147" s="166"/>
    </row>
    <row r="148" spans="23:29">
      <c r="W148" s="165"/>
      <c r="X148" s="165"/>
      <c r="Y148" s="165"/>
      <c r="Z148" s="165"/>
      <c r="AA148" s="165"/>
      <c r="AB148" s="186"/>
      <c r="AC148" s="166"/>
    </row>
    <row r="149" spans="23:29">
      <c r="W149" s="165"/>
      <c r="X149" s="165"/>
      <c r="Y149" s="165"/>
      <c r="Z149" s="165"/>
      <c r="AA149" s="165"/>
      <c r="AB149" s="186"/>
      <c r="AC149" s="166"/>
    </row>
    <row r="150" spans="23:29">
      <c r="W150" s="165"/>
      <c r="X150" s="165"/>
      <c r="Y150" s="165"/>
      <c r="Z150" s="165"/>
      <c r="AA150" s="165"/>
      <c r="AB150" s="186"/>
      <c r="AC150" s="166"/>
    </row>
    <row r="151" spans="23:29">
      <c r="W151" s="165"/>
      <c r="X151" s="165"/>
      <c r="Y151" s="165"/>
      <c r="Z151" s="165"/>
      <c r="AA151" s="165"/>
      <c r="AB151" s="186"/>
      <c r="AC151" s="166"/>
    </row>
    <row r="152" spans="23:29">
      <c r="W152" s="165"/>
      <c r="X152" s="165"/>
      <c r="Y152" s="165"/>
      <c r="Z152" s="165"/>
      <c r="AA152" s="165"/>
      <c r="AB152" s="186"/>
      <c r="AC152" s="166"/>
    </row>
    <row r="153" spans="23:29">
      <c r="W153" s="165"/>
      <c r="X153" s="165"/>
      <c r="Y153" s="165"/>
      <c r="Z153" s="165"/>
      <c r="AA153" s="165"/>
      <c r="AB153" s="186"/>
      <c r="AC153" s="166"/>
    </row>
    <row r="154" spans="23:29">
      <c r="W154" s="165"/>
      <c r="X154" s="165"/>
      <c r="Y154" s="165"/>
      <c r="Z154" s="165"/>
      <c r="AA154" s="165"/>
      <c r="AB154" s="186"/>
      <c r="AC154" s="166"/>
    </row>
    <row r="155" spans="23:29">
      <c r="W155" s="165"/>
      <c r="X155" s="165"/>
      <c r="Y155" s="165"/>
      <c r="Z155" s="165"/>
      <c r="AA155" s="165"/>
      <c r="AB155" s="186"/>
      <c r="AC155" s="166"/>
    </row>
    <row r="156" spans="23:29">
      <c r="W156" s="165"/>
      <c r="X156" s="165"/>
      <c r="Y156" s="165"/>
      <c r="Z156" s="165"/>
      <c r="AA156" s="165"/>
      <c r="AB156" s="186"/>
      <c r="AC156" s="166"/>
    </row>
    <row r="157" spans="23:29">
      <c r="W157" s="165"/>
      <c r="X157" s="165"/>
      <c r="Y157" s="165"/>
      <c r="Z157" s="165"/>
      <c r="AA157" s="165"/>
      <c r="AB157" s="186"/>
      <c r="AC157" s="166"/>
    </row>
    <row r="158" spans="23:29">
      <c r="W158" s="165"/>
      <c r="X158" s="165"/>
      <c r="Y158" s="165"/>
      <c r="Z158" s="165"/>
      <c r="AA158" s="165"/>
      <c r="AB158" s="186"/>
      <c r="AC158" s="166"/>
    </row>
    <row r="159" spans="23:29">
      <c r="W159" s="165"/>
      <c r="X159" s="165"/>
      <c r="Y159" s="165"/>
      <c r="Z159" s="165"/>
      <c r="AA159" s="165"/>
      <c r="AB159" s="186"/>
      <c r="AC159" s="166"/>
    </row>
    <row r="160" spans="23:29">
      <c r="W160" s="165"/>
      <c r="X160" s="165"/>
      <c r="Y160" s="165"/>
      <c r="Z160" s="165"/>
      <c r="AA160" s="165"/>
      <c r="AB160" s="186"/>
      <c r="AC160" s="166"/>
    </row>
    <row r="161" spans="23:29">
      <c r="W161" s="165"/>
      <c r="X161" s="165"/>
      <c r="Y161" s="165"/>
      <c r="Z161" s="165"/>
      <c r="AA161" s="165"/>
      <c r="AB161" s="186"/>
      <c r="AC161" s="166"/>
    </row>
    <row r="162" spans="23:29">
      <c r="W162" s="165"/>
      <c r="X162" s="165"/>
      <c r="Y162" s="165"/>
      <c r="Z162" s="165"/>
      <c r="AA162" s="165"/>
      <c r="AB162" s="186"/>
      <c r="AC162" s="166"/>
    </row>
    <row r="163" spans="23:29">
      <c r="W163" s="165"/>
      <c r="X163" s="165"/>
      <c r="Y163" s="165"/>
      <c r="Z163" s="165"/>
      <c r="AA163" s="165"/>
      <c r="AB163" s="186"/>
      <c r="AC163" s="166"/>
    </row>
    <row r="164" spans="23:29">
      <c r="W164" s="165"/>
      <c r="X164" s="165"/>
      <c r="Y164" s="165"/>
      <c r="Z164" s="165"/>
      <c r="AA164" s="165"/>
      <c r="AB164" s="186"/>
      <c r="AC164" s="166"/>
    </row>
    <row r="165" spans="23:29">
      <c r="W165" s="165"/>
      <c r="X165" s="165"/>
      <c r="Y165" s="165"/>
      <c r="Z165" s="165"/>
      <c r="AA165" s="165"/>
      <c r="AB165" s="186"/>
      <c r="AC165" s="166"/>
    </row>
    <row r="166" spans="23:29">
      <c r="W166" s="165"/>
      <c r="X166" s="165"/>
      <c r="Y166" s="165"/>
      <c r="Z166" s="165"/>
      <c r="AA166" s="165"/>
      <c r="AB166" s="186"/>
      <c r="AC166" s="166"/>
    </row>
    <row r="167" spans="23:29">
      <c r="W167" s="165"/>
      <c r="X167" s="165"/>
      <c r="Y167" s="165"/>
      <c r="Z167" s="165"/>
      <c r="AA167" s="165"/>
      <c r="AB167" s="186"/>
      <c r="AC167" s="166"/>
    </row>
    <row r="168" spans="23:29">
      <c r="W168" s="165"/>
      <c r="X168" s="165"/>
      <c r="Y168" s="165"/>
      <c r="Z168" s="165"/>
      <c r="AA168" s="165"/>
      <c r="AB168" s="186"/>
      <c r="AC168" s="166"/>
    </row>
    <row r="169" spans="23:29">
      <c r="W169" s="165"/>
      <c r="X169" s="165"/>
      <c r="Y169" s="165"/>
      <c r="Z169" s="165"/>
      <c r="AA169" s="165"/>
      <c r="AB169" s="186"/>
      <c r="AC169" s="166"/>
    </row>
    <row r="170" spans="23:29">
      <c r="W170" s="165"/>
      <c r="X170" s="165"/>
      <c r="Y170" s="165"/>
      <c r="Z170" s="165"/>
      <c r="AA170" s="165"/>
      <c r="AB170" s="186"/>
      <c r="AC170" s="166"/>
    </row>
    <row r="171" spans="23:29">
      <c r="W171" s="165"/>
      <c r="X171" s="165"/>
      <c r="Y171" s="165"/>
      <c r="Z171" s="165"/>
      <c r="AA171" s="165"/>
      <c r="AB171" s="186"/>
      <c r="AC171" s="166"/>
    </row>
    <row r="172" spans="23:29">
      <c r="W172" s="165"/>
      <c r="X172" s="165"/>
      <c r="Y172" s="165"/>
      <c r="Z172" s="165"/>
      <c r="AA172" s="165"/>
      <c r="AB172" s="186"/>
      <c r="AC172" s="166"/>
    </row>
    <row r="173" spans="23:29">
      <c r="W173" s="165"/>
      <c r="X173" s="165"/>
      <c r="Y173" s="165"/>
      <c r="Z173" s="165"/>
      <c r="AA173" s="165"/>
      <c r="AB173" s="186"/>
      <c r="AC173" s="166"/>
    </row>
    <row r="174" spans="23:29">
      <c r="W174" s="165"/>
      <c r="X174" s="165"/>
      <c r="Y174" s="165"/>
      <c r="Z174" s="165"/>
      <c r="AA174" s="165"/>
      <c r="AB174" s="186"/>
      <c r="AC174" s="166"/>
    </row>
    <row r="175" spans="23:29">
      <c r="W175" s="165"/>
      <c r="X175" s="165"/>
      <c r="Y175" s="165"/>
      <c r="Z175" s="165"/>
      <c r="AA175" s="165"/>
      <c r="AB175" s="186"/>
      <c r="AC175" s="166"/>
    </row>
    <row r="176" spans="23:29">
      <c r="W176" s="165"/>
      <c r="X176" s="165"/>
      <c r="Y176" s="165"/>
      <c r="Z176" s="165"/>
      <c r="AA176" s="165"/>
      <c r="AB176" s="186"/>
      <c r="AC176" s="166"/>
    </row>
    <row r="177" spans="23:29">
      <c r="W177" s="165"/>
      <c r="X177" s="165"/>
      <c r="Y177" s="165"/>
      <c r="Z177" s="165"/>
      <c r="AA177" s="165"/>
      <c r="AB177" s="186"/>
      <c r="AC177" s="166"/>
    </row>
    <row r="178" spans="23:29">
      <c r="W178" s="165"/>
      <c r="X178" s="165"/>
      <c r="Y178" s="165"/>
      <c r="Z178" s="165"/>
      <c r="AA178" s="165"/>
      <c r="AB178" s="186"/>
      <c r="AC178" s="166"/>
    </row>
    <row r="179" spans="23:29">
      <c r="W179" s="165"/>
      <c r="X179" s="165"/>
      <c r="Y179" s="165"/>
      <c r="Z179" s="165"/>
      <c r="AA179" s="165"/>
      <c r="AB179" s="186"/>
      <c r="AC179" s="166"/>
    </row>
    <row r="180" spans="23:29">
      <c r="W180" s="165"/>
      <c r="X180" s="165"/>
      <c r="Y180" s="165"/>
      <c r="Z180" s="165"/>
      <c r="AA180" s="165"/>
      <c r="AB180" s="186"/>
      <c r="AC180" s="166"/>
    </row>
    <row r="181" spans="23:29">
      <c r="W181" s="165"/>
      <c r="X181" s="165"/>
      <c r="Y181" s="165"/>
      <c r="Z181" s="165"/>
      <c r="AA181" s="165"/>
      <c r="AB181" s="186"/>
      <c r="AC181" s="166"/>
    </row>
    <row r="182" spans="23:29">
      <c r="W182" s="165"/>
      <c r="X182" s="165"/>
      <c r="Y182" s="165"/>
      <c r="Z182" s="165"/>
      <c r="AA182" s="165"/>
      <c r="AB182" s="186"/>
      <c r="AC182" s="166"/>
    </row>
    <row r="183" spans="23:29">
      <c r="W183" s="165"/>
      <c r="X183" s="165"/>
      <c r="Y183" s="165"/>
      <c r="Z183" s="165"/>
      <c r="AA183" s="165"/>
      <c r="AB183" s="186"/>
      <c r="AC183" s="166"/>
    </row>
    <row r="184" spans="23:29">
      <c r="W184" s="165"/>
      <c r="X184" s="165"/>
      <c r="Y184" s="165"/>
      <c r="Z184" s="165"/>
      <c r="AA184" s="165"/>
      <c r="AB184" s="186"/>
      <c r="AC184" s="166"/>
    </row>
    <row r="185" spans="23:29">
      <c r="W185" s="165"/>
      <c r="X185" s="165"/>
      <c r="Y185" s="165"/>
      <c r="Z185" s="165"/>
      <c r="AA185" s="165"/>
      <c r="AB185" s="186"/>
      <c r="AC185" s="166"/>
    </row>
    <row r="186" spans="23:29">
      <c r="W186" s="165"/>
      <c r="X186" s="165"/>
      <c r="Y186" s="165"/>
      <c r="Z186" s="165"/>
      <c r="AA186" s="165"/>
      <c r="AB186" s="186"/>
      <c r="AC186" s="166"/>
    </row>
    <row r="187" spans="23:29">
      <c r="W187" s="165"/>
      <c r="X187" s="165"/>
      <c r="Y187" s="165"/>
      <c r="Z187" s="165"/>
      <c r="AA187" s="165"/>
      <c r="AB187" s="186"/>
      <c r="AC187" s="166"/>
    </row>
    <row r="188" spans="23:29">
      <c r="W188" s="165"/>
      <c r="X188" s="165"/>
      <c r="Y188" s="165"/>
      <c r="Z188" s="165"/>
      <c r="AA188" s="165"/>
      <c r="AB188" s="186"/>
      <c r="AC188" s="166"/>
    </row>
    <row r="189" spans="23:29">
      <c r="W189" s="165"/>
      <c r="X189" s="165"/>
      <c r="Y189" s="165"/>
      <c r="Z189" s="165"/>
      <c r="AA189" s="165"/>
      <c r="AB189" s="186"/>
      <c r="AC189" s="166"/>
    </row>
    <row r="190" spans="23:29">
      <c r="W190" s="165"/>
      <c r="X190" s="165"/>
      <c r="Y190" s="165"/>
      <c r="Z190" s="165"/>
      <c r="AA190" s="165"/>
      <c r="AB190" s="186"/>
      <c r="AC190" s="166"/>
    </row>
    <row r="191" spans="23:29">
      <c r="W191" s="165"/>
      <c r="X191" s="165"/>
      <c r="Y191" s="165"/>
      <c r="Z191" s="165"/>
      <c r="AA191" s="165"/>
      <c r="AB191" s="186"/>
      <c r="AC191" s="166"/>
    </row>
    <row r="192" spans="23:29">
      <c r="W192" s="165"/>
      <c r="X192" s="165"/>
      <c r="Y192" s="165"/>
      <c r="Z192" s="165"/>
      <c r="AA192" s="165"/>
      <c r="AB192" s="186"/>
      <c r="AC192" s="166"/>
    </row>
    <row r="193" spans="23:29">
      <c r="W193" s="165"/>
      <c r="X193" s="165"/>
      <c r="Y193" s="165"/>
      <c r="Z193" s="165"/>
      <c r="AA193" s="165"/>
      <c r="AB193" s="186"/>
      <c r="AC193" s="166"/>
    </row>
    <row r="194" spans="23:29">
      <c r="W194" s="165"/>
      <c r="X194" s="165"/>
      <c r="Y194" s="165"/>
      <c r="Z194" s="165"/>
      <c r="AA194" s="165"/>
      <c r="AB194" s="186"/>
      <c r="AC194" s="166"/>
    </row>
    <row r="195" spans="23:29">
      <c r="W195" s="165"/>
      <c r="X195" s="165"/>
      <c r="Y195" s="165"/>
      <c r="Z195" s="165"/>
      <c r="AA195" s="165"/>
      <c r="AB195" s="186"/>
      <c r="AC195" s="166"/>
    </row>
    <row r="196" spans="23:29">
      <c r="W196" s="165"/>
      <c r="X196" s="165"/>
      <c r="Y196" s="165"/>
      <c r="Z196" s="165"/>
      <c r="AA196" s="165"/>
      <c r="AB196" s="186"/>
      <c r="AC196" s="166"/>
    </row>
    <row r="197" spans="23:29">
      <c r="W197" s="165"/>
      <c r="X197" s="165"/>
      <c r="Y197" s="165"/>
      <c r="Z197" s="165"/>
      <c r="AA197" s="165"/>
      <c r="AB197" s="186"/>
      <c r="AC197" s="166"/>
    </row>
  </sheetData>
  <mergeCells count="216">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E96:E97"/>
    <mergeCell ref="G96:G97"/>
    <mergeCell ref="B98:B100"/>
    <mergeCell ref="C98:C100"/>
    <mergeCell ref="D98:D100"/>
    <mergeCell ref="E98:E100"/>
    <mergeCell ref="F98:F100"/>
    <mergeCell ref="G98:G100"/>
    <mergeCell ref="E101:E102"/>
    <mergeCell ref="G101:G102"/>
    <mergeCell ref="I98:I100"/>
    <mergeCell ref="J98:J100"/>
    <mergeCell ref="K98:K100"/>
    <mergeCell ref="L98:L100"/>
    <mergeCell ref="M98:M100"/>
    <mergeCell ref="N98:N100"/>
    <mergeCell ref="P98:P100"/>
    <mergeCell ref="Q98:Q100"/>
    <mergeCell ref="R98:R100"/>
    <mergeCell ref="L101:L102"/>
    <mergeCell ref="N101:N102"/>
    <mergeCell ref="S101:S102"/>
    <mergeCell ref="U101:U102"/>
    <mergeCell ref="Z101:Z102"/>
    <mergeCell ref="AB101:AB102"/>
    <mergeCell ref="L96:L97"/>
    <mergeCell ref="N96:N97"/>
    <mergeCell ref="S96:S97"/>
    <mergeCell ref="U96:U97"/>
    <mergeCell ref="Z96:Z97"/>
    <mergeCell ref="AB96:AB97"/>
    <mergeCell ref="S98:S100"/>
    <mergeCell ref="T98:T100"/>
    <mergeCell ref="U98:U100"/>
    <mergeCell ref="Z98:Z100"/>
    <mergeCell ref="AB98:AB100"/>
  </mergeCells>
  <pageMargins left="0.7" right="0.7" top="0.75" bottom="0.75" header="0.3" footer="0.3"/>
  <pageSetup paperSize="8" orientation="portrait" r:id="rId1"/>
  <rowBreaks count="1" manualBreakCount="1">
    <brk id="5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A3" sqref="A3"/>
    </sheetView>
  </sheetViews>
  <sheetFormatPr defaultRowHeight="14.4"/>
  <cols>
    <col min="1" max="1" width="28.109375" customWidth="1"/>
    <col min="2" max="2" width="21.5546875" bestFit="1" customWidth="1"/>
  </cols>
  <sheetData>
    <row r="3" spans="1:2">
      <c r="A3" s="349" t="s">
        <v>611</v>
      </c>
      <c r="B3" t="s">
        <v>613</v>
      </c>
    </row>
    <row r="4" spans="1:2">
      <c r="A4" s="350" t="s">
        <v>488</v>
      </c>
      <c r="B4" s="351">
        <v>34</v>
      </c>
    </row>
    <row r="5" spans="1:2">
      <c r="A5" s="350" t="s">
        <v>595</v>
      </c>
      <c r="B5" s="351">
        <v>16</v>
      </c>
    </row>
    <row r="6" spans="1:2">
      <c r="A6" s="350" t="s">
        <v>212</v>
      </c>
      <c r="B6" s="351">
        <v>36</v>
      </c>
    </row>
    <row r="7" spans="1:2">
      <c r="A7" s="350" t="s">
        <v>487</v>
      </c>
      <c r="B7" s="351">
        <v>46</v>
      </c>
    </row>
    <row r="8" spans="1:2">
      <c r="A8" s="350" t="s">
        <v>612</v>
      </c>
      <c r="B8" s="351">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1. All Data</vt:lpstr>
      <vt:lpstr>Q1 Summary</vt:lpstr>
      <vt:lpstr>Q2 Summary</vt:lpstr>
      <vt:lpstr>Q3 Summary</vt:lpstr>
      <vt:lpstr>Q4 Summary</vt:lpstr>
      <vt:lpstr>2a. % By Priority</vt:lpstr>
      <vt:lpstr>2b. Charts by Priority</vt:lpstr>
      <vt:lpstr>3a. % by Portfolio</vt:lpstr>
      <vt:lpstr>Sheet1</vt:lpstr>
      <vt:lpstr>3b. Charts by Portfolio</vt:lpstr>
      <vt:lpstr>4. Status Tracking</vt:lpstr>
      <vt:lpstr>Custom Pivot</vt:lpstr>
      <vt:lpstr>'1. All Data'!_Toc382250483</vt:lpstr>
      <vt:lpstr>'1. All Data'!OLE_LINK3</vt:lpstr>
      <vt:lpstr>'1. All Data'!Print_Area</vt:lpstr>
      <vt:lpstr>'2a. % By Priority'!Print_Area</vt:lpstr>
      <vt:lpstr>'2b. Charts by Priority'!Print_Area</vt:lpstr>
      <vt:lpstr>'3a. % by Portfolio'!Print_Area</vt:lpstr>
      <vt:lpstr>'3b. Charts by Portfolio'!Print_Area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2023-07-05T18:47:41Z</cp:lastPrinted>
  <dcterms:created xsi:type="dcterms:W3CDTF">2019-02-13T13:28:16Z</dcterms:created>
  <dcterms:modified xsi:type="dcterms:W3CDTF">2023-08-11T10:02:52Z</dcterms:modified>
</cp:coreProperties>
</file>