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223\Quarter 4\Working Folder\4 Cabinet\"/>
    </mc:Choice>
  </mc:AlternateContent>
  <bookViews>
    <workbookView xWindow="0" yWindow="0" windowWidth="21576" windowHeight="5856"/>
  </bookViews>
  <sheets>
    <sheet name="1. All Data" sheetId="1" r:id="rId1"/>
    <sheet name="Q1 Summary" sheetId="9" state="hidden" r:id="rId2"/>
    <sheet name="Q2 Summary" sheetId="14" state="hidden" r:id="rId3"/>
    <sheet name="Q3 Summary" sheetId="15" state="hidden" r:id="rId4"/>
    <sheet name="Q4 Summary" sheetId="16" r:id="rId5"/>
    <sheet name="2a. % By Priority" sheetId="5" r:id="rId6"/>
    <sheet name="2b. Charts by Priority" sheetId="6" state="hidden" r:id="rId7"/>
    <sheet name="3a. % by Portfolio" sheetId="7"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Data'!$A$1:$AD$131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6" i="7" l="1"/>
  <c r="X105" i="7"/>
  <c r="X104" i="7"/>
  <c r="X103" i="7"/>
  <c r="X102" i="7"/>
  <c r="X101" i="7"/>
  <c r="X100" i="7"/>
  <c r="X99" i="7"/>
  <c r="X98" i="7"/>
  <c r="X97" i="7"/>
  <c r="X96" i="7"/>
  <c r="X88" i="7"/>
  <c r="X87" i="7"/>
  <c r="X86" i="7"/>
  <c r="X85" i="7"/>
  <c r="X84" i="7"/>
  <c r="X83" i="7"/>
  <c r="X82" i="7"/>
  <c r="X81" i="7"/>
  <c r="X80" i="7"/>
  <c r="X79" i="7"/>
  <c r="X78" i="7"/>
  <c r="X60" i="7"/>
  <c r="X70" i="7"/>
  <c r="X69" i="7"/>
  <c r="X68" i="7"/>
  <c r="X67" i="7"/>
  <c r="X66" i="7"/>
  <c r="X65" i="7"/>
  <c r="X64" i="7"/>
  <c r="X63" i="7"/>
  <c r="X62" i="7"/>
  <c r="X61" i="7"/>
  <c r="X42" i="7"/>
  <c r="X52" i="7"/>
  <c r="X51" i="7"/>
  <c r="X50" i="7"/>
  <c r="X49" i="7"/>
  <c r="X48" i="7"/>
  <c r="X47" i="7"/>
  <c r="X46" i="7"/>
  <c r="X45" i="7"/>
  <c r="X44" i="7"/>
  <c r="X43" i="7"/>
  <c r="X24" i="7"/>
  <c r="X34" i="7"/>
  <c r="X33" i="7"/>
  <c r="X32" i="7"/>
  <c r="X31" i="7"/>
  <c r="X30" i="7"/>
  <c r="X29" i="7"/>
  <c r="X28" i="7"/>
  <c r="X27" i="7"/>
  <c r="X26" i="7"/>
  <c r="X25" i="7"/>
  <c r="X5" i="7"/>
  <c r="X15" i="7"/>
  <c r="X14" i="7"/>
  <c r="X13" i="7"/>
  <c r="X12" i="7"/>
  <c r="X11" i="7"/>
  <c r="X10" i="7"/>
  <c r="X9" i="7"/>
  <c r="X8" i="7"/>
  <c r="X7" i="7"/>
  <c r="X6" i="7"/>
  <c r="G12" i="16" l="1"/>
  <c r="G16" i="16"/>
  <c r="C15" i="16"/>
  <c r="C16" i="16"/>
  <c r="E16" i="16"/>
  <c r="X107" i="7"/>
  <c r="Y96" i="7" s="1"/>
  <c r="Y99" i="7" l="1"/>
  <c r="Y106" i="7"/>
  <c r="Z106" i="7" s="1"/>
  <c r="Y97" i="7"/>
  <c r="Z96" i="7" s="1"/>
  <c r="Y104" i="7"/>
  <c r="Z104" i="7" s="1"/>
  <c r="Y105" i="7"/>
  <c r="Z105" i="7" s="1"/>
  <c r="Y103" i="7"/>
  <c r="Z103" i="7" s="1"/>
  <c r="Y101" i="7"/>
  <c r="Y100" i="7"/>
  <c r="Y102" i="7"/>
  <c r="Y98" i="7"/>
  <c r="X108" i="7"/>
  <c r="Q15" i="7"/>
  <c r="Q14" i="7"/>
  <c r="Q13" i="7"/>
  <c r="Q12" i="7"/>
  <c r="Q11" i="7"/>
  <c r="Q10" i="7"/>
  <c r="Q7" i="7"/>
  <c r="Q6" i="7"/>
  <c r="Q5" i="7"/>
  <c r="Z98" i="7" l="1"/>
  <c r="Z101" i="7"/>
  <c r="AA102" i="7"/>
  <c r="AA101" i="7"/>
  <c r="AA96" i="7"/>
  <c r="AA99" i="7"/>
  <c r="AA98" i="7"/>
  <c r="AA100" i="7"/>
  <c r="AA97" i="7"/>
  <c r="J51" i="1"/>
  <c r="J52" i="1"/>
  <c r="AB101" i="7" l="1"/>
  <c r="H16" i="16" s="1"/>
  <c r="AB96" i="7"/>
  <c r="D16" i="16" s="1"/>
  <c r="AB98" i="7"/>
  <c r="F16" i="16" s="1"/>
  <c r="Q88" i="7"/>
  <c r="Q87" i="7"/>
  <c r="Q86" i="7"/>
  <c r="Q85" i="7"/>
  <c r="Q84" i="7"/>
  <c r="Q83" i="7"/>
  <c r="Q80" i="7"/>
  <c r="Q79" i="7"/>
  <c r="Q78" i="7"/>
  <c r="J88" i="7"/>
  <c r="J87" i="7"/>
  <c r="J86" i="7"/>
  <c r="J85" i="7"/>
  <c r="J84" i="7"/>
  <c r="J83" i="7"/>
  <c r="J80" i="7"/>
  <c r="J79" i="7"/>
  <c r="J78" i="7"/>
  <c r="C88" i="7"/>
  <c r="C87" i="7"/>
  <c r="C86" i="7"/>
  <c r="C85" i="7"/>
  <c r="C84" i="7"/>
  <c r="C83" i="7"/>
  <c r="C80" i="7"/>
  <c r="C79" i="7"/>
  <c r="C78" i="7"/>
  <c r="Q70" i="7"/>
  <c r="Q69" i="7"/>
  <c r="Q68" i="7"/>
  <c r="Q67" i="7"/>
  <c r="Q66" i="7"/>
  <c r="Q65" i="7"/>
  <c r="Q62" i="7"/>
  <c r="Q61" i="7"/>
  <c r="Q60" i="7"/>
  <c r="J70" i="7"/>
  <c r="J69" i="7"/>
  <c r="J68" i="7"/>
  <c r="J67" i="7"/>
  <c r="J66" i="7"/>
  <c r="J65" i="7"/>
  <c r="J62" i="7"/>
  <c r="J61" i="7"/>
  <c r="J60" i="7"/>
  <c r="C70" i="7"/>
  <c r="C69" i="7"/>
  <c r="C68" i="7"/>
  <c r="C67" i="7"/>
  <c r="C66" i="7"/>
  <c r="C65" i="7"/>
  <c r="C62" i="7"/>
  <c r="C61" i="7"/>
  <c r="C60" i="7"/>
  <c r="Q52" i="7"/>
  <c r="Q51" i="7"/>
  <c r="Q50" i="7"/>
  <c r="Q49" i="7"/>
  <c r="Q48" i="7"/>
  <c r="Q47" i="7"/>
  <c r="Q44" i="7"/>
  <c r="Q43" i="7"/>
  <c r="Q42" i="7"/>
  <c r="J52" i="7"/>
  <c r="J51" i="7"/>
  <c r="J50" i="7"/>
  <c r="J49" i="7"/>
  <c r="J48" i="7"/>
  <c r="J47" i="7"/>
  <c r="J44" i="7"/>
  <c r="J43" i="7"/>
  <c r="J42" i="7"/>
  <c r="C52" i="7"/>
  <c r="C51" i="7"/>
  <c r="C50" i="7"/>
  <c r="C49" i="7"/>
  <c r="C48" i="7"/>
  <c r="C47" i="7"/>
  <c r="C44" i="7"/>
  <c r="C43" i="7"/>
  <c r="C42" i="7"/>
  <c r="Q34" i="7"/>
  <c r="Q33" i="7"/>
  <c r="Q32" i="7"/>
  <c r="Q31" i="7"/>
  <c r="Q30" i="7"/>
  <c r="Q29" i="7"/>
  <c r="Q26" i="7"/>
  <c r="Q25" i="7"/>
  <c r="Q24" i="7"/>
  <c r="J34" i="7"/>
  <c r="J33" i="7"/>
  <c r="J32" i="7"/>
  <c r="J31" i="7"/>
  <c r="J30" i="7"/>
  <c r="J29" i="7"/>
  <c r="J26" i="7"/>
  <c r="J25" i="7"/>
  <c r="J24" i="7"/>
  <c r="C34" i="7"/>
  <c r="C33" i="7"/>
  <c r="C32" i="7"/>
  <c r="C31" i="7"/>
  <c r="C30" i="7"/>
  <c r="C29" i="7"/>
  <c r="C26" i="7"/>
  <c r="C25" i="7"/>
  <c r="C24"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5" l="1"/>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C7" i="16" l="1"/>
  <c r="J7" i="5"/>
  <c r="E11" i="16" l="1"/>
  <c r="G13" i="16"/>
  <c r="G14" i="16"/>
  <c r="G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E11" i="15"/>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<sst xmlns="http://schemas.openxmlformats.org/spreadsheetml/2006/main" count="3170" uniqueCount="886">
  <si>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</si>
  <si>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</si>
  <si>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</si>
  <si>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</si>
  <si>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</si>
  <si>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</si>
  <si>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</si>
  <si>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</si>
  <si>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</si>
  <si>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</si>
  <si>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</si>
  <si>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</si>
  <si>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</si>
  <si>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</si>
  <si>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</si>
  <si>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</si>
  <si>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</si>
  <si>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</si>
  <si>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</si>
  <si>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</si>
  <si>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</si>
  <si>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</si>
  <si>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</si>
  <si>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</si>
  <si>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</si>
  <si>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</si>
  <si>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</si>
  <si>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</si>
  <si>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</si>
  <si>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</si>
  <si>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</si>
  <si>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</si>
  <si>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</si>
  <si>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</si>
  <si>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</si>
  <si>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</si>
  <si>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</si>
  <si>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</si>
  <si>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</si>
  <si>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</si>
  <si>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</si>
  <si>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</si>
  <si>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</si>
  <si>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</si>
  <si>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</si>
  <si>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</si>
  <si>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</si>
  <si>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</si>
  <si>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</si>
  <si>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</si>
  <si>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</si>
  <si>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</si>
  <si>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</si>
  <si>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</si>
  <si>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</si>
  <si>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</si>
  <si>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</si>
  <si>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</si>
  <si>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</si>
  <si>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</si>
  <si>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</si>
  <si>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</si>
  <si>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</si>
  <si>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</si>
  <si>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</si>
  <si>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</si>
  <si>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</si>
  <si>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</si>
  <si>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</si>
  <si>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</si>
  <si>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</si>
  <si>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</si>
  <si>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</si>
  <si>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</si>
  <si>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</si>
  <si>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</si>
  <si>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</si>
  <si>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</si>
  <si>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</si>
  <si>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</si>
  <si>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</si>
  <si>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</si>
  <si>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</si>
  <si>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</si>
  <si>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</si>
  <si>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</si>
  <si>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</si>
  <si>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</si>
  <si>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</si>
  <si>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</si>
  <si>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</si>
  <si>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</si>
  <si>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</si>
  <si>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</si>
  <si>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</si>
  <si>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</si>
  <si>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</si>
  <si>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</si>
  <si>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</si>
  <si>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</si>
  <si>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</si>
  <si>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</si>
  <si>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</si>
  <si>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</si>
  <si>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</si>
  <si>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</si>
  <si>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</si>
  <si>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</si>
  <si>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</si>
  <si>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</si>
  <si>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</si>
  <si>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</si>
  <si>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</si>
  <si>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</si>
  <si>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</si>
  <si>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</si>
  <si>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</si>
  <si>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</si>
  <si>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</si>
  <si>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</si>
  <si>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</si>
  <si>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</si>
  <si>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</si>
  <si>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</si>
  <si>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</si>
  <si>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</si>
  <si>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</si>
  <si>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</si>
  <si>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</si>
  <si>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</si>
  <si>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</si>
  <si>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</si>
  <si>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</si>
  <si>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</si>
  <si>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</si>
  <si>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</si>
  <si>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</si>
  <si>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</si>
  <si>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</si>
  <si>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</si>
  <si>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</si>
  <si>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</si>
  <si>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</si>
  <si>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</si>
  <si>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</si>
  <si>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</si>
  <si>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</si>
  <si>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</si>
  <si>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</si>
  <si>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</si>
  <si>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</si>
  <si>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</si>
  <si>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</si>
  <si>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</si>
  <si>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</si>
  <si>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</si>
  <si>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</si>
  <si>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</si>
  <si>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</si>
  <si>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</si>
  <si>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</si>
  <si>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</si>
  <si>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</si>
  <si>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</si>
  <si>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</si>
  <si>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</si>
  <si>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</si>
  <si>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</si>
  <si>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</si>
  <si>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</si>
  <si>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</si>
  <si>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</si>
  <si>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</si>
  <si>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</si>
  <si>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</si>
  <si>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</si>
  <si>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</si>
  <si>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</si>
  <si>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</si>
  <si>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</si>
  <si>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</si>
  <si>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</si>
  <si>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</si>
  <si>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</si>
  <si>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</si>
  <si>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</si>
  <si>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</si>
  <si>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</si>
  <si>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</si>
  <si>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</si>
  <si>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</si>
  <si>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</si>
  <si>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</si>
  <si>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</si>
  <si>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</si>
  <si>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</si>
  <si>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</si>
  <si>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</si>
  <si>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</si>
  <si>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</si>
  <si>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</si>
  <si>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</si>
  <si>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</si>
  <si>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</si>
  <si>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</si>
  <si>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</si>
  <si>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</si>
  <si>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</si>
  <si>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</si>
  <si>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</si>
  <si>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</si>
  <si>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</si>
  <si>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</si>
  <si>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</si>
  <si>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</si>
  <si>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</si>
  <si>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</si>
  <si>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</si>
  <si>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</si>
  <si>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</si>
  <si>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</si>
  <si>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</si>
  <si>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</si>
  <si>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</si>
  <si>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</si>
  <si>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</si>
  <si>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</si>
  <si>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</si>
  <si>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</si>
  <si>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</si>
  <si>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</si>
  <si>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</si>
  <si>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</si>
  <si>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</si>
  <si>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</si>
  <si>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</si>
  <si>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</si>
  <si>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</si>
  <si>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</si>
  <si>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</si>
  <si>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</si>
  <si>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</si>
  <si>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</si>
  <si>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</si>
  <si>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</si>
  <si>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</si>
  <si>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</si>
  <si>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</si>
  <si>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</si>
  <si>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</si>
  <si>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</si>
  <si>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</si>
  <si>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</si>
  <si>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</si>
  <si>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</si>
  <si>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</si>
  <si>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</si>
  <si>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</si>
  <si>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</si>
  <si>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</si>
  <si>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</si>
  <si>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</si>
  <si>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</si>
  <si>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</si>
  <si>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</si>
  <si>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</si>
  <si>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</si>
  <si>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</si>
  <si>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</si>
  <si>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</si>
  <si>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</si>
  <si>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</si>
  <si>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</si>
  <si>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</si>
  <si>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</si>
  <si>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</si>
  <si>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</si>
  <si>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</si>
  <si>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</si>
  <si>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</si>
  <si>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</si>
  <si>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</si>
  <si>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</si>
  <si>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</si>
  <si>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</si>
  <si>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</si>
  <si>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</si>
  <si>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</si>
  <si>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</si>
  <si>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</si>
  <si>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</si>
  <si>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</si>
  <si>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</si>
  <si>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</si>
  <si>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</si>
  <si>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</si>
  <si>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</si>
  <si>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</si>
  <si>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</si>
  <si>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</si>
  <si>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</si>
  <si>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</si>
  <si>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</si>
  <si>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</si>
  <si>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</si>
  <si>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</si>
  <si>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</si>
  <si>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</si>
  <si>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</si>
  <si>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</si>
  <si>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</si>
  <si>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</si>
  <si>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</si>
  <si>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</si>
  <si>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</si>
  <si>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</si>
  <si>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</si>
  <si>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</si>
  <si>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</si>
  <si>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</si>
  <si>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</si>
  <si>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</si>
  <si>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</si>
  <si>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</si>
  <si>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</si>
  <si>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</si>
  <si>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</si>
  <si>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</si>
  <si>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</si>
  <si>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</si>
  <si>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</si>
  <si>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</si>
  <si>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</si>
  <si>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</si>
  <si>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</si>
  <si>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</si>
  <si>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</si>
  <si>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</si>
  <si>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</si>
  <si>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</si>
  <si>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</si>
  <si>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</si>
  <si>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</si>
  <si>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</si>
  <si>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</si>
  <si>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</si>
  <si>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</si>
  <si>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</si>
  <si>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</si>
  <si>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</si>
  <si>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</si>
  <si>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</si>
  <si>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</si>
  <si>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</si>
  <si>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</si>
  <si>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</si>
  <si>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</si>
  <si>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</si>
  <si>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</si>
  <si>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</si>
  <si>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</si>
  <si>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</si>
  <si>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</si>
  <si>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</si>
  <si>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</si>
  <si>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</si>
  <si>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</si>
  <si>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</si>
  <si>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</si>
  <si>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</si>
  <si>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</si>
  <si>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</si>
  <si>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</si>
  <si>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</si>
  <si>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</si>
  <si>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</si>
  <si>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</si>
  <si>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</si>
  <si>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</si>
  <si>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</si>
  <si>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</si>
  <si>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</si>
  <si>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</si>
  <si>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</si>
  <si>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</si>
  <si>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</si>
  <si>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</si>
  <si>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</si>
  <si>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</si>
  <si>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</si>
  <si>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</si>
  <si>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</si>
  <si>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</si>
  <si>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</si>
  <si>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</si>
  <si>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</si>
  <si>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</si>
  <si>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</si>
  <si>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</si>
  <si>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</si>
  <si>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</si>
  <si>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</si>
  <si>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</si>
  <si>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</si>
  <si>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</si>
  <si>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</si>
  <si>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</si>
  <si>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</si>
  <si>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</si>
  <si>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</si>
  <si>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</si>
  <si>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</si>
  <si>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</si>
  <si>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</si>
  <si>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</si>
  <si>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</si>
  <si>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</si>
  <si>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</si>
  <si>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</si>
  <si>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</si>
  <si>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</si>
  <si>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</si>
  <si>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</si>
  <si>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</si>
  <si>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</si>
  <si>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</si>
  <si>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</si>
  <si>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</si>
  <si>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</si>
  <si>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</si>
  <si>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</si>
  <si>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</si>
  <si>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</si>
  <si>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</si>
  <si>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</si>
  <si>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</si>
  <si>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</si>
  <si>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</si>
  <si>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</si>
  <si>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</si>
  <si>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</si>
  <si>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</si>
  <si>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</si>
  <si>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</si>
  <si>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</si>
  <si>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</si>
  <si>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</si>
  <si>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</si>
  <si>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</si>
  <si>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</si>
  <si>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</si>
  <si>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</si>
  <si>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</si>
  <si>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</si>
  <si>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</si>
  <si>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</si>
  <si>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</si>
  <si>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</si>
  <si>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</si>
  <si>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</si>
  <si>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</si>
  <si>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</si>
  <si>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</si>
  <si>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</si>
  <si>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</si>
  <si>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</si>
  <si>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</si>
  <si>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</si>
  <si>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</si>
  <si>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</si>
  <si>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</si>
  <si>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</si>
  <si>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</si>
  <si>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</si>
  <si>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</si>
  <si>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</si>
  <si>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</si>
  <si>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</si>
  <si>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</si>
  <si>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</si>
  <si>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</si>
  <si>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</si>
  <si>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</si>
  <si>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</si>
  <si>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</si>
  <si>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</si>
  <si>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</si>
  <si>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</si>
  <si>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</si>
  <si>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</si>
  <si>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</si>
  <si>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</si>
  <si>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</si>
  <si>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</si>
  <si>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</si>
  <si>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</si>
  <si>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</si>
  <si>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</si>
  <si>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</si>
  <si>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</si>
  <si>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</si>
  <si>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</si>
  <si>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</si>
  <si>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</si>
  <si>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</si>
  <si>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</si>
  <si>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</si>
  <si>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</si>
  <si>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</si>
  <si>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</si>
  <si>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</si>
  <si>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</si>
  <si>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</si>
  <si>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</si>
  <si>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</si>
  <si>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</si>
  <si>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</si>
  <si>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</si>
  <si>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</si>
  <si>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</si>
  <si>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</si>
  <si>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</si>
  <si>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</si>
  <si>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</si>
  <si>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</si>
  <si>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</si>
  <si>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</si>
  <si>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</si>
  <si>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</si>
  <si>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</si>
  <si>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</si>
  <si>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</si>
  <si>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</si>
  <si>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</si>
  <si>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</si>
  <si>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</si>
  <si>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</si>
  <si>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</si>
  <si>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</si>
  <si>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</si>
  <si>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</si>
  <si>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</si>
  <si>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</si>
  <si>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</si>
  <si>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</si>
  <si>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</si>
  <si>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</si>
  <si>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</si>
  <si>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</si>
  <si>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</si>
  <si>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</si>
  <si>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</si>
  <si>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</si>
  <si>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</si>
  <si>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</si>
  <si>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</si>
  <si>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</si>
  <si>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</si>
  <si>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</si>
  <si>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</si>
  <si>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</si>
  <si>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</si>
  <si>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</si>
  <si>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</si>
  <si>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</si>
  <si>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</si>
  <si>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</si>
  <si>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</si>
  <si>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</si>
  <si>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</si>
  <si>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</si>
  <si>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</si>
  <si>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</si>
  <si>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</si>
  <si>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</si>
  <si>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</si>
  <si>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</si>
  <si>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</si>
  <si>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</si>
  <si>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</si>
  <si>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</si>
  <si>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</si>
  <si>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</si>
  <si>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</si>
  <si>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</si>
  <si>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</si>
  <si>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</si>
  <si>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</si>
  <si>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</si>
  <si>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</si>
  <si>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</si>
  <si>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</si>
  <si>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</si>
  <si>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</si>
  <si>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</si>
  <si>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</si>
  <si>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</si>
  <si>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</si>
  <si>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</si>
  <si>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</si>
  <si>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</si>
  <si>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</si>
  <si>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</si>
  <si>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</si>
  <si>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A staging version of the website has been developed and is being tested. Once the testing phase is complete, the website will be transferred to a local environment for styling and approval later this year.</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</si>
  <si>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</si>
  <si>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</si>
  <si>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</si>
  <si>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</si>
  <si>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</si>
  <si>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</si>
  <si>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</si>
  <si>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</si>
  <si>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</si>
  <si>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</si>
  <si>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</si>
  <si>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</si>
  <si>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</si>
  <si>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</si>
  <si>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</si>
  <si>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</si>
  <si>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</si>
  <si>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</si>
  <si>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</si>
  <si>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</si>
  <si>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</si>
  <si>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</si>
  <si>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</si>
  <si>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</si>
  <si>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</si>
  <si>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</si>
  <si>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</si>
  <si>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</si>
  <si>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</si>
  <si>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</si>
  <si>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</si>
  <si>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</si>
  <si>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</si>
  <si>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</si>
  <si>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</si>
  <si>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</si>
  <si>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</si>
  <si>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</si>
  <si>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</si>
  <si>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</si>
  <si>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</si>
  <si>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</si>
  <si>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</si>
  <si>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</si>
  <si>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</si>
  <si>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</si>
  <si>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</si>
  <si>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</si>
  <si>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</si>
  <si>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</si>
  <si>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</si>
  <si>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</si>
  <si>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</si>
  <si>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</si>
  <si>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</si>
  <si>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</si>
  <si>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</si>
  <si>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</si>
  <si>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</si>
  <si>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</si>
  <si>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</si>
  <si>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</si>
  <si>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</si>
  <si>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</si>
  <si>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</si>
  <si>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</si>
  <si>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</si>
  <si>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</si>
  <si>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</si>
  <si>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</si>
  <si>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</si>
  <si>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</si>
  <si>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</si>
  <si>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</si>
  <si>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</si>
  <si>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</si>
  <si>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</si>
  <si>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</si>
  <si>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</si>
  <si>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</si>
  <si>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</si>
  <si>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</si>
  <si>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</si>
  <si>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</si>
  <si>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</si>
  <si>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</si>
  <si>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</si>
  <si>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Qtr 1 wsa 3.03 days and Qtr 2 is 3.39 days</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</si>
  <si>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</si>
  <si>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</si>
  <si>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</si>
  <si>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</si>
  <si>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Qtr 1 was 3.03 days and Qtr 2 is 3.39 days</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</si>
  <si>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</si>
  <si>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 xml:space="preserve">The Procurement Policy was approved by Cabinet in Ocytober 2022 in line with the intended target. </t>
  </si>
  <si>
    <t>Completed in Quarter 2</t>
  </si>
  <si>
    <t xml:space="preserve">Quarterly Performance Report presented to Corporate Management Team, Leader and Deputy Leaders, LAG / LOAG / IAAG, Cabinet and VFM Scrutiny Committee during November / December 2022. </t>
  </si>
  <si>
    <t>Project completed</t>
  </si>
  <si>
    <t>Accounts presented to Audit Committee, subject to finalisation of Audit work. Statutory deadline missed due to difficulities obtaining responses and appropriate evidence from the valuer.  Only 12% of authorities across the Country made the statutory deadline.</t>
  </si>
  <si>
    <t>See Quarter 3 update</t>
  </si>
  <si>
    <t>Budget review undertaken with Managers and Finance, Star Chambers held in early December and financial settment received from Government.</t>
  </si>
  <si>
    <t>Information supplied by Treasury Management Advisors to enable review to be commence.</t>
  </si>
  <si>
    <t xml:space="preserve">On target to be achieved. The policy is currently with colleagues for consultation purposes </t>
  </si>
  <si>
    <t xml:space="preserve">Partnership group has been set up and is due to meeting early 2023. </t>
  </si>
  <si>
    <t>Further initiatives have been undertaken with Staffordshire County Council.</t>
  </si>
  <si>
    <t>The PSPO's have been signed off by EDR. Officers are now looking at signage to go up early 2023.</t>
  </si>
  <si>
    <t>The maintenance contract is now in place. The new cameras are currently being installed on a programme beginning in Burton. The Monitoring contract is currently out to tender.</t>
  </si>
  <si>
    <t xml:space="preserve">A report was presented to LDL in November advising of past years activities. It was recommended that the Mobile CCTV Enforcement Officer post become permanent. </t>
  </si>
  <si>
    <t>Comments / Further action (Q3)</t>
  </si>
  <si>
    <t>Performance report with recommendations to be considered by Cabinet in Jan 2023</t>
  </si>
  <si>
    <t>Trial of a smal mechanical sweeper completed. Electirc refuse vehicle booked fo New Year.</t>
  </si>
  <si>
    <t>Report with recommendations approved by Cabinet.</t>
  </si>
  <si>
    <t>Selective Licensing Designation completed which came in to force on 12 Septmebr 2022</t>
  </si>
  <si>
    <t>Selective Licensing Report approved by Cabinet in November 2022</t>
  </si>
  <si>
    <t>DFG annual review report completed and approved by Cabinet in December 2022. A 19% reduction in delivery timescales on 20/21 performance was achieved in 21/22.</t>
  </si>
  <si>
    <t xml:space="preserve">Interim progress report on the Climate Change Action Plan completed and approved by Cobinet in November </t>
  </si>
  <si>
    <t xml:space="preserve">Initial meetings held with BP pulse, purchase order raised for works and contract agreed for works to progress. Application to the DNO for works to be undertaken has been submitted by BP Pulse. EV Strategy currently in draft for approval by March 2023. </t>
  </si>
  <si>
    <t>Continued monitoring of Covid Outbreaks and case numbers in partnership with Staffordshire County Council</t>
  </si>
  <si>
    <t>99.971%</t>
  </si>
  <si>
    <t>0% Aug - Nov 22</t>
  </si>
  <si>
    <t>ESBC now have ownership on the Site</t>
  </si>
  <si>
    <t>The survey was received and helping to inform developments in Uttoxeter.</t>
  </si>
  <si>
    <t xml:space="preserve">The architects have produced 4 concept plans which are going out to consultation late Jan. </t>
  </si>
  <si>
    <t>The Project team for the whole high strreet linkages project has been commisioned and talks between Staffs Wildlife Trust., ESBC and appointed architects will inform the plan for a new Washands Visitor Centre.</t>
  </si>
  <si>
    <t xml:space="preserve">On track.  Circa £3.5k remains in the pot. </t>
  </si>
  <si>
    <t>A n update report has been produced and is currently going through the decision makring process.</t>
  </si>
  <si>
    <t>We have an event planned for January 2023 which gives a total of 4 held to date.   We then plan to have two more during February and March 2023..</t>
  </si>
  <si>
    <t>This project was withdrawn</t>
  </si>
  <si>
    <t>A Constitution Review was completed in December 2022 and a further email has now been circulated to Leaders in respect of the the next round of review; so as to establish the best format for discussing changes.</t>
  </si>
  <si>
    <t>3.84</t>
  </si>
  <si>
    <t>4</t>
  </si>
  <si>
    <t>An options appraisal was presented to Digital Group in December 22. The Group agreed there is a scope to introduce an 'app' for Council services and news however a business case is required. A business case will be explored in the next financial year.</t>
  </si>
  <si>
    <t>35.97% estimated as not all data received</t>
  </si>
  <si>
    <t>134.32kg estimated as not all data received</t>
  </si>
  <si>
    <t>42.4% estimate</t>
  </si>
  <si>
    <t>375kg estimate</t>
  </si>
  <si>
    <t>40%</t>
  </si>
  <si>
    <t>501kg</t>
  </si>
  <si>
    <t>Results of this project are due in early 2023.</t>
  </si>
  <si>
    <t>In quarter 3 we delivered a Christmas in Burton campaign as well as a campaign to promote the Autumn season of events at The Brewhouse and Town Hall</t>
  </si>
  <si>
    <t>We are currently on target to achieve over 85% of marketing targets in the 2022/23 year.</t>
  </si>
  <si>
    <t>85.88%</t>
  </si>
  <si>
    <t>£2,377,815.65</t>
  </si>
  <si>
    <t>£1,564,263.26</t>
  </si>
  <si>
    <t>£53,202.36</t>
  </si>
  <si>
    <t>1.23% below target, worsening of economy and cost of living now impacting upon collection rate though expectation is to acheive year end target</t>
  </si>
  <si>
    <t>0.88% above target and rate has remained above target in 7 of the last 9 months</t>
  </si>
  <si>
    <t>Arrears level marginally above target</t>
  </si>
  <si>
    <t>Arrears level remains sigificantly less than target</t>
  </si>
  <si>
    <t>Additional £45,910 (38%) HBOP invoices raised in comparison with average of Qs 1and 2 whilst income slightly increase compared with Q2</t>
  </si>
  <si>
    <t>96.95%</t>
  </si>
  <si>
    <t>85.14%</t>
  </si>
  <si>
    <t>%age of cases on arrangement has increased from 82.64% (Q1) to 85.14%, anticipate will exceed 86% by year end</t>
  </si>
  <si>
    <t>48%</t>
  </si>
  <si>
    <t>Final collection rate will be dependent upon value of invoices raised in Q4 given income per Q remains static</t>
  </si>
  <si>
    <t>Arrears level consistently less than £2.5m and have remained so throughout the year</t>
  </si>
  <si>
    <t>Former Portfolio (to Dec 2022)</t>
  </si>
  <si>
    <t>Portfolio (from Dec 2022)</t>
  </si>
  <si>
    <t xml:space="preserve">Regeneration, Business Support &amp; Marketing </t>
  </si>
  <si>
    <t>Finance &amp; Treasury Management</t>
  </si>
  <si>
    <t>8 applications 8 within time = 100%</t>
  </si>
  <si>
    <t>73 applications 69 within time = 95%</t>
  </si>
  <si>
    <t>100%</t>
  </si>
  <si>
    <t>96%</t>
  </si>
  <si>
    <t>95%</t>
  </si>
  <si>
    <t>132 applications 130 within time = 98%</t>
  </si>
  <si>
    <t>92%</t>
  </si>
  <si>
    <t>Report approved by Cabinet on 15 November 2022</t>
  </si>
  <si>
    <t>Report produced and on the agenda for January CMT.</t>
  </si>
  <si>
    <t>Scrutiny review complete, and service due to go to procurement in January 2023.</t>
  </si>
  <si>
    <t xml:space="preserve">There were 69 initial decisions with an average of 0 days between appointment and decision. </t>
  </si>
  <si>
    <t>0.15 days</t>
  </si>
  <si>
    <t>0.5 days</t>
  </si>
  <si>
    <t>There 7 key to key instances across Q3 with a total of 7 working days, producing an average of 1 day.</t>
  </si>
  <si>
    <t>1.5 days</t>
  </si>
  <si>
    <t>The freeholder, Trent &amp; Dove, are placing additional servicing requirements on the Council under new lease arrangements which could impact key to key times.</t>
  </si>
  <si>
    <t>99%</t>
  </si>
  <si>
    <t>77%</t>
  </si>
  <si>
    <t>Following a review or our land and prorperty investments, it has been identified that our Asset Function can be optimised by replacing the Council's Terrirer. This will provide improved functionality and increased efficiency  when monitoring the Council's investments.</t>
  </si>
  <si>
    <t xml:space="preserve">Briefings held in October, November and December </t>
  </si>
  <si>
    <t>Second member briefing arranged for March 2023</t>
  </si>
  <si>
    <t>To date two developer forums held</t>
  </si>
  <si>
    <t xml:space="preserve">SPD being finliased for March Cabinet </t>
  </si>
  <si>
    <t>Halloween screening events took place with Market Hall and Derby QUAD, Around 100 attended. Christmas AR trail with 7 local retail businesses in Burton partnering to create interactive festive family trail (awaiting final numbers). Planning for 2023/24 underway with partners for future events with new partners: People Express (community arts orgnaisations from South Derbyshire). Future Yard (music regeneration CIC), National Forest Youth Landscapers and exisitng partners Making Trails, Ale Trail etc.</t>
  </si>
  <si>
    <t>Comedy programmed for Spring 2023 at Burton Town hAll. Ticket sales currently on track.</t>
  </si>
  <si>
    <t xml:space="preserve">The Council has continued to participate in the development of the the programme. Having met with County Council colleagues who are working to implement the programme fully, Borough Council officers will be looking at ways to take the programme forward at the Brough level. </t>
  </si>
  <si>
    <t xml:space="preserve">Draft report shared with Deputy Leader for their consideration </t>
  </si>
  <si>
    <t>Report presented to Cabinet in November 2022 detailing progress so far and the emergence of the new Tourism team</t>
  </si>
  <si>
    <t>Report received by Cabinet December 2022</t>
  </si>
  <si>
    <t xml:space="preserve">Second year overview report has been heard by CMT, LDL and the political groups. The report is now scheduled to be presented to Cabinet on January 17th. </t>
  </si>
  <si>
    <t>Proposals have been finalised and procurement documentation issued in early quarter 4</t>
  </si>
  <si>
    <t>Draft report agreed with Deputy Leader in quarter 3</t>
  </si>
  <si>
    <t xml:space="preserve">Full first year review report completed detaling contractor performance </t>
  </si>
  <si>
    <t>Q3 average 9 days</t>
  </si>
  <si>
    <t>Following the peer review, we have organised the number of training interventions required for members with focus on scrutiny and chairing. The top team recommendation for training has been put into action too, with the first session having been delivered before Christmas and the second one to be delivered in February. The cybersecurity awareness training has been rolled out too, currently running an 8-week training programme with monitoring completion through the provider.</t>
  </si>
  <si>
    <t>Work has started and is on course for completion by the target date</t>
  </si>
  <si>
    <t>Linda McDonald</t>
  </si>
  <si>
    <t>An update on the Staffordshire Front Door programme was provided to the Strategic Digital Group. The group were informed on the progress of the programme, changes to its anticipated delivery and future objectives. Following workshops on key subject areas, three pilots were identified and these are to be delivered primarily by Lichfield District County Council and Staffordshire County Council. The Digital group will continue to be updated as the programme develops.</t>
  </si>
  <si>
    <t xml:space="preserve">3.14 days </t>
  </si>
  <si>
    <t>10 days</t>
  </si>
  <si>
    <t xml:space="preserve">Q3 average 1.35 days. </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</si>
  <si>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t>
  </si>
  <si>
    <t>Council approved the report and the Washlands Enhancement Project is now going out to tender.</t>
  </si>
  <si>
    <t>Target is recommended for deferral. The indicator was initially agreed as to be undertaken following the completion of the place branding exercise. As the Place Branding is now only due to be presented to Cabinet in February 23 therefore there is insufficient time to review and implement any changes to the Communications, Engagement and Consultation strategy.</t>
  </si>
  <si>
    <t>REGENERATION, BUSINESS SUPPORT &amp; MARKETING</t>
  </si>
  <si>
    <t>FINANCE &amp; TREASURY MANAGEMENT</t>
  </si>
  <si>
    <t>Regeneration, Business Support &amp; Marketing</t>
  </si>
  <si>
    <t xml:space="preserve">Completed. Further work to be carried out  </t>
  </si>
  <si>
    <t>Further actions to be carried out. Advertise and consult and re lining</t>
  </si>
  <si>
    <t xml:space="preserve">An EV Strategy has been completed for East Staffordshire which supports Staffordshire County Councils EV Stragegy to provide a consistent approach to EV infrrastructure. Three EVCPs have been installed in Coopers Square car park. </t>
  </si>
  <si>
    <t>Fully achieved</t>
  </si>
  <si>
    <t xml:space="preserve">Ongoing meetings with Staffordshire County Council regarding the management of Covid. These meetings have been concluded and any reporting has been merged into the Health Protection Meetings that are attended by Environmental Health.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</si>
  <si>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towards Phase 1 project costs to cover the technical work for the devleopment of the Hub.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</si>
  <si>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towards Phase 1 project costs to cover the technical work for the devleopment of the Hub. An allocation has been earmarked in the MTFS of £1.2m plus £500k of S106 funds to faciliate Phase 1 works, should additional funding be obtained from the Football Foundation. 
Staffordshire FA attended the March meeting of the Community Regeneration Scrutiny Committee to present teh latest progress and answer questions. </t>
  </si>
  <si>
    <t>The first East Staffordshire Better Health Staffordshire meeting was held in March 2023, chaired by the borough Council's Corporate &amp; Commercial Manager.This first session was well attended and positive feedback on the approach was received. The second meeting of the group is scheduled for 15th May 2023</t>
  </si>
  <si>
    <t>Quarterly Performance Report presented to Corporate Management Team, Leader and Deputy Leaders, LAG / LOAG, Cabinet aduring February / March 2023</t>
  </si>
  <si>
    <t>Performance report approved by Cabinet in Jan-23</t>
  </si>
  <si>
    <t>Trial completed for an electric mechancial sweeper and an electric refuse collection vehicle. Further trial period to be scheduled for 2023/24.</t>
  </si>
  <si>
    <t xml:space="preserve">The full report from the external research agency has been delivered to the council. Results of this hasve been used to update the councils Tourism Audit which will help inform future planning.  </t>
  </si>
  <si>
    <t xml:space="preserve">In quarter 4 we delivered a campaign to increase awareness of upcoming events and activities at The Brewhouse &amp; Burton Town Hall. Along with supporting visitor campaigns by Staffordshire County Council and Visit England.  </t>
  </si>
  <si>
    <t xml:space="preserve">Over 85% of Marketing Targets have been completed in the 2022/23 financial year. </t>
  </si>
  <si>
    <t>Report and revised Policy received and approved by Cabinet January 2023</t>
  </si>
  <si>
    <t>Second PDP report received and approved by Cabinet in January 2023</t>
  </si>
  <si>
    <t>Detailed review completed analysing the trends and patterns of spend. Recommendations made to Cabinet regarding the future development of CCF- which have been agreed and will see CCF recommense in May 2023</t>
  </si>
  <si>
    <t xml:space="preserve">Service quality improvements presented to Deputy Leader in January 2023. Options have been agreed, with a phased roll out to take place across 2024 </t>
  </si>
  <si>
    <t>0% Dec 22- Mar 23</t>
  </si>
  <si>
    <t>Update on the Assure Migration progress was provided to the Strategic Digital Group on Wednesday 29th March 2023.</t>
  </si>
  <si>
    <t>10 Applications all within time = 100%</t>
  </si>
  <si>
    <t>54 Applications 50 within time = 93%</t>
  </si>
  <si>
    <t>111 Applications 97 within time = 88%</t>
  </si>
  <si>
    <t>100% for 2022/2023</t>
  </si>
  <si>
    <t>93% for 2022/2023</t>
  </si>
  <si>
    <t>95% for 2022/2023</t>
  </si>
  <si>
    <t xml:space="preserve">No appeals received for major applications and decision from the Planning Inspectorate during 2022/2023 </t>
  </si>
  <si>
    <t xml:space="preserve">Training provided in January and February </t>
  </si>
  <si>
    <t xml:space="preserve">Member Briefing held on 8th March </t>
  </si>
  <si>
    <t xml:space="preserve">Planning Service Review group met and presented with progress tracker report </t>
  </si>
  <si>
    <t>Housing Choice SPD adopted by Cabinet on 14th March</t>
  </si>
  <si>
    <t>32.02% estimated as not all data received</t>
  </si>
  <si>
    <t>129.52kg estimated as not all data received</t>
  </si>
  <si>
    <t>40.64% estimated</t>
  </si>
  <si>
    <t>495.33kg estimated</t>
  </si>
  <si>
    <t>Summons &amp; LO Cors left as they are £65 summons, £30.00 LO</t>
  </si>
  <si>
    <t>This has been completed for 2022 and a subsequent review will be undertaken in 2023</t>
  </si>
  <si>
    <t>2 further comedy event programmed for Town Hall during march and April with average sales of 70% capacity.</t>
  </si>
  <si>
    <t>Perfromance report was taken to Cabinet on 14 February 2023.</t>
  </si>
  <si>
    <t>Procurement exercise undertaken and due to complete in advance of the expiry of the current outreach service contract.</t>
  </si>
  <si>
    <t>There were 63 initial decisions with an average of 2.94 days between appointment and decision.</t>
  </si>
  <si>
    <t>0.8 days</t>
  </si>
  <si>
    <t>There were 5 key to key instances across Q4 with an avergae of 7 days.</t>
  </si>
  <si>
    <t>2.9 days</t>
  </si>
  <si>
    <t>Approved at full Council in February 2023</t>
  </si>
  <si>
    <t>Accounts presented to Audit Committee, subject to finalisation of Audit work. Due to widely published national issues with local public external audit, as at 16th March 2023 only 16% of local authorities had published audited accounts for 2021/22. Management have taken action to address the remaining issues associated with external asset valuations.</t>
  </si>
  <si>
    <t>Q4 average 9 days</t>
  </si>
  <si>
    <t>Planning for Member Induction</t>
  </si>
  <si>
    <t>The new discover east staffordshire website www.discovereaststaffordshire.com and new brand was launched as part of the Burton Upon Trent brand launch</t>
  </si>
  <si>
    <t xml:space="preserve">0.79 - improved from Q3. </t>
  </si>
  <si>
    <t>3.90 days</t>
  </si>
  <si>
    <t>A detailed report was prepared, presented to and considered by the Leader and Cabinet Members in March 2023.</t>
  </si>
  <si>
    <t>The plans were presented to local people and stakeholder groups, four consultation sesssions were held and the plans were presented in both Uttoxeter Town Hall and Burton Town Hall over an 8 week period for people to view and ask questions of the ESBC team, councillors and the appointed architect. An online survey was available throughout the period and the 4 concepts were provided on the ESBC website.  A hard copy of the questionnaire was available at the stands which remained throughout the consultation period.  People were told about the consultation via an extensive royal mail leaflet drop to all homes, social media posts by ESBC, and press articles put into the local press.</t>
  </si>
  <si>
    <t>This has now gone out to stage 1 of the tender process.  The work should commence in Summer 2023.</t>
  </si>
  <si>
    <t>A project brief has been developed by Staffs Wildlife Trust and this has been presented to ESBC and the design team, Perfect Circle,  The architects appointed via Perfect Circle have drawn up plans for the new Water Tower based on this brief.  Ongoing talks are taking place to refine the plans.</t>
  </si>
  <si>
    <t>ESBC has ownership of the site.</t>
  </si>
  <si>
    <t>This project was withdrawn by Staffordshire University following a broad discussion.  All funding has been reallocated to other existing projects.</t>
  </si>
  <si>
    <t>This has now been completed. £2809 remains and will be carried over to next year.</t>
  </si>
  <si>
    <t>A series of arts events have been delivered through the year as per quarterly updates.</t>
  </si>
  <si>
    <t>Following the review, IT are creating a new terrier database for the Legal team to utilise following the discontinuation of support from the current provider.</t>
  </si>
  <si>
    <t>This was completed and helped to inform The Maltings consultation exercise (CR29)</t>
  </si>
  <si>
    <t>This report was produced and presented to CMT and Member sessions.</t>
  </si>
  <si>
    <t>We held 6 sessions across the Borough throughout the year.  The fifth was held in Tutbury on 9th February and the final one was held in Burton upon Trent  on 16th March.</t>
  </si>
  <si>
    <t>This has been completed and a report received.  ESBC officers will now consider the findings with Members.</t>
  </si>
  <si>
    <t>Completed, EDR signed off</t>
  </si>
  <si>
    <t xml:space="preserve">Developer Forum held on 15th March presenting on 4 topics.
Three forums delivered over the year - 2 virtual and 1 in person. The intention was to deliver two sessions between September and March however due to the timing of key topics for discussion including publication of government consultations and advice and availability of speakers and attendees it was not possible and it proved more effective to merge two sessions into one. Overall the aim of the forums was to brief key agents and developers on policy changes and issues facing the planning department and this has been acheived through the delivery of three sessions which were positively received.  </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</si>
  <si>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 in June 2023.</t>
  </si>
  <si>
    <t xml:space="preserve">We have introduced an Officer and partner group through the introduction of weekly ASB meetings with Staffordshire Police/ Enforcement/ Environmental Health. We also have quarterly meetings with ESBC Senior Management and Staffs Police.
Notices issued – FPN 31 plus 1 warning to a minor, 37 Community Protection Warnings and 16 Community Protection Notices = 65
</t>
  </si>
  <si>
    <t>16 completed during 22/23</t>
  </si>
  <si>
    <t>96.66 - slightly below target but within the 5% tolerance level- This is primarily due to the cost of living crisis</t>
  </si>
  <si>
    <t>97.87 - slightly below target but within the 5% tolerance level- This is primarily due to the cost of living crisis</t>
  </si>
  <si>
    <t>£1,525,217,53 -  slightly below target but within the 5% tolerance level- This is primarily due to the cost of living crisis. The Revenues team are, throughout 2023/24 actively reviewing the oldest debt to consider whether some is appropriate for write off (The figure is net of credits, balances that are being paid by arrangement (e.g. with the Council, or Enforcement Agents, or via attachments to earnings or benefits), and amounts identified for write off).</t>
  </si>
  <si>
    <t>£2,534,843.25 - slightly below target but within the 5% tolerance level- This is primarily due to the cost of living crisis. The Revenues team are, throughout 2023/24 actively reviewing the oldest debt to consider whether some is appropriate for write off (The figure is net of credits, balances that are being paid by arrangement (e.g. with the Council, or Enforcement Agents, or via attachments to earnings or benefits), and amounts identified for write off).</t>
  </si>
  <si>
    <t>Stage 1 of CPO has now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</si>
</sst>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5">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30">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58" fillId="24" borderId="73" xfId="0" applyFont="1" applyFill="1" applyBorder="1" applyAlignment="1" applyProtection="1">
      <alignment horizontal="center" vertical="center" wrapText="1"/>
    </xf>
    <xf numFmtId="166" fontId="58"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58"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58" fillId="27" borderId="74" xfId="0" applyNumberFormat="1" applyFont="1" applyFill="1" applyBorder="1" applyAlignment="1" applyProtection="1">
      <alignment horizontal="center" vertical="center" wrapText="1"/>
    </xf>
    <xf numFmtId="0" fontId="62"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59" fillId="22" borderId="72" xfId="0" applyFont="1" applyFill="1" applyBorder="1" applyAlignment="1" applyProtection="1">
      <alignment vertical="center" wrapText="1"/>
    </xf>
    <xf numFmtId="0" fontId="59" fillId="23" borderId="72" xfId="0" applyFont="1" applyFill="1" applyBorder="1" applyAlignment="1" applyProtection="1">
      <alignment vertical="center" wrapText="1"/>
    </xf>
    <xf numFmtId="166" fontId="59" fillId="23" borderId="7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4"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4"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9" fontId="8" fillId="6" borderId="54" xfId="3" applyFont="1" applyFill="1" applyBorder="1" applyAlignment="1" applyProtection="1">
      <alignment horizontal="left" vertical="center" wrapText="1"/>
    </xf>
    <xf numFmtId="0" fontId="8" fillId="6" borderId="0"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8" fillId="6" borderId="54" xfId="1" applyNumberFormat="1" applyFill="1" applyBorder="1" applyAlignment="1" applyProtection="1">
      <alignment horizontal="left" vertical="center" wrapText="1"/>
    </xf>
    <xf numFmtId="10" fontId="9" fillId="6" borderId="4" xfId="3"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0" fontId="54" fillId="6" borderId="54"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10"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4" xfId="0" applyFont="1" applyBorder="1" applyAlignment="1" applyProtection="1">
      <alignment vertical="center" wrapText="1"/>
    </xf>
    <xf numFmtId="0" fontId="10"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10" fontId="8"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10" fillId="6" borderId="53" xfId="0" applyNumberFormat="1" applyFont="1" applyFill="1" applyBorder="1" applyAlignment="1" applyProtection="1">
      <alignment horizontal="left" vertical="center" wrapText="1"/>
    </xf>
    <xf numFmtId="3" fontId="10" fillId="6" borderId="53" xfId="0" applyNumberFormat="1" applyFont="1" applyFill="1" applyBorder="1" applyAlignment="1" applyProtection="1">
      <alignment horizontal="left" vertical="center" wrapText="1"/>
    </xf>
    <xf numFmtId="4" fontId="10" fillId="6" borderId="53" xfId="0" applyNumberFormat="1" applyFont="1" applyFill="1" applyBorder="1" applyAlignment="1" applyProtection="1">
      <alignment horizontal="left" vertical="center" wrapText="1"/>
    </xf>
    <xf numFmtId="10" fontId="10" fillId="6" borderId="1" xfId="0" applyNumberFormat="1" applyFont="1" applyFill="1" applyBorder="1" applyAlignment="1" applyProtection="1">
      <alignment horizontal="left" vertical="center" wrapText="1"/>
    </xf>
    <xf numFmtId="10" fontId="0" fillId="0" borderId="53"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0" fontId="58" fillId="26" borderId="74"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53" fillId="6" borderId="4"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0" fontId="10" fillId="6" borderId="0"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center" vertical="center" wrapText="1"/>
      <protection locked="0"/>
    </xf>
    <xf numFmtId="8"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0" fontId="10" fillId="0" borderId="53" xfId="0" applyFont="1" applyBorder="1" applyAlignment="1" applyProtection="1">
      <alignment vertical="center" wrapText="1"/>
      <protection locked="0"/>
    </xf>
    <xf numFmtId="9" fontId="10" fillId="6" borderId="53" xfId="0" applyNumberFormat="1" applyFont="1" applyFill="1" applyBorder="1" applyAlignment="1" applyProtection="1">
      <alignment horizontal="center" vertical="center" wrapText="1"/>
      <protection locked="0"/>
    </xf>
    <xf numFmtId="9" fontId="9" fillId="6" borderId="4" xfId="0" applyNumberFormat="1" applyFont="1" applyFill="1" applyBorder="1" applyAlignment="1" applyProtection="1">
      <alignment horizontal="center" vertical="center" wrapText="1"/>
      <protection locked="0"/>
    </xf>
    <xf numFmtId="10" fontId="9" fillId="6" borderId="4" xfId="0" applyNumberFormat="1" applyFont="1" applyFill="1" applyBorder="1" applyAlignment="1" applyProtection="1">
      <alignment horizontal="center" vertical="center" wrapText="1"/>
      <protection locked="0"/>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49" fontId="10" fillId="6" borderId="60" xfId="0" applyNumberFormat="1" applyFont="1" applyFill="1" applyBorder="1" applyAlignment="1" applyProtection="1">
      <alignment horizontal="left" vertical="center" wrapText="1"/>
    </xf>
    <xf numFmtId="0" fontId="8" fillId="6" borderId="61" xfId="0" applyNumberFormat="1" applyFont="1" applyFill="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protection locked="0"/>
    </xf>
    <xf numFmtId="8" fontId="10" fillId="6" borderId="53" xfId="0" applyNumberFormat="1" applyFont="1" applyFill="1" applyBorder="1" applyAlignment="1" applyProtection="1">
      <alignment horizontal="left" vertical="center" wrapText="1"/>
      <protection locked="0"/>
    </xf>
    <xf numFmtId="10" fontId="10" fillId="6" borderId="4" xfId="0" applyNumberFormat="1" applyFont="1" applyFill="1" applyBorder="1" applyAlignment="1" applyProtection="1">
      <alignment horizontal="left" vertical="center" wrapText="1"/>
      <protection locked="0"/>
    </xf>
    <xf numFmtId="8" fontId="9" fillId="0" borderId="53" xfId="0" applyNumberFormat="1" applyFont="1" applyFill="1" applyBorder="1" applyAlignment="1" applyProtection="1">
      <alignment horizontal="left" vertical="center" wrapText="1"/>
      <protection locked="0"/>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82">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0.95934959349593496</c:v>
                </c:pt>
                <c:pt idx="3">
                  <c:v>0.9375</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7.8125E-3</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4.065040650406504E-2</c:v>
                </c:pt>
                <c:pt idx="3">
                  <c:v>5.46875E-2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0.95934959349593496</c:v>
                </c:pt>
                <c:pt idx="1">
                  <c:v>0</c:v>
                </c:pt>
                <c:pt idx="2">
                  <c:v>4.065040650406504E-2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0.9375</c:v>
                </c:pt>
                <c:pt idx="1">
                  <c:v>7.8125E-3</c:v>
                </c:pt>
                <c:pt idx="2">
                  <c:v>5.46875E-2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0.92682926829268297</c:v>
                </c:pt>
                <c:pt idx="1">
                  <c:v>0</c:v>
                </c:pt>
                <c:pt idx="2">
                  <c:v>7.3170731707317069E-2</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0.92682926829268297</c:v>
                </c:pt>
                <c:pt idx="1">
                  <c:v>0</c:v>
                </c:pt>
                <c:pt idx="2">
                  <c:v>7.3170731707317069E-2</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0.95652173913043481</c:v>
                </c:pt>
                <c:pt idx="1">
                  <c:v>0</c:v>
                </c:pt>
                <c:pt idx="2">
                  <c:v>4.3478260869565216E-2</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0.92682926829268297</c:v>
                </c:pt>
                <c:pt idx="3">
                  <c:v>0.92682926829268297</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7.3170731707317069E-2</c:v>
                </c:pt>
                <c:pt idx="3">
                  <c:v>7.3170731707317069E-2</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0.92682926829268297</c:v>
                </c:pt>
                <c:pt idx="1">
                  <c:v>2.4390243902439025E-2</c:v>
                </c:pt>
                <c:pt idx="2">
                  <c:v>4.878048780487805E-2</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0.90909090909090906</c:v>
                </c:pt>
                <c:pt idx="3">
                  <c:v>0.90909090909090906</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4.5454545454545456E-2</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9.0909090909090912E-2</c:v>
                </c:pt>
                <c:pt idx="3">
                  <c:v>4.5454545454545456E-2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0.92307692307692313</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7.6923076923076927E-2</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0.95652173913043481</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4.3478260869565216E-2</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0.90909090909090906</c:v>
                </c:pt>
                <c:pt idx="1">
                  <c:v>0</c:v>
                </c:pt>
                <c:pt idx="2">
                  <c:v>9.0909090909090912E-2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0.90909090909090906</c:v>
                </c:pt>
                <c:pt idx="1">
                  <c:v>4.5454545454545456E-2</c:v>
                </c:pt>
                <c:pt idx="2">
                  <c:v>4.5454545454545456E-2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1</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1</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1</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0.94444444444444442</c:v>
                </c:pt>
                <c:pt idx="3">
                  <c:v>0.92682926829268297</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2.4390243902439025E-2</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5.5555555555555552E-2</c:v>
                </c:pt>
                <c:pt idx="3">
                  <c:v>4.878048780487805E-2</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0.92307692307692313</c:v>
                </c:pt>
                <c:pt idx="1">
                  <c:v>0</c:v>
                </c:pt>
                <c:pt idx="2">
                  <c:v>7.6923076923076927E-2</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0.83333333333333337</c:v>
                </c:pt>
                <c:pt idx="3">
                  <c:v>0.81818181818181823</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0.16666666666666666</c:v>
                </c:pt>
                <c:pt idx="3">
                  <c:v>0.18181818181818182</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0.83333333333333337</c:v>
                </c:pt>
                <c:pt idx="1">
                  <c:v>0</c:v>
                </c:pt>
                <c:pt idx="2">
                  <c:v>0.16666666666666666</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0.81818181818181823</c:v>
                </c:pt>
                <c:pt idx="1">
                  <c:v>0</c:v>
                </c:pt>
                <c:pt idx="2">
                  <c:v>0.18181818181818182</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C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76"/>
  <sheetViews>
    <sheetView tabSelected="1" zoomScale="60" zoomScaleNormal="60" workbookViewId="0">
      <pane xSplit="5" ySplit="2" topLeftCell="T3" activePane="bottomRight" state="frozen"/>
      <selection pane="topRight" activeCell="F1" sqref="F1"/>
      <selection pane="bottomLeft" activeCell="A3" sqref="A3"/>
      <selection pane="bottomRight" activeCell="T8" sqref="T8"/>
    </sheetView>
  </sheetViews>
  <sheetFormatPr defaultColWidth="9.33203125" defaultRowHeight="97.95" customHeight="1"/>
  <cols>
    <col min="1" max="1" width="20.44140625" style="276" customWidth="1"/>
    <col min="2" max="2" width="14.6640625" style="235" customWidth="1"/>
    <col min="3" max="3" width="49.5546875" style="234" customWidth="1"/>
    <col min="4" max="4" width="50" style="234" customWidth="1"/>
    <col min="5" max="5" width="19.44140625" style="257" customWidth="1"/>
    <col min="6" max="6" width="69.6640625" style="305" customWidth="1"/>
    <col min="7" max="7" width="18.5546875" style="306" hidden="1" customWidth="1"/>
    <col min="8" max="8" width="18.5546875" style="235" customWidth="1"/>
    <col min="9" max="9" width="35.33203125" style="234" hidden="1" customWidth="1"/>
    <col min="10" max="10" width="56.33203125" style="234" customWidth="1"/>
    <col min="11" max="12" width="18.44140625" style="234" hidden="1" customWidth="1"/>
    <col min="13" max="13" width="18.5546875" style="234" customWidth="1"/>
    <col min="14" max="14" width="38.44140625" style="234" hidden="1" customWidth="1"/>
    <col min="15" max="15" width="57.6640625" style="234" customWidth="1"/>
    <col min="16" max="16" width="18.44140625" style="234" hidden="1" customWidth="1"/>
    <col min="17" max="17" width="18.5546875" style="234" hidden="1" customWidth="1"/>
    <col min="18" max="18" width="18.5546875" style="234" customWidth="1"/>
    <col min="19" max="19" width="32.6640625" style="234" hidden="1" customWidth="1"/>
    <col min="20" max="20" width="62.6640625" style="256" customWidth="1"/>
    <col min="21" max="22" width="18.5546875" style="256" customWidth="1"/>
    <col min="23" max="23" width="49.33203125" style="256" customWidth="1"/>
    <col min="24" max="24" width="8.33203125" style="235" customWidth="1"/>
    <col min="25" max="25" width="19.5546875" style="234" customWidth="1"/>
    <col min="26" max="28" width="20.44140625" style="276" customWidth="1"/>
    <col min="29" max="30" width="19.5546875" style="234" customWidth="1"/>
    <col min="31" max="31" width="14.6640625" style="235" customWidth="1"/>
    <col min="32" max="32" width="18.33203125" style="236" customWidth="1"/>
    <col min="33" max="16384" width="9.33203125" style="236"/>
  </cols>
  <sheetData>
    <row r="1" spans="1:31" s="285" customFormat="1" ht="33.6" customHeight="1">
      <c r="A1" s="279"/>
      <c r="B1" s="279" t="s">
        <v>277</v>
      </c>
      <c r="C1" s="280"/>
      <c r="D1" s="280"/>
      <c r="E1" s="281"/>
      <c r="F1" s="365" t="s">
        <v>543</v>
      </c>
      <c r="G1" s="365"/>
      <c r="H1" s="365"/>
      <c r="I1" s="365"/>
      <c r="J1" s="365" t="s">
        <v>544</v>
      </c>
      <c r="K1" s="365"/>
      <c r="L1" s="365"/>
      <c r="M1" s="365"/>
      <c r="N1" s="365"/>
      <c r="O1" s="365" t="s">
        <v>548</v>
      </c>
      <c r="P1" s="365"/>
      <c r="Q1" s="365"/>
      <c r="R1" s="365"/>
      <c r="S1" s="365"/>
      <c r="T1" s="366" t="s">
        <v>550</v>
      </c>
      <c r="U1" s="366"/>
      <c r="V1" s="366"/>
      <c r="W1" s="366"/>
      <c r="X1" s="282"/>
      <c r="Y1" s="280"/>
      <c r="Z1" s="283"/>
      <c r="AA1" s="283"/>
      <c r="AB1" s="283"/>
      <c r="AC1" s="280"/>
      <c r="AD1" s="280"/>
      <c r="AE1" s="284"/>
    </row>
    <row r="2" spans="1:31" s="239" customFormat="1" ht="61.95" customHeight="1" thickBot="1">
      <c r="A2" s="274" t="s">
        <v>20</v>
      </c>
      <c r="B2" s="271" t="s">
        <v>328</v>
      </c>
      <c r="C2" s="271" t="s">
        <v>0</v>
      </c>
      <c r="D2" s="271" t="s">
        <v>117</v>
      </c>
      <c r="E2" s="272" t="s">
        <v>21</v>
      </c>
      <c r="F2" s="263" t="s">
        <v>542</v>
      </c>
      <c r="G2" s="263" t="s">
        <v>477</v>
      </c>
      <c r="H2" s="263" t="s">
        <v>22</v>
      </c>
      <c r="I2" s="263" t="s">
        <v>23</v>
      </c>
      <c r="J2" s="263" t="s">
        <v>545</v>
      </c>
      <c r="K2" s="263" t="s">
        <v>546</v>
      </c>
      <c r="L2" s="263" t="s">
        <v>478</v>
      </c>
      <c r="M2" s="263" t="s">
        <v>39</v>
      </c>
      <c r="N2" s="263" t="s">
        <v>40</v>
      </c>
      <c r="O2" s="263" t="s">
        <v>547</v>
      </c>
      <c r="P2" s="263" t="s">
        <v>549</v>
      </c>
      <c r="Q2" s="263" t="s">
        <v>479</v>
      </c>
      <c r="R2" s="263" t="s">
        <v>41</v>
      </c>
      <c r="S2" s="263" t="s">
        <v>713</v>
      </c>
      <c r="T2" s="288" t="s">
        <v>551</v>
      </c>
      <c r="U2" s="288" t="s">
        <v>480</v>
      </c>
      <c r="V2" s="288" t="s">
        <v>86</v>
      </c>
      <c r="W2" s="288"/>
      <c r="X2" s="237" t="s">
        <v>14</v>
      </c>
      <c r="Y2" s="274" t="s">
        <v>11</v>
      </c>
      <c r="Z2" s="274" t="s">
        <v>19</v>
      </c>
      <c r="AA2" s="274" t="s">
        <v>69</v>
      </c>
      <c r="AB2" s="336" t="s">
        <v>762</v>
      </c>
      <c r="AC2" s="272" t="s">
        <v>761</v>
      </c>
      <c r="AD2" s="286" t="s">
        <v>115</v>
      </c>
      <c r="AE2" s="238" t="s">
        <v>481</v>
      </c>
    </row>
    <row r="3" spans="1:31" ht="73.2" customHeight="1" thickBot="1">
      <c r="A3" s="275" t="s">
        <v>320</v>
      </c>
      <c r="B3" s="273" t="s">
        <v>397</v>
      </c>
      <c r="C3" s="289" t="s">
        <v>205</v>
      </c>
      <c r="D3" s="290" t="s">
        <v>206</v>
      </c>
      <c r="E3" s="291">
        <v>44866</v>
      </c>
      <c r="F3" s="240"/>
      <c r="G3" s="240"/>
      <c r="H3" s="241" t="s">
        <v>38</v>
      </c>
      <c r="I3" s="242"/>
      <c r="J3" s="231" t="s">
        <v>653</v>
      </c>
      <c r="K3" s="231"/>
      <c r="L3" s="230"/>
      <c r="M3" s="241" t="s">
        <v>34</v>
      </c>
      <c r="N3" s="242"/>
      <c r="O3" s="355" t="s">
        <v>772</v>
      </c>
      <c r="P3" s="355"/>
      <c r="Q3" s="356"/>
      <c r="R3" s="241" t="s">
        <v>25</v>
      </c>
      <c r="S3" s="242"/>
      <c r="T3" s="266"/>
      <c r="U3" s="267"/>
      <c r="V3" s="340" t="s">
        <v>25</v>
      </c>
      <c r="W3" s="254"/>
      <c r="X3" s="247">
        <v>3</v>
      </c>
      <c r="Y3" s="275" t="s">
        <v>304</v>
      </c>
      <c r="Z3" s="275" t="s">
        <v>300</v>
      </c>
      <c r="AA3" s="275" t="s">
        <v>325</v>
      </c>
      <c r="AB3" s="273" t="s">
        <v>459</v>
      </c>
      <c r="AC3" s="273" t="s">
        <v>459</v>
      </c>
      <c r="AD3" s="287" t="s">
        <v>289</v>
      </c>
      <c r="AE3" s="244">
        <v>69</v>
      </c>
    </row>
    <row r="4" spans="1:31" ht="73.2" customHeight="1" thickBot="1">
      <c r="A4" s="275" t="s">
        <v>320</v>
      </c>
      <c r="B4" s="273" t="s">
        <v>398</v>
      </c>
      <c r="C4" s="289" t="s">
        <v>112</v>
      </c>
      <c r="D4" s="290" t="s">
        <v>207</v>
      </c>
      <c r="E4" s="291">
        <v>44958</v>
      </c>
      <c r="F4" s="240"/>
      <c r="G4" s="240"/>
      <c r="H4" s="241" t="s">
        <v>38</v>
      </c>
      <c r="I4" s="242"/>
      <c r="J4" s="231"/>
      <c r="K4" s="231"/>
      <c r="L4" s="230"/>
      <c r="M4" s="241" t="s">
        <v>38</v>
      </c>
      <c r="N4" s="242"/>
      <c r="O4" s="355" t="s">
        <v>773</v>
      </c>
      <c r="P4" s="355"/>
      <c r="Q4" s="356"/>
      <c r="R4" s="241" t="s">
        <v>34</v>
      </c>
      <c r="S4" s="242"/>
      <c r="T4" s="266" t="s">
        <v>850</v>
      </c>
      <c r="U4" s="267"/>
      <c r="V4" s="340" t="s">
        <v>25</v>
      </c>
      <c r="W4" s="254"/>
      <c r="X4" s="243">
        <v>4</v>
      </c>
      <c r="Y4" s="275" t="s">
        <v>304</v>
      </c>
      <c r="Z4" s="275" t="s">
        <v>300</v>
      </c>
      <c r="AA4" s="275" t="s">
        <v>325</v>
      </c>
      <c r="AB4" s="273" t="s">
        <v>459</v>
      </c>
      <c r="AC4" s="273" t="s">
        <v>459</v>
      </c>
      <c r="AD4" s="287" t="s">
        <v>289</v>
      </c>
      <c r="AE4" s="244">
        <v>70</v>
      </c>
    </row>
    <row r="5" spans="1:31" ht="73.2" customHeight="1" thickBot="1">
      <c r="A5" s="275" t="s">
        <v>320</v>
      </c>
      <c r="B5" s="273" t="s">
        <v>399</v>
      </c>
      <c r="C5" s="289" t="s">
        <v>9</v>
      </c>
      <c r="D5" s="290" t="s">
        <v>208</v>
      </c>
      <c r="E5" s="291">
        <v>44743</v>
      </c>
      <c r="F5" s="240" t="s">
        <v>509</v>
      </c>
      <c r="G5" s="240"/>
      <c r="H5" s="241" t="s">
        <v>34</v>
      </c>
      <c r="I5" s="242"/>
      <c r="J5" s="240" t="s">
        <v>654</v>
      </c>
      <c r="K5" s="231"/>
      <c r="L5" s="230"/>
      <c r="M5" s="241" t="s">
        <v>34</v>
      </c>
      <c r="N5" s="242"/>
      <c r="O5" s="355" t="s">
        <v>774</v>
      </c>
      <c r="P5" s="355"/>
      <c r="Q5" s="356"/>
      <c r="R5" s="241" t="s">
        <v>34</v>
      </c>
      <c r="S5" s="242"/>
      <c r="T5" s="266" t="s">
        <v>851</v>
      </c>
      <c r="U5" s="267"/>
      <c r="V5" s="340" t="s">
        <v>25</v>
      </c>
      <c r="W5" s="254"/>
      <c r="X5" s="243">
        <v>2</v>
      </c>
      <c r="Y5" s="275" t="s">
        <v>304</v>
      </c>
      <c r="Z5" s="275" t="s">
        <v>300</v>
      </c>
      <c r="AA5" s="275" t="s">
        <v>325</v>
      </c>
      <c r="AB5" s="273" t="s">
        <v>459</v>
      </c>
      <c r="AC5" s="273" t="s">
        <v>459</v>
      </c>
      <c r="AD5" s="287" t="s">
        <v>289</v>
      </c>
      <c r="AE5" s="244">
        <v>71</v>
      </c>
    </row>
    <row r="6" spans="1:31" ht="73.2" customHeight="1" thickBot="1">
      <c r="A6" s="275" t="s">
        <v>320</v>
      </c>
      <c r="B6" s="273" t="s">
        <v>400</v>
      </c>
      <c r="C6" s="289" t="s">
        <v>9</v>
      </c>
      <c r="D6" s="290" t="s">
        <v>90</v>
      </c>
      <c r="E6" s="291"/>
      <c r="F6" s="240" t="s">
        <v>510</v>
      </c>
      <c r="G6" s="300" t="s">
        <v>511</v>
      </c>
      <c r="H6" s="241" t="s">
        <v>34</v>
      </c>
      <c r="I6" s="242"/>
      <c r="J6" s="245" t="s">
        <v>657</v>
      </c>
      <c r="K6" s="245">
        <v>0.44</v>
      </c>
      <c r="L6" s="309" t="s">
        <v>511</v>
      </c>
      <c r="M6" s="241" t="s">
        <v>34</v>
      </c>
      <c r="N6" s="246"/>
      <c r="O6" s="355" t="s">
        <v>775</v>
      </c>
      <c r="P6" s="355" t="s">
        <v>776</v>
      </c>
      <c r="Q6" s="356" t="s">
        <v>777</v>
      </c>
      <c r="R6" s="241" t="s">
        <v>34</v>
      </c>
      <c r="S6" s="246"/>
      <c r="T6" s="265" t="s">
        <v>852</v>
      </c>
      <c r="U6" s="339" t="s">
        <v>853</v>
      </c>
      <c r="V6" s="340" t="s">
        <v>25</v>
      </c>
      <c r="W6" s="255"/>
      <c r="X6" s="247"/>
      <c r="Y6" s="275" t="s">
        <v>304</v>
      </c>
      <c r="Z6" s="275" t="s">
        <v>300</v>
      </c>
      <c r="AA6" s="275" t="s">
        <v>325</v>
      </c>
      <c r="AB6" s="273" t="s">
        <v>459</v>
      </c>
      <c r="AC6" s="273" t="s">
        <v>459</v>
      </c>
      <c r="AD6" s="287" t="s">
        <v>289</v>
      </c>
      <c r="AE6" s="244">
        <v>72</v>
      </c>
    </row>
    <row r="7" spans="1:31" ht="73.2" customHeight="1" thickBot="1">
      <c r="A7" s="275" t="s">
        <v>320</v>
      </c>
      <c r="B7" s="273" t="s">
        <v>401</v>
      </c>
      <c r="C7" s="289" t="s">
        <v>9</v>
      </c>
      <c r="D7" s="290" t="s">
        <v>113</v>
      </c>
      <c r="E7" s="291"/>
      <c r="F7" s="240" t="s">
        <v>513</v>
      </c>
      <c r="G7" s="300" t="s">
        <v>512</v>
      </c>
      <c r="H7" s="241" t="s">
        <v>34</v>
      </c>
      <c r="I7" s="242"/>
      <c r="J7" s="245" t="s">
        <v>658</v>
      </c>
      <c r="K7" s="245" t="s">
        <v>511</v>
      </c>
      <c r="L7" s="309" t="s">
        <v>512</v>
      </c>
      <c r="M7" s="241" t="s">
        <v>34</v>
      </c>
      <c r="N7" s="246"/>
      <c r="O7" s="355" t="s">
        <v>778</v>
      </c>
      <c r="P7" s="355" t="s">
        <v>779</v>
      </c>
      <c r="Q7" s="356" t="s">
        <v>511</v>
      </c>
      <c r="R7" s="241" t="s">
        <v>34</v>
      </c>
      <c r="S7" s="246" t="s">
        <v>780</v>
      </c>
      <c r="T7" s="265" t="s">
        <v>854</v>
      </c>
      <c r="U7" s="339" t="s">
        <v>855</v>
      </c>
      <c r="V7" s="340" t="s">
        <v>25</v>
      </c>
      <c r="W7" s="255"/>
      <c r="X7" s="247"/>
      <c r="Y7" s="275" t="s">
        <v>304</v>
      </c>
      <c r="Z7" s="275" t="s">
        <v>300</v>
      </c>
      <c r="AA7" s="275" t="s">
        <v>325</v>
      </c>
      <c r="AB7" s="273" t="s">
        <v>459</v>
      </c>
      <c r="AC7" s="273" t="s">
        <v>459</v>
      </c>
      <c r="AD7" s="287" t="s">
        <v>289</v>
      </c>
      <c r="AE7" s="244">
        <v>73</v>
      </c>
    </row>
    <row r="8" spans="1:31" ht="73.2" customHeight="1" thickBot="1">
      <c r="A8" s="275" t="s">
        <v>320</v>
      </c>
      <c r="B8" s="273" t="s">
        <v>402</v>
      </c>
      <c r="C8" s="289" t="s">
        <v>9</v>
      </c>
      <c r="D8" s="290" t="s">
        <v>209</v>
      </c>
      <c r="E8" s="291" t="s">
        <v>281</v>
      </c>
      <c r="F8" s="240"/>
      <c r="G8" s="240"/>
      <c r="H8" s="241" t="s">
        <v>38</v>
      </c>
      <c r="I8" s="242"/>
      <c r="J8" s="245" t="s">
        <v>655</v>
      </c>
      <c r="K8" s="231"/>
      <c r="L8" s="230"/>
      <c r="M8" s="241" t="s">
        <v>25</v>
      </c>
      <c r="N8" s="246" t="s">
        <v>656</v>
      </c>
      <c r="O8" s="355"/>
      <c r="P8" s="355"/>
      <c r="Q8" s="356"/>
      <c r="R8" s="241" t="s">
        <v>25</v>
      </c>
      <c r="S8" s="246"/>
      <c r="T8" s="265"/>
      <c r="U8" s="339"/>
      <c r="V8" s="340" t="s">
        <v>25</v>
      </c>
      <c r="W8" s="255"/>
      <c r="X8" s="247"/>
      <c r="Y8" s="275" t="s">
        <v>304</v>
      </c>
      <c r="Z8" s="275" t="s">
        <v>300</v>
      </c>
      <c r="AA8" s="275" t="s">
        <v>325</v>
      </c>
      <c r="AB8" s="273" t="s">
        <v>459</v>
      </c>
      <c r="AC8" s="273" t="s">
        <v>459</v>
      </c>
      <c r="AD8" s="287" t="s">
        <v>289</v>
      </c>
      <c r="AE8" s="244">
        <v>74</v>
      </c>
    </row>
    <row r="9" spans="1:31" ht="73.2" customHeight="1" thickBot="1">
      <c r="A9" s="275" t="s">
        <v>318</v>
      </c>
      <c r="B9" s="273" t="s">
        <v>334</v>
      </c>
      <c r="C9" s="289" t="s">
        <v>126</v>
      </c>
      <c r="D9" s="290" t="s">
        <v>127</v>
      </c>
      <c r="E9" s="291">
        <v>44713</v>
      </c>
      <c r="F9" s="240" t="s">
        <v>541</v>
      </c>
      <c r="G9" s="240"/>
      <c r="H9" s="241" t="s">
        <v>25</v>
      </c>
      <c r="I9" s="242"/>
      <c r="J9" s="231"/>
      <c r="K9" s="231"/>
      <c r="L9" s="230"/>
      <c r="M9" s="241" t="s">
        <v>25</v>
      </c>
      <c r="N9" s="242"/>
      <c r="O9" s="357"/>
      <c r="P9" s="355"/>
      <c r="Q9" s="356"/>
      <c r="R9" s="241" t="s">
        <v>25</v>
      </c>
      <c r="S9" s="242"/>
      <c r="T9" s="266"/>
      <c r="U9" s="267"/>
      <c r="V9" s="340" t="s">
        <v>25</v>
      </c>
      <c r="W9" s="254"/>
      <c r="X9" s="243">
        <v>1</v>
      </c>
      <c r="Y9" s="275" t="s">
        <v>326</v>
      </c>
      <c r="Z9" s="275" t="s">
        <v>291</v>
      </c>
      <c r="AA9" s="275" t="s">
        <v>12</v>
      </c>
      <c r="AB9" s="273" t="s">
        <v>460</v>
      </c>
      <c r="AC9" s="273" t="s">
        <v>460</v>
      </c>
      <c r="AD9" s="287" t="s">
        <v>114</v>
      </c>
      <c r="AE9" s="244">
        <v>6</v>
      </c>
    </row>
    <row r="10" spans="1:31" ht="73.2" customHeight="1" thickBot="1">
      <c r="A10" s="275" t="s">
        <v>318</v>
      </c>
      <c r="B10" s="273" t="s">
        <v>381</v>
      </c>
      <c r="C10" s="289" t="s">
        <v>184</v>
      </c>
      <c r="D10" s="290" t="s">
        <v>185</v>
      </c>
      <c r="E10" s="291">
        <v>44835</v>
      </c>
      <c r="F10" s="240" t="s">
        <v>528</v>
      </c>
      <c r="G10" s="240"/>
      <c r="H10" s="241" t="s">
        <v>34</v>
      </c>
      <c r="I10" s="242"/>
      <c r="J10" s="245" t="s">
        <v>683</v>
      </c>
      <c r="K10" s="309"/>
      <c r="L10" s="309"/>
      <c r="M10" s="241" t="s">
        <v>25</v>
      </c>
      <c r="N10" s="246"/>
      <c r="O10" s="355"/>
      <c r="P10" s="355"/>
      <c r="Q10" s="356"/>
      <c r="R10" s="241" t="s">
        <v>25</v>
      </c>
      <c r="S10" s="246"/>
      <c r="T10" s="265"/>
      <c r="U10" s="339"/>
      <c r="V10" s="340" t="s">
        <v>25</v>
      </c>
      <c r="W10" s="255"/>
      <c r="X10" s="247">
        <v>3</v>
      </c>
      <c r="Y10" s="275" t="s">
        <v>326</v>
      </c>
      <c r="Z10" s="275" t="s">
        <v>298</v>
      </c>
      <c r="AA10" s="275" t="s">
        <v>325</v>
      </c>
      <c r="AB10" s="273" t="s">
        <v>460</v>
      </c>
      <c r="AC10" s="273" t="s">
        <v>460</v>
      </c>
      <c r="AD10" s="287" t="s">
        <v>114</v>
      </c>
      <c r="AE10" s="244">
        <v>53</v>
      </c>
    </row>
    <row r="11" spans="1:31" ht="146.69999999999999" customHeight="1" thickBot="1">
      <c r="A11" s="275" t="s">
        <v>318</v>
      </c>
      <c r="B11" s="273" t="s">
        <v>382</v>
      </c>
      <c r="C11" s="289" t="s">
        <v>184</v>
      </c>
      <c r="D11" s="290" t="s">
        <v>186</v>
      </c>
      <c r="E11" s="291">
        <v>44986</v>
      </c>
      <c r="F11" s="240" t="s">
        <v>586</v>
      </c>
      <c r="G11" s="240"/>
      <c r="H11" s="241" t="s">
        <v>34</v>
      </c>
      <c r="I11" s="242"/>
      <c r="J11" s="309" t="s">
        <v>684</v>
      </c>
      <c r="K11" s="245"/>
      <c r="L11" s="309"/>
      <c r="M11" s="241" t="s">
        <v>34</v>
      </c>
      <c r="N11" s="246"/>
      <c r="O11" s="355" t="s">
        <v>788</v>
      </c>
      <c r="P11" s="355"/>
      <c r="Q11" s="356"/>
      <c r="R11" s="241" t="s">
        <v>25</v>
      </c>
      <c r="S11" s="246"/>
      <c r="T11" s="265" t="s">
        <v>870</v>
      </c>
      <c r="U11" s="339"/>
      <c r="V11" s="340" t="s">
        <v>25</v>
      </c>
      <c r="W11" s="255"/>
      <c r="X11" s="247">
        <v>4</v>
      </c>
      <c r="Y11" s="275" t="s">
        <v>326</v>
      </c>
      <c r="Z11" s="275" t="s">
        <v>298</v>
      </c>
      <c r="AA11" s="275" t="s">
        <v>325</v>
      </c>
      <c r="AB11" s="273" t="s">
        <v>460</v>
      </c>
      <c r="AC11" s="273" t="s">
        <v>460</v>
      </c>
      <c r="AD11" s="287" t="s">
        <v>114</v>
      </c>
      <c r="AE11" s="244">
        <v>54</v>
      </c>
    </row>
    <row r="12" spans="1:31" ht="42" thickBot="1">
      <c r="A12" s="275" t="s">
        <v>318</v>
      </c>
      <c r="B12" s="273" t="s">
        <v>383</v>
      </c>
      <c r="C12" s="289" t="s">
        <v>184</v>
      </c>
      <c r="D12" s="290" t="s">
        <v>187</v>
      </c>
      <c r="E12" s="291">
        <v>44805</v>
      </c>
      <c r="F12" s="240" t="s">
        <v>529</v>
      </c>
      <c r="G12" s="240"/>
      <c r="H12" s="241" t="s">
        <v>34</v>
      </c>
      <c r="I12" s="242"/>
      <c r="J12" s="231" t="s">
        <v>631</v>
      </c>
      <c r="K12" s="231"/>
      <c r="L12" s="230"/>
      <c r="M12" s="241" t="s">
        <v>25</v>
      </c>
      <c r="N12" s="242"/>
      <c r="O12" s="355"/>
      <c r="P12" s="355"/>
      <c r="Q12" s="356"/>
      <c r="R12" s="241" t="s">
        <v>25</v>
      </c>
      <c r="S12" s="242"/>
      <c r="T12" s="266"/>
      <c r="U12" s="267"/>
      <c r="V12" s="340" t="s">
        <v>25</v>
      </c>
      <c r="W12" s="254"/>
      <c r="X12" s="243">
        <v>2</v>
      </c>
      <c r="Y12" s="275" t="s">
        <v>326</v>
      </c>
      <c r="Z12" s="275" t="s">
        <v>298</v>
      </c>
      <c r="AA12" s="275" t="s">
        <v>325</v>
      </c>
      <c r="AB12" s="273" t="s">
        <v>460</v>
      </c>
      <c r="AC12" s="273" t="s">
        <v>460</v>
      </c>
      <c r="AD12" s="287" t="s">
        <v>114</v>
      </c>
      <c r="AE12" s="244">
        <v>55</v>
      </c>
    </row>
    <row r="13" spans="1:31" ht="73.2" customHeight="1" thickBot="1">
      <c r="A13" s="275" t="s">
        <v>318</v>
      </c>
      <c r="B13" s="273" t="s">
        <v>384</v>
      </c>
      <c r="C13" s="289" t="s">
        <v>184</v>
      </c>
      <c r="D13" s="290" t="s">
        <v>188</v>
      </c>
      <c r="E13" s="291">
        <v>44986</v>
      </c>
      <c r="F13" s="240" t="s">
        <v>530</v>
      </c>
      <c r="G13" s="240"/>
      <c r="H13" s="241" t="s">
        <v>34</v>
      </c>
      <c r="I13" s="242"/>
      <c r="J13" s="231" t="s">
        <v>685</v>
      </c>
      <c r="K13" s="231"/>
      <c r="L13" s="230"/>
      <c r="M13" s="241" t="s">
        <v>34</v>
      </c>
      <c r="N13" s="242"/>
      <c r="O13" s="355" t="s">
        <v>789</v>
      </c>
      <c r="P13" s="355"/>
      <c r="Q13" s="356"/>
      <c r="R13" s="241" t="s">
        <v>34</v>
      </c>
      <c r="S13" s="242"/>
      <c r="T13" s="265" t="s">
        <v>849</v>
      </c>
      <c r="U13" s="339">
        <v>4</v>
      </c>
      <c r="V13" s="340" t="s">
        <v>25</v>
      </c>
      <c r="W13" s="255"/>
      <c r="X13" s="247">
        <v>4</v>
      </c>
      <c r="Y13" s="275" t="s">
        <v>326</v>
      </c>
      <c r="Z13" s="275" t="s">
        <v>298</v>
      </c>
      <c r="AA13" s="275" t="s">
        <v>325</v>
      </c>
      <c r="AB13" s="273" t="s">
        <v>460</v>
      </c>
      <c r="AC13" s="273" t="s">
        <v>460</v>
      </c>
      <c r="AD13" s="287" t="s">
        <v>114</v>
      </c>
      <c r="AE13" s="244">
        <v>56</v>
      </c>
    </row>
    <row r="14" spans="1:31" ht="73.2" customHeight="1" thickBot="1">
      <c r="A14" s="275" t="s">
        <v>310</v>
      </c>
      <c r="B14" s="273" t="s">
        <v>329</v>
      </c>
      <c r="C14" s="289" t="s">
        <v>118</v>
      </c>
      <c r="D14" s="290" t="s">
        <v>119</v>
      </c>
      <c r="E14" s="291">
        <v>44774</v>
      </c>
      <c r="F14" s="240" t="s">
        <v>533</v>
      </c>
      <c r="G14" s="240"/>
      <c r="H14" s="241" t="s">
        <v>34</v>
      </c>
      <c r="I14" s="242"/>
      <c r="J14" s="231" t="s">
        <v>601</v>
      </c>
      <c r="K14" s="245"/>
      <c r="L14" s="309"/>
      <c r="M14" s="241" t="s">
        <v>25</v>
      </c>
      <c r="N14" s="246"/>
      <c r="O14" s="355"/>
      <c r="P14" s="355"/>
      <c r="Q14" s="356"/>
      <c r="R14" s="241" t="s">
        <v>25</v>
      </c>
      <c r="S14" s="246"/>
      <c r="T14" s="265"/>
      <c r="U14" s="339"/>
      <c r="V14" s="340" t="s">
        <v>25</v>
      </c>
      <c r="W14" s="255"/>
      <c r="X14" s="247">
        <v>2</v>
      </c>
      <c r="Y14" s="275" t="s">
        <v>304</v>
      </c>
      <c r="Z14" s="275" t="s">
        <v>290</v>
      </c>
      <c r="AA14" s="275" t="s">
        <v>12</v>
      </c>
      <c r="AB14" s="275" t="s">
        <v>763</v>
      </c>
      <c r="AC14" s="273" t="s">
        <v>462</v>
      </c>
      <c r="AD14" s="287" t="s">
        <v>116</v>
      </c>
      <c r="AE14" s="244">
        <v>1</v>
      </c>
    </row>
    <row r="15" spans="1:31" ht="73.2" customHeight="1" thickBot="1">
      <c r="A15" s="275" t="s">
        <v>310</v>
      </c>
      <c r="B15" s="273" t="s">
        <v>330</v>
      </c>
      <c r="C15" s="289" t="s">
        <v>118</v>
      </c>
      <c r="D15" s="290" t="s">
        <v>120</v>
      </c>
      <c r="E15" s="291">
        <v>44682</v>
      </c>
      <c r="F15" s="240" t="s">
        <v>534</v>
      </c>
      <c r="G15" s="240"/>
      <c r="H15" s="241" t="s">
        <v>25</v>
      </c>
      <c r="I15" s="242"/>
      <c r="J15" s="231" t="s">
        <v>602</v>
      </c>
      <c r="K15" s="231"/>
      <c r="L15" s="230"/>
      <c r="M15" s="241" t="s">
        <v>25</v>
      </c>
      <c r="N15" s="246"/>
      <c r="O15" s="231"/>
      <c r="P15" s="355"/>
      <c r="Q15" s="356"/>
      <c r="R15" s="241" t="s">
        <v>25</v>
      </c>
      <c r="S15" s="242"/>
      <c r="T15" s="266"/>
      <c r="U15" s="267"/>
      <c r="V15" s="340" t="s">
        <v>25</v>
      </c>
      <c r="W15" s="254"/>
      <c r="X15" s="243">
        <v>1</v>
      </c>
      <c r="Y15" s="275" t="s">
        <v>304</v>
      </c>
      <c r="Z15" s="275" t="s">
        <v>290</v>
      </c>
      <c r="AA15" s="275" t="s">
        <v>12</v>
      </c>
      <c r="AB15" s="275" t="s">
        <v>763</v>
      </c>
      <c r="AC15" s="273" t="s">
        <v>458</v>
      </c>
      <c r="AD15" s="287" t="s">
        <v>116</v>
      </c>
      <c r="AE15" s="244">
        <v>2</v>
      </c>
    </row>
    <row r="16" spans="1:31" ht="73.2" customHeight="1" thickBot="1">
      <c r="A16" s="275" t="s">
        <v>310</v>
      </c>
      <c r="B16" s="273" t="s">
        <v>331</v>
      </c>
      <c r="C16" s="289" t="s">
        <v>118</v>
      </c>
      <c r="D16" s="290" t="s">
        <v>121</v>
      </c>
      <c r="E16" s="291" t="s">
        <v>279</v>
      </c>
      <c r="F16" s="240" t="s">
        <v>540</v>
      </c>
      <c r="G16" s="240"/>
      <c r="H16" s="241" t="s">
        <v>38</v>
      </c>
      <c r="I16" s="242"/>
      <c r="J16" s="310" t="s">
        <v>603</v>
      </c>
      <c r="K16" s="311"/>
      <c r="L16" s="311"/>
      <c r="M16" s="241" t="s">
        <v>38</v>
      </c>
      <c r="N16" s="246"/>
      <c r="O16" s="355" t="s">
        <v>808</v>
      </c>
      <c r="P16" s="355"/>
      <c r="Q16" s="356"/>
      <c r="R16" s="241" t="s">
        <v>32</v>
      </c>
      <c r="S16" s="246"/>
      <c r="T16" s="265"/>
      <c r="U16" s="339"/>
      <c r="V16" s="340" t="s">
        <v>32</v>
      </c>
      <c r="W16" s="255"/>
      <c r="X16" s="243"/>
      <c r="Y16" s="275" t="s">
        <v>304</v>
      </c>
      <c r="Z16" s="275" t="s">
        <v>290</v>
      </c>
      <c r="AA16" s="275" t="s">
        <v>12</v>
      </c>
      <c r="AB16" s="275" t="s">
        <v>763</v>
      </c>
      <c r="AC16" s="273" t="s">
        <v>458</v>
      </c>
      <c r="AD16" s="287" t="s">
        <v>116</v>
      </c>
      <c r="AE16" s="244">
        <v>3</v>
      </c>
    </row>
    <row r="17" spans="1:31" ht="73.2" customHeight="1" thickBot="1">
      <c r="A17" s="275" t="s">
        <v>310</v>
      </c>
      <c r="B17" s="273" t="s">
        <v>424</v>
      </c>
      <c r="C17" s="289" t="s">
        <v>238</v>
      </c>
      <c r="D17" s="290" t="s">
        <v>239</v>
      </c>
      <c r="E17" s="291">
        <v>44896</v>
      </c>
      <c r="F17" s="240" t="s">
        <v>535</v>
      </c>
      <c r="G17" s="240"/>
      <c r="H17" s="241" t="s">
        <v>34</v>
      </c>
      <c r="I17" s="242"/>
      <c r="J17" s="311" t="s">
        <v>604</v>
      </c>
      <c r="K17" s="231"/>
      <c r="L17" s="230"/>
      <c r="M17" s="241" t="s">
        <v>35</v>
      </c>
      <c r="N17" s="242"/>
      <c r="O17" s="355" t="s">
        <v>806</v>
      </c>
      <c r="P17" s="355"/>
      <c r="Q17" s="356"/>
      <c r="R17" s="241" t="s">
        <v>29</v>
      </c>
      <c r="S17" s="242"/>
      <c r="T17" s="265" t="s">
        <v>878</v>
      </c>
      <c r="U17" s="341"/>
      <c r="V17" s="340" t="s">
        <v>29</v>
      </c>
      <c r="W17" s="254"/>
      <c r="X17" s="247">
        <v>3</v>
      </c>
      <c r="Y17" s="275" t="s">
        <v>304</v>
      </c>
      <c r="Z17" s="275" t="s">
        <v>290</v>
      </c>
      <c r="AA17" s="275" t="s">
        <v>13</v>
      </c>
      <c r="AB17" s="273" t="s">
        <v>764</v>
      </c>
      <c r="AC17" s="273" t="s">
        <v>458</v>
      </c>
      <c r="AD17" s="287" t="s">
        <v>116</v>
      </c>
      <c r="AE17" s="244">
        <v>96</v>
      </c>
    </row>
    <row r="18" spans="1:31" ht="73.2" customHeight="1" thickBot="1">
      <c r="A18" s="275" t="s">
        <v>310</v>
      </c>
      <c r="B18" s="273" t="s">
        <v>425</v>
      </c>
      <c r="C18" s="289" t="s">
        <v>238</v>
      </c>
      <c r="D18" s="290" t="s">
        <v>240</v>
      </c>
      <c r="E18" s="291">
        <v>44713</v>
      </c>
      <c r="F18" s="240" t="s">
        <v>571</v>
      </c>
      <c r="G18" s="240"/>
      <c r="H18" s="241" t="s">
        <v>25</v>
      </c>
      <c r="I18" s="242"/>
      <c r="J18" s="230"/>
      <c r="K18" s="231"/>
      <c r="L18" s="230"/>
      <c r="M18" s="241" t="s">
        <v>25</v>
      </c>
      <c r="N18" s="242"/>
      <c r="O18" s="355"/>
      <c r="P18" s="355"/>
      <c r="Q18" s="356"/>
      <c r="R18" s="241" t="s">
        <v>25</v>
      </c>
      <c r="S18" s="242"/>
      <c r="T18" s="266"/>
      <c r="U18" s="267"/>
      <c r="V18" s="340" t="s">
        <v>25</v>
      </c>
      <c r="W18" s="254"/>
      <c r="X18" s="243">
        <v>1</v>
      </c>
      <c r="Y18" s="275" t="s">
        <v>304</v>
      </c>
      <c r="Z18" s="275" t="s">
        <v>290</v>
      </c>
      <c r="AA18" s="275" t="s">
        <v>13</v>
      </c>
      <c r="AB18" s="273" t="s">
        <v>764</v>
      </c>
      <c r="AC18" s="273" t="s">
        <v>458</v>
      </c>
      <c r="AD18" s="287" t="s">
        <v>116</v>
      </c>
      <c r="AE18" s="244">
        <v>97</v>
      </c>
    </row>
    <row r="19" spans="1:31" ht="73.2" customHeight="1" thickBot="1">
      <c r="A19" s="275" t="s">
        <v>310</v>
      </c>
      <c r="B19" s="273" t="s">
        <v>426</v>
      </c>
      <c r="C19" s="289" t="s">
        <v>238</v>
      </c>
      <c r="D19" s="290" t="s">
        <v>241</v>
      </c>
      <c r="E19" s="291">
        <v>44713</v>
      </c>
      <c r="F19" s="240" t="s">
        <v>572</v>
      </c>
      <c r="G19" s="240"/>
      <c r="H19" s="241" t="s">
        <v>25</v>
      </c>
      <c r="I19" s="242" t="s">
        <v>573</v>
      </c>
      <c r="J19" s="230"/>
      <c r="K19" s="231"/>
      <c r="L19" s="230"/>
      <c r="M19" s="241" t="s">
        <v>25</v>
      </c>
      <c r="N19" s="242"/>
      <c r="O19" s="356"/>
      <c r="P19" s="355"/>
      <c r="Q19" s="356"/>
      <c r="R19" s="241" t="s">
        <v>25</v>
      </c>
      <c r="S19" s="242"/>
      <c r="T19" s="266"/>
      <c r="U19" s="267"/>
      <c r="V19" s="340" t="s">
        <v>25</v>
      </c>
      <c r="W19" s="254"/>
      <c r="X19" s="243">
        <v>1</v>
      </c>
      <c r="Y19" s="275" t="s">
        <v>304</v>
      </c>
      <c r="Z19" s="275" t="s">
        <v>290</v>
      </c>
      <c r="AA19" s="275" t="s">
        <v>13</v>
      </c>
      <c r="AB19" s="273" t="s">
        <v>764</v>
      </c>
      <c r="AC19" s="273" t="s">
        <v>458</v>
      </c>
      <c r="AD19" s="287" t="s">
        <v>116</v>
      </c>
      <c r="AE19" s="244">
        <v>98</v>
      </c>
    </row>
    <row r="20" spans="1:31" ht="109.95" customHeight="1" thickBot="1">
      <c r="A20" s="275" t="s">
        <v>310</v>
      </c>
      <c r="B20" s="273" t="s">
        <v>427</v>
      </c>
      <c r="C20" s="289" t="s">
        <v>238</v>
      </c>
      <c r="D20" s="290" t="s">
        <v>242</v>
      </c>
      <c r="E20" s="291">
        <v>44774</v>
      </c>
      <c r="F20" s="240"/>
      <c r="G20" s="240"/>
      <c r="H20" s="241" t="s">
        <v>38</v>
      </c>
      <c r="I20" s="242"/>
      <c r="J20" s="230" t="s">
        <v>606</v>
      </c>
      <c r="K20" s="231"/>
      <c r="L20" s="230"/>
      <c r="M20" s="241" t="s">
        <v>25</v>
      </c>
      <c r="N20" s="242"/>
      <c r="O20" s="356"/>
      <c r="P20" s="355"/>
      <c r="Q20" s="356"/>
      <c r="R20" s="241" t="s">
        <v>25</v>
      </c>
      <c r="S20" s="242"/>
      <c r="T20" s="266"/>
      <c r="U20" s="267"/>
      <c r="V20" s="340" t="s">
        <v>25</v>
      </c>
      <c r="W20" s="254"/>
      <c r="X20" s="247">
        <v>2</v>
      </c>
      <c r="Y20" s="275" t="s">
        <v>304</v>
      </c>
      <c r="Z20" s="275" t="s">
        <v>290</v>
      </c>
      <c r="AA20" s="275" t="s">
        <v>13</v>
      </c>
      <c r="AB20" s="273" t="s">
        <v>764</v>
      </c>
      <c r="AC20" s="273" t="s">
        <v>458</v>
      </c>
      <c r="AD20" s="287" t="s">
        <v>116</v>
      </c>
      <c r="AE20" s="244">
        <v>99</v>
      </c>
    </row>
    <row r="21" spans="1:31" ht="75.599999999999994" thickBot="1">
      <c r="A21" s="275" t="s">
        <v>310</v>
      </c>
      <c r="B21" s="273" t="s">
        <v>428</v>
      </c>
      <c r="C21" s="289" t="s">
        <v>238</v>
      </c>
      <c r="D21" s="290" t="s">
        <v>243</v>
      </c>
      <c r="E21" s="291">
        <v>44896</v>
      </c>
      <c r="F21" s="240"/>
      <c r="G21" s="240"/>
      <c r="H21" s="241" t="s">
        <v>38</v>
      </c>
      <c r="I21" s="242"/>
      <c r="J21" s="230" t="s">
        <v>605</v>
      </c>
      <c r="K21" s="231"/>
      <c r="L21" s="230"/>
      <c r="M21" s="241" t="s">
        <v>38</v>
      </c>
      <c r="N21" s="242"/>
      <c r="O21" s="356" t="s">
        <v>736</v>
      </c>
      <c r="P21" s="355"/>
      <c r="Q21" s="356"/>
      <c r="R21" s="241" t="s">
        <v>25</v>
      </c>
      <c r="S21" s="242"/>
      <c r="T21" s="266"/>
      <c r="U21" s="267"/>
      <c r="V21" s="340" t="s">
        <v>25</v>
      </c>
      <c r="W21" s="254"/>
      <c r="X21" s="243">
        <v>3</v>
      </c>
      <c r="Y21" s="275" t="s">
        <v>304</v>
      </c>
      <c r="Z21" s="275" t="s">
        <v>290</v>
      </c>
      <c r="AA21" s="275" t="s">
        <v>13</v>
      </c>
      <c r="AB21" s="273" t="s">
        <v>764</v>
      </c>
      <c r="AC21" s="273" t="s">
        <v>458</v>
      </c>
      <c r="AD21" s="287" t="s">
        <v>116</v>
      </c>
      <c r="AE21" s="244">
        <v>100</v>
      </c>
    </row>
    <row r="22" spans="1:31" ht="73.2" customHeight="1" thickBot="1">
      <c r="A22" s="275" t="s">
        <v>324</v>
      </c>
      <c r="B22" s="273" t="s">
        <v>432</v>
      </c>
      <c r="C22" s="289" t="s">
        <v>247</v>
      </c>
      <c r="D22" s="290" t="s">
        <v>248</v>
      </c>
      <c r="E22" s="291" t="s">
        <v>285</v>
      </c>
      <c r="F22" s="308"/>
      <c r="G22" s="240"/>
      <c r="H22" s="241" t="s">
        <v>34</v>
      </c>
      <c r="I22" s="242"/>
      <c r="J22" s="231"/>
      <c r="K22" s="231"/>
      <c r="L22" s="230"/>
      <c r="M22" s="241" t="s">
        <v>34</v>
      </c>
      <c r="N22" s="242"/>
      <c r="O22" s="355" t="s">
        <v>702</v>
      </c>
      <c r="P22" s="355"/>
      <c r="Q22" s="356"/>
      <c r="R22" s="241" t="s">
        <v>25</v>
      </c>
      <c r="S22" s="242"/>
      <c r="T22" s="266"/>
      <c r="U22" s="267"/>
      <c r="V22" s="340" t="s">
        <v>25</v>
      </c>
      <c r="W22" s="254"/>
      <c r="X22" s="247"/>
      <c r="Y22" s="275" t="s">
        <v>304</v>
      </c>
      <c r="Z22" s="275" t="s">
        <v>308</v>
      </c>
      <c r="AA22" s="275" t="s">
        <v>13</v>
      </c>
      <c r="AB22" s="273" t="s">
        <v>764</v>
      </c>
      <c r="AC22" s="273" t="s">
        <v>458</v>
      </c>
      <c r="AD22" s="287" t="s">
        <v>116</v>
      </c>
      <c r="AE22" s="244">
        <v>104</v>
      </c>
    </row>
    <row r="23" spans="1:31" ht="73.2" customHeight="1" thickBot="1">
      <c r="A23" s="275" t="s">
        <v>312</v>
      </c>
      <c r="B23" s="273" t="s">
        <v>332</v>
      </c>
      <c r="C23" s="289" t="s">
        <v>122</v>
      </c>
      <c r="D23" s="290" t="s">
        <v>123</v>
      </c>
      <c r="E23" s="291">
        <v>44835</v>
      </c>
      <c r="F23" s="240"/>
      <c r="G23" s="240"/>
      <c r="H23" s="241" t="s">
        <v>38</v>
      </c>
      <c r="I23" s="242"/>
      <c r="J23" s="230" t="s">
        <v>612</v>
      </c>
      <c r="K23" s="231"/>
      <c r="L23" s="230"/>
      <c r="M23" s="241" t="s">
        <v>34</v>
      </c>
      <c r="N23" s="242"/>
      <c r="O23" s="230" t="s">
        <v>699</v>
      </c>
      <c r="P23" s="355"/>
      <c r="Q23" s="356"/>
      <c r="R23" s="241" t="s">
        <v>25</v>
      </c>
      <c r="S23" s="242"/>
      <c r="T23" s="266"/>
      <c r="U23" s="267"/>
      <c r="V23" s="340" t="s">
        <v>25</v>
      </c>
      <c r="W23" s="254"/>
      <c r="X23" s="243">
        <v>3</v>
      </c>
      <c r="Y23" s="275" t="s">
        <v>304</v>
      </c>
      <c r="Z23" s="275" t="s">
        <v>290</v>
      </c>
      <c r="AA23" s="275" t="s">
        <v>12</v>
      </c>
      <c r="AB23" s="273" t="s">
        <v>764</v>
      </c>
      <c r="AC23" s="273" t="s">
        <v>458</v>
      </c>
      <c r="AD23" s="287" t="s">
        <v>116</v>
      </c>
      <c r="AE23" s="244">
        <v>4</v>
      </c>
    </row>
    <row r="24" spans="1:31" ht="73.2" customHeight="1" thickBot="1">
      <c r="A24" s="275" t="s">
        <v>312</v>
      </c>
      <c r="B24" s="273" t="s">
        <v>337</v>
      </c>
      <c r="C24" s="289" t="s">
        <v>105</v>
      </c>
      <c r="D24" s="290" t="s">
        <v>106</v>
      </c>
      <c r="E24" s="291">
        <v>44743</v>
      </c>
      <c r="F24" s="240" t="s">
        <v>581</v>
      </c>
      <c r="G24" s="240"/>
      <c r="H24" s="241" t="s">
        <v>34</v>
      </c>
      <c r="I24" s="242"/>
      <c r="J24" s="248" t="s">
        <v>581</v>
      </c>
      <c r="K24" s="231"/>
      <c r="L24" s="230"/>
      <c r="M24" s="241" t="s">
        <v>25</v>
      </c>
      <c r="N24" s="242"/>
      <c r="O24" s="245" t="s">
        <v>700</v>
      </c>
      <c r="P24" s="355"/>
      <c r="Q24" s="356"/>
      <c r="R24" s="241" t="s">
        <v>25</v>
      </c>
      <c r="S24" s="242"/>
      <c r="T24" s="266"/>
      <c r="U24" s="267"/>
      <c r="V24" s="340" t="s">
        <v>25</v>
      </c>
      <c r="W24" s="254"/>
      <c r="X24" s="243">
        <v>2</v>
      </c>
      <c r="Y24" s="275" t="s">
        <v>326</v>
      </c>
      <c r="Z24" s="275" t="s">
        <v>292</v>
      </c>
      <c r="AA24" s="275" t="s">
        <v>12</v>
      </c>
      <c r="AB24" s="275" t="s">
        <v>460</v>
      </c>
      <c r="AC24" s="273" t="s">
        <v>460</v>
      </c>
      <c r="AD24" s="287" t="s">
        <v>287</v>
      </c>
      <c r="AE24" s="244">
        <v>9</v>
      </c>
    </row>
    <row r="25" spans="1:31" ht="238.8" customHeight="1" thickBot="1">
      <c r="A25" s="275" t="s">
        <v>312</v>
      </c>
      <c r="B25" s="273" t="s">
        <v>338</v>
      </c>
      <c r="C25" s="289" t="s">
        <v>105</v>
      </c>
      <c r="D25" s="290" t="s">
        <v>130</v>
      </c>
      <c r="E25" s="291">
        <v>44986</v>
      </c>
      <c r="F25" s="240"/>
      <c r="G25" s="240"/>
      <c r="H25" s="241" t="s">
        <v>38</v>
      </c>
      <c r="I25" s="242"/>
      <c r="J25" s="260" t="s">
        <v>613</v>
      </c>
      <c r="K25" s="245"/>
      <c r="L25" s="309"/>
      <c r="M25" s="241" t="s">
        <v>34</v>
      </c>
      <c r="N25" s="246"/>
      <c r="O25" s="245" t="s">
        <v>817</v>
      </c>
      <c r="P25" s="355"/>
      <c r="Q25" s="356"/>
      <c r="R25" s="241" t="s">
        <v>34</v>
      </c>
      <c r="S25" s="246"/>
      <c r="T25" s="265" t="s">
        <v>818</v>
      </c>
      <c r="U25" s="339"/>
      <c r="V25" s="340" t="s">
        <v>25</v>
      </c>
      <c r="W25" s="255"/>
      <c r="X25" s="247">
        <v>4</v>
      </c>
      <c r="Y25" s="275" t="s">
        <v>326</v>
      </c>
      <c r="Z25" s="275" t="s">
        <v>292</v>
      </c>
      <c r="AA25" s="275" t="s">
        <v>12</v>
      </c>
      <c r="AB25" s="275" t="s">
        <v>460</v>
      </c>
      <c r="AC25" s="273" t="s">
        <v>460</v>
      </c>
      <c r="AD25" s="287" t="s">
        <v>287</v>
      </c>
      <c r="AE25" s="244">
        <v>10</v>
      </c>
    </row>
    <row r="26" spans="1:31" ht="101.4" customHeight="1" thickBot="1">
      <c r="A26" s="275" t="s">
        <v>312</v>
      </c>
      <c r="B26" s="273" t="s">
        <v>347</v>
      </c>
      <c r="C26" s="289" t="s">
        <v>141</v>
      </c>
      <c r="D26" s="290" t="s">
        <v>142</v>
      </c>
      <c r="E26" s="291" t="s">
        <v>280</v>
      </c>
      <c r="F26" s="240" t="s">
        <v>536</v>
      </c>
      <c r="G26" s="240"/>
      <c r="H26" s="241" t="s">
        <v>34</v>
      </c>
      <c r="I26" s="242"/>
      <c r="J26" s="245" t="s">
        <v>618</v>
      </c>
      <c r="K26" s="245"/>
      <c r="L26" s="309"/>
      <c r="M26" s="241" t="s">
        <v>34</v>
      </c>
      <c r="N26" s="246"/>
      <c r="O26" s="355" t="s">
        <v>790</v>
      </c>
      <c r="P26" s="355"/>
      <c r="Q26" s="356"/>
      <c r="R26" s="241" t="s">
        <v>34</v>
      </c>
      <c r="S26" s="246"/>
      <c r="T26" s="265" t="s">
        <v>819</v>
      </c>
      <c r="U26" s="339"/>
      <c r="V26" s="340" t="s">
        <v>25</v>
      </c>
      <c r="W26" s="255"/>
      <c r="X26" s="243">
        <v>4</v>
      </c>
      <c r="Y26" s="275" t="s">
        <v>326</v>
      </c>
      <c r="Z26" s="275" t="s">
        <v>292</v>
      </c>
      <c r="AA26" s="275" t="s">
        <v>12</v>
      </c>
      <c r="AB26" s="275" t="s">
        <v>460</v>
      </c>
      <c r="AC26" s="273" t="s">
        <v>460</v>
      </c>
      <c r="AD26" s="287" t="s">
        <v>287</v>
      </c>
      <c r="AE26" s="244">
        <v>19</v>
      </c>
    </row>
    <row r="27" spans="1:31" ht="73.2" customHeight="1" thickBot="1">
      <c r="A27" s="275" t="s">
        <v>312</v>
      </c>
      <c r="B27" s="273" t="s">
        <v>403</v>
      </c>
      <c r="C27" s="289" t="s">
        <v>105</v>
      </c>
      <c r="D27" s="290" t="s">
        <v>210</v>
      </c>
      <c r="E27" s="291">
        <v>44805</v>
      </c>
      <c r="F27" s="240" t="s">
        <v>537</v>
      </c>
      <c r="G27" s="240"/>
      <c r="H27" s="241" t="s">
        <v>34</v>
      </c>
      <c r="I27" s="242"/>
      <c r="J27" s="248" t="s">
        <v>614</v>
      </c>
      <c r="K27" s="231"/>
      <c r="L27" s="230"/>
      <c r="M27" s="241" t="s">
        <v>25</v>
      </c>
      <c r="N27" s="242"/>
      <c r="O27" s="245" t="s">
        <v>700</v>
      </c>
      <c r="P27" s="355"/>
      <c r="Q27" s="356"/>
      <c r="R27" s="241" t="s">
        <v>25</v>
      </c>
      <c r="S27" s="242"/>
      <c r="T27" s="266"/>
      <c r="U27" s="267"/>
      <c r="V27" s="340" t="s">
        <v>25</v>
      </c>
      <c r="W27" s="342"/>
      <c r="X27" s="247">
        <v>2</v>
      </c>
      <c r="Y27" s="275" t="s">
        <v>326</v>
      </c>
      <c r="Z27" s="275" t="s">
        <v>292</v>
      </c>
      <c r="AA27" s="275" t="s">
        <v>325</v>
      </c>
      <c r="AB27" s="275" t="s">
        <v>460</v>
      </c>
      <c r="AC27" s="273" t="s">
        <v>460</v>
      </c>
      <c r="AD27" s="287" t="s">
        <v>287</v>
      </c>
      <c r="AE27" s="244">
        <v>75</v>
      </c>
    </row>
    <row r="28" spans="1:31" ht="73.2" customHeight="1" thickBot="1">
      <c r="A28" s="275" t="s">
        <v>312</v>
      </c>
      <c r="B28" s="273" t="s">
        <v>452</v>
      </c>
      <c r="C28" s="289" t="s">
        <v>96</v>
      </c>
      <c r="D28" s="290" t="s">
        <v>97</v>
      </c>
      <c r="E28" s="291" t="s">
        <v>286</v>
      </c>
      <c r="F28" s="304" t="s">
        <v>578</v>
      </c>
      <c r="G28" s="240"/>
      <c r="H28" s="241" t="s">
        <v>34</v>
      </c>
      <c r="I28" s="242" t="s">
        <v>577</v>
      </c>
      <c r="J28" s="304" t="s">
        <v>615</v>
      </c>
      <c r="K28" s="231"/>
      <c r="L28" s="230"/>
      <c r="M28" s="241" t="s">
        <v>34</v>
      </c>
      <c r="N28" s="242"/>
      <c r="O28" s="304" t="s">
        <v>701</v>
      </c>
      <c r="P28" s="355"/>
      <c r="Q28" s="356"/>
      <c r="R28" s="241" t="s">
        <v>34</v>
      </c>
      <c r="S28" s="242"/>
      <c r="T28" s="304" t="s">
        <v>820</v>
      </c>
      <c r="U28" s="267"/>
      <c r="V28" s="340" t="s">
        <v>25</v>
      </c>
      <c r="W28" s="254"/>
      <c r="X28" s="243"/>
      <c r="Y28" s="275" t="s">
        <v>326</v>
      </c>
      <c r="Z28" s="275" t="s">
        <v>292</v>
      </c>
      <c r="AA28" s="275" t="s">
        <v>13</v>
      </c>
      <c r="AB28" s="275" t="s">
        <v>460</v>
      </c>
      <c r="AC28" s="273" t="s">
        <v>460</v>
      </c>
      <c r="AD28" s="287" t="s">
        <v>287</v>
      </c>
      <c r="AE28" s="244">
        <v>124</v>
      </c>
    </row>
    <row r="29" spans="1:31" ht="73.2" customHeight="1" thickBot="1">
      <c r="A29" s="275" t="s">
        <v>312</v>
      </c>
      <c r="B29" s="273" t="s">
        <v>453</v>
      </c>
      <c r="C29" s="289" t="s">
        <v>270</v>
      </c>
      <c r="D29" s="290" t="s">
        <v>271</v>
      </c>
      <c r="E29" s="291">
        <v>44743</v>
      </c>
      <c r="F29" s="240" t="s">
        <v>538</v>
      </c>
      <c r="G29" s="240"/>
      <c r="H29" s="241" t="s">
        <v>34</v>
      </c>
      <c r="I29" s="242"/>
      <c r="J29" s="240" t="s">
        <v>616</v>
      </c>
      <c r="K29" s="231"/>
      <c r="L29" s="230"/>
      <c r="M29" s="241" t="s">
        <v>25</v>
      </c>
      <c r="N29" s="242" t="s">
        <v>617</v>
      </c>
      <c r="O29" s="245" t="s">
        <v>700</v>
      </c>
      <c r="P29" s="355"/>
      <c r="Q29" s="356"/>
      <c r="R29" s="241" t="s">
        <v>25</v>
      </c>
      <c r="S29" s="242"/>
      <c r="T29" s="266"/>
      <c r="U29" s="267"/>
      <c r="V29" s="340" t="s">
        <v>25</v>
      </c>
      <c r="W29" s="254"/>
      <c r="X29" s="243">
        <v>2</v>
      </c>
      <c r="Y29" s="275" t="s">
        <v>326</v>
      </c>
      <c r="Z29" s="275" t="s">
        <v>292</v>
      </c>
      <c r="AA29" s="275" t="s">
        <v>13</v>
      </c>
      <c r="AB29" s="275" t="s">
        <v>460</v>
      </c>
      <c r="AC29" s="273" t="s">
        <v>460</v>
      </c>
      <c r="AD29" s="287" t="s">
        <v>287</v>
      </c>
      <c r="AE29" s="244">
        <v>125</v>
      </c>
    </row>
    <row r="30" spans="1:31" ht="76.2" customHeight="1" thickBot="1">
      <c r="A30" s="275" t="s">
        <v>322</v>
      </c>
      <c r="B30" s="273" t="s">
        <v>421</v>
      </c>
      <c r="C30" s="289" t="s">
        <v>231</v>
      </c>
      <c r="D30" s="290" t="s">
        <v>233</v>
      </c>
      <c r="E30" s="291">
        <v>44986</v>
      </c>
      <c r="F30" s="240" t="s">
        <v>570</v>
      </c>
      <c r="G30" s="240"/>
      <c r="H30" s="241" t="s">
        <v>38</v>
      </c>
      <c r="I30" s="242"/>
      <c r="J30" s="248" t="s">
        <v>696</v>
      </c>
      <c r="K30" s="231"/>
      <c r="L30" s="230"/>
      <c r="M30" s="241" t="s">
        <v>38</v>
      </c>
      <c r="N30" s="242"/>
      <c r="O30" s="355" t="s">
        <v>783</v>
      </c>
      <c r="P30" s="355"/>
      <c r="Q30" s="356"/>
      <c r="R30" s="241" t="s">
        <v>25</v>
      </c>
      <c r="S30" s="242"/>
      <c r="T30" s="266" t="s">
        <v>871</v>
      </c>
      <c r="U30" s="267"/>
      <c r="V30" s="340" t="s">
        <v>25</v>
      </c>
      <c r="W30" s="254"/>
      <c r="X30" s="243"/>
      <c r="Y30" s="275" t="s">
        <v>327</v>
      </c>
      <c r="Z30" s="275" t="s">
        <v>305</v>
      </c>
      <c r="AA30" s="275" t="s">
        <v>13</v>
      </c>
      <c r="AB30" s="273" t="s">
        <v>462</v>
      </c>
      <c r="AC30" s="273" t="s">
        <v>462</v>
      </c>
      <c r="AD30" s="287" t="s">
        <v>42</v>
      </c>
      <c r="AE30" s="244">
        <v>93</v>
      </c>
    </row>
    <row r="31" spans="1:31" ht="78" customHeight="1" thickBot="1">
      <c r="A31" s="275" t="s">
        <v>322</v>
      </c>
      <c r="B31" s="273" t="s">
        <v>423</v>
      </c>
      <c r="C31" s="289" t="s">
        <v>236</v>
      </c>
      <c r="D31" s="290" t="s">
        <v>237</v>
      </c>
      <c r="E31" s="291">
        <v>44927</v>
      </c>
      <c r="F31" s="240" t="s">
        <v>525</v>
      </c>
      <c r="G31" s="240"/>
      <c r="H31" s="241" t="s">
        <v>34</v>
      </c>
      <c r="I31" s="242"/>
      <c r="J31" s="230" t="s">
        <v>693</v>
      </c>
      <c r="K31" s="231"/>
      <c r="L31" s="230"/>
      <c r="M31" s="241" t="s">
        <v>34</v>
      </c>
      <c r="N31" s="230"/>
      <c r="O31" s="356" t="s">
        <v>733</v>
      </c>
      <c r="P31" s="355"/>
      <c r="Q31" s="356"/>
      <c r="R31" s="241" t="s">
        <v>34</v>
      </c>
      <c r="S31" s="242"/>
      <c r="T31" s="343" t="s">
        <v>848</v>
      </c>
      <c r="U31" s="267"/>
      <c r="V31" s="340" t="s">
        <v>25</v>
      </c>
      <c r="W31" s="254"/>
      <c r="X31" s="243">
        <v>4</v>
      </c>
      <c r="Y31" s="275" t="s">
        <v>327</v>
      </c>
      <c r="Z31" s="275" t="s">
        <v>306</v>
      </c>
      <c r="AA31" s="275" t="s">
        <v>13</v>
      </c>
      <c r="AB31" s="273" t="s">
        <v>462</v>
      </c>
      <c r="AC31" s="273" t="s">
        <v>462</v>
      </c>
      <c r="AD31" s="287" t="s">
        <v>42</v>
      </c>
      <c r="AE31" s="244">
        <v>95</v>
      </c>
    </row>
    <row r="32" spans="1:31" ht="78" customHeight="1" thickBot="1">
      <c r="A32" s="275" t="s">
        <v>539</v>
      </c>
      <c r="B32" s="273" t="s">
        <v>356</v>
      </c>
      <c r="C32" s="289" t="s">
        <v>152</v>
      </c>
      <c r="D32" s="290" t="s">
        <v>153</v>
      </c>
      <c r="E32" s="291">
        <v>44743</v>
      </c>
      <c r="F32" s="240" t="s">
        <v>583</v>
      </c>
      <c r="G32" s="240"/>
      <c r="H32" s="241" t="s">
        <v>34</v>
      </c>
      <c r="I32" s="242"/>
      <c r="J32" s="245" t="s">
        <v>680</v>
      </c>
      <c r="K32" s="245"/>
      <c r="L32" s="309"/>
      <c r="M32" s="241" t="s">
        <v>25</v>
      </c>
      <c r="N32" s="246"/>
      <c r="O32" s="355" t="s">
        <v>725</v>
      </c>
      <c r="P32" s="355"/>
      <c r="Q32" s="356"/>
      <c r="R32" s="241" t="s">
        <v>25</v>
      </c>
      <c r="S32" s="246"/>
      <c r="T32" s="265" t="s">
        <v>867</v>
      </c>
      <c r="U32" s="339"/>
      <c r="V32" s="340" t="s">
        <v>25</v>
      </c>
      <c r="W32" s="255"/>
      <c r="X32" s="243">
        <v>2</v>
      </c>
      <c r="Y32" s="275" t="s">
        <v>315</v>
      </c>
      <c r="Z32" s="275" t="s">
        <v>295</v>
      </c>
      <c r="AA32" s="275" t="s">
        <v>12</v>
      </c>
      <c r="AB32" s="275" t="s">
        <v>763</v>
      </c>
      <c r="AC32" s="273" t="s">
        <v>462</v>
      </c>
      <c r="AD32" s="287" t="s">
        <v>288</v>
      </c>
      <c r="AE32" s="244">
        <v>28</v>
      </c>
    </row>
    <row r="33" spans="1:31" ht="78" customHeight="1" thickBot="1">
      <c r="A33" s="275" t="s">
        <v>539</v>
      </c>
      <c r="B33" s="273" t="s">
        <v>357</v>
      </c>
      <c r="C33" s="289" t="s">
        <v>152</v>
      </c>
      <c r="D33" s="290" t="s">
        <v>154</v>
      </c>
      <c r="E33" s="291">
        <v>44805</v>
      </c>
      <c r="F33" s="240" t="s">
        <v>556</v>
      </c>
      <c r="G33" s="240"/>
      <c r="H33" s="241" t="s">
        <v>29</v>
      </c>
      <c r="I33" s="242"/>
      <c r="J33" s="309" t="s">
        <v>675</v>
      </c>
      <c r="K33" s="245"/>
      <c r="L33" s="309"/>
      <c r="M33" s="241" t="s">
        <v>29</v>
      </c>
      <c r="N33" s="246" t="s">
        <v>675</v>
      </c>
      <c r="O33" s="355" t="s">
        <v>732</v>
      </c>
      <c r="P33" s="355"/>
      <c r="Q33" s="356"/>
      <c r="R33" s="241" t="s">
        <v>29</v>
      </c>
      <c r="S33" s="246"/>
      <c r="T33" s="265" t="s">
        <v>868</v>
      </c>
      <c r="U33" s="339"/>
      <c r="V33" s="340" t="s">
        <v>29</v>
      </c>
      <c r="W33" s="255"/>
      <c r="X33" s="243">
        <v>2</v>
      </c>
      <c r="Y33" s="275" t="s">
        <v>315</v>
      </c>
      <c r="Z33" s="275" t="s">
        <v>295</v>
      </c>
      <c r="AA33" s="275" t="s">
        <v>12</v>
      </c>
      <c r="AB33" s="275" t="s">
        <v>763</v>
      </c>
      <c r="AC33" s="273" t="s">
        <v>462</v>
      </c>
      <c r="AD33" s="287" t="s">
        <v>288</v>
      </c>
      <c r="AE33" s="244">
        <v>29</v>
      </c>
    </row>
    <row r="34" spans="1:31" ht="78" customHeight="1" thickBot="1">
      <c r="A34" s="275" t="s">
        <v>539</v>
      </c>
      <c r="B34" s="273" t="s">
        <v>358</v>
      </c>
      <c r="C34" s="289" t="s">
        <v>107</v>
      </c>
      <c r="D34" s="290" t="s">
        <v>155</v>
      </c>
      <c r="E34" s="291">
        <v>44835</v>
      </c>
      <c r="F34" s="240" t="s">
        <v>584</v>
      </c>
      <c r="G34" s="240"/>
      <c r="H34" s="241" t="s">
        <v>34</v>
      </c>
      <c r="I34" s="242"/>
      <c r="J34" s="245" t="s">
        <v>679</v>
      </c>
      <c r="K34" s="245"/>
      <c r="L34" s="309"/>
      <c r="M34" s="241" t="s">
        <v>34</v>
      </c>
      <c r="N34" s="246"/>
      <c r="O34" s="355" t="s">
        <v>726</v>
      </c>
      <c r="P34" s="355"/>
      <c r="Q34" s="356"/>
      <c r="R34" s="241" t="s">
        <v>25</v>
      </c>
      <c r="S34" s="246"/>
      <c r="T34" s="265" t="s">
        <v>872</v>
      </c>
      <c r="U34" s="339"/>
      <c r="V34" s="340" t="s">
        <v>25</v>
      </c>
      <c r="W34" s="255"/>
      <c r="X34" s="247">
        <v>3</v>
      </c>
      <c r="Y34" s="275" t="s">
        <v>315</v>
      </c>
      <c r="Z34" s="275" t="s">
        <v>295</v>
      </c>
      <c r="AA34" s="275" t="s">
        <v>12</v>
      </c>
      <c r="AB34" s="275" t="s">
        <v>763</v>
      </c>
      <c r="AC34" s="273" t="s">
        <v>462</v>
      </c>
      <c r="AD34" s="287" t="s">
        <v>288</v>
      </c>
      <c r="AE34" s="244">
        <v>30</v>
      </c>
    </row>
    <row r="35" spans="1:31" ht="82.95" customHeight="1" thickBot="1">
      <c r="A35" s="275" t="s">
        <v>539</v>
      </c>
      <c r="B35" s="273" t="s">
        <v>359</v>
      </c>
      <c r="C35" s="289" t="s">
        <v>107</v>
      </c>
      <c r="D35" s="290" t="s">
        <v>156</v>
      </c>
      <c r="E35" s="291">
        <v>44743</v>
      </c>
      <c r="F35" s="240" t="s">
        <v>506</v>
      </c>
      <c r="G35" s="240"/>
      <c r="H35" s="241" t="s">
        <v>34</v>
      </c>
      <c r="I35" s="242"/>
      <c r="J35" s="230" t="s">
        <v>678</v>
      </c>
      <c r="K35" s="231"/>
      <c r="L35" s="230"/>
      <c r="M35" s="241" t="s">
        <v>25</v>
      </c>
      <c r="N35" s="242"/>
      <c r="O35" s="355"/>
      <c r="P35" s="355"/>
      <c r="Q35" s="356"/>
      <c r="R35" s="241" t="s">
        <v>25</v>
      </c>
      <c r="S35" s="242"/>
      <c r="T35" s="266" t="s">
        <v>885</v>
      </c>
      <c r="U35" s="267"/>
      <c r="V35" s="340" t="s">
        <v>25</v>
      </c>
      <c r="W35" s="254"/>
      <c r="X35" s="243">
        <v>2</v>
      </c>
      <c r="Y35" s="275" t="s">
        <v>315</v>
      </c>
      <c r="Z35" s="275" t="s">
        <v>295</v>
      </c>
      <c r="AA35" s="275" t="s">
        <v>12</v>
      </c>
      <c r="AB35" s="275" t="s">
        <v>763</v>
      </c>
      <c r="AC35" s="273" t="s">
        <v>462</v>
      </c>
      <c r="AD35" s="287" t="s">
        <v>288</v>
      </c>
      <c r="AE35" s="244">
        <v>31</v>
      </c>
    </row>
    <row r="36" spans="1:31" ht="206.4" customHeight="1" thickBot="1">
      <c r="A36" s="275" t="s">
        <v>539</v>
      </c>
      <c r="B36" s="273" t="s">
        <v>360</v>
      </c>
      <c r="C36" s="289" t="s">
        <v>107</v>
      </c>
      <c r="D36" s="290" t="s">
        <v>157</v>
      </c>
      <c r="E36" s="291">
        <v>44986</v>
      </c>
      <c r="F36" s="230"/>
      <c r="G36" s="240"/>
      <c r="H36" s="241" t="s">
        <v>38</v>
      </c>
      <c r="I36" s="242"/>
      <c r="J36" s="245" t="s">
        <v>672</v>
      </c>
      <c r="K36" s="245"/>
      <c r="L36" s="309"/>
      <c r="M36" s="241" t="s">
        <v>34</v>
      </c>
      <c r="N36" s="246"/>
      <c r="O36" s="355" t="s">
        <v>727</v>
      </c>
      <c r="P36" s="355"/>
      <c r="Q36" s="356"/>
      <c r="R36" s="241" t="s">
        <v>34</v>
      </c>
      <c r="S36" s="246"/>
      <c r="T36" s="265" t="s">
        <v>864</v>
      </c>
      <c r="U36" s="339"/>
      <c r="V36" s="340" t="s">
        <v>25</v>
      </c>
      <c r="W36" s="255"/>
      <c r="X36" s="243">
        <v>4</v>
      </c>
      <c r="Y36" s="275" t="s">
        <v>315</v>
      </c>
      <c r="Z36" s="275" t="s">
        <v>295</v>
      </c>
      <c r="AA36" s="275" t="s">
        <v>12</v>
      </c>
      <c r="AB36" s="275" t="s">
        <v>763</v>
      </c>
      <c r="AC36" s="273" t="s">
        <v>462</v>
      </c>
      <c r="AD36" s="287" t="s">
        <v>288</v>
      </c>
      <c r="AE36" s="244">
        <v>32</v>
      </c>
    </row>
    <row r="37" spans="1:31" ht="118.95" customHeight="1" thickBot="1">
      <c r="A37" s="275" t="s">
        <v>539</v>
      </c>
      <c r="B37" s="273" t="s">
        <v>361</v>
      </c>
      <c r="C37" s="289" t="s">
        <v>108</v>
      </c>
      <c r="D37" s="290" t="s">
        <v>109</v>
      </c>
      <c r="E37" s="291">
        <v>44896</v>
      </c>
      <c r="F37" s="230" t="s">
        <v>594</v>
      </c>
      <c r="G37" s="240"/>
      <c r="H37" s="241" t="s">
        <v>29</v>
      </c>
      <c r="I37" s="242"/>
      <c r="J37" s="309" t="s">
        <v>695</v>
      </c>
      <c r="K37" s="245"/>
      <c r="L37" s="309"/>
      <c r="M37" s="241" t="s">
        <v>29</v>
      </c>
      <c r="N37" s="313"/>
      <c r="O37" s="265" t="s">
        <v>807</v>
      </c>
      <c r="P37" s="355"/>
      <c r="Q37" s="356"/>
      <c r="R37" s="241" t="s">
        <v>29</v>
      </c>
      <c r="S37" s="246"/>
      <c r="T37" s="265" t="s">
        <v>865</v>
      </c>
      <c r="U37" s="339"/>
      <c r="V37" s="340" t="s">
        <v>29</v>
      </c>
      <c r="W37" s="255"/>
      <c r="X37" s="243">
        <v>3</v>
      </c>
      <c r="Y37" s="275" t="s">
        <v>315</v>
      </c>
      <c r="Z37" s="275" t="s">
        <v>295</v>
      </c>
      <c r="AA37" s="275" t="s">
        <v>12</v>
      </c>
      <c r="AB37" s="275" t="s">
        <v>763</v>
      </c>
      <c r="AC37" s="273" t="s">
        <v>462</v>
      </c>
      <c r="AD37" s="287" t="s">
        <v>288</v>
      </c>
      <c r="AE37" s="244">
        <v>33</v>
      </c>
    </row>
    <row r="38" spans="1:31" ht="96" customHeight="1" thickBot="1">
      <c r="A38" s="275" t="s">
        <v>539</v>
      </c>
      <c r="B38" s="273" t="s">
        <v>362</v>
      </c>
      <c r="C38" s="289" t="s">
        <v>108</v>
      </c>
      <c r="D38" s="290" t="s">
        <v>158</v>
      </c>
      <c r="E38" s="291">
        <v>44986</v>
      </c>
      <c r="F38" s="230"/>
      <c r="G38" s="240"/>
      <c r="H38" s="241" t="s">
        <v>38</v>
      </c>
      <c r="I38" s="242"/>
      <c r="J38" s="245" t="s">
        <v>681</v>
      </c>
      <c r="K38" s="245"/>
      <c r="L38" s="309"/>
      <c r="M38" s="241" t="s">
        <v>34</v>
      </c>
      <c r="N38" s="246"/>
      <c r="O38" s="355" t="s">
        <v>728</v>
      </c>
      <c r="P38" s="355"/>
      <c r="Q38" s="356"/>
      <c r="R38" s="241" t="s">
        <v>34</v>
      </c>
      <c r="S38" s="246"/>
      <c r="T38" s="265" t="s">
        <v>866</v>
      </c>
      <c r="U38" s="340"/>
      <c r="V38" s="340" t="s">
        <v>25</v>
      </c>
      <c r="W38" s="255"/>
      <c r="X38" s="247">
        <v>4</v>
      </c>
      <c r="Y38" s="275" t="s">
        <v>315</v>
      </c>
      <c r="Z38" s="275" t="s">
        <v>295</v>
      </c>
      <c r="AA38" s="275" t="s">
        <v>12</v>
      </c>
      <c r="AB38" s="275" t="s">
        <v>763</v>
      </c>
      <c r="AC38" s="273" t="s">
        <v>462</v>
      </c>
      <c r="AD38" s="287" t="s">
        <v>288</v>
      </c>
      <c r="AE38" s="244">
        <v>34</v>
      </c>
    </row>
    <row r="39" spans="1:31" ht="73.2" customHeight="1" thickBot="1">
      <c r="A39" s="275" t="s">
        <v>539</v>
      </c>
      <c r="B39" s="273" t="s">
        <v>363</v>
      </c>
      <c r="C39" s="289" t="s">
        <v>110</v>
      </c>
      <c r="D39" s="290" t="s">
        <v>159</v>
      </c>
      <c r="E39" s="291">
        <v>44986</v>
      </c>
      <c r="F39" s="230" t="s">
        <v>524</v>
      </c>
      <c r="G39" s="240"/>
      <c r="H39" s="241" t="s">
        <v>34</v>
      </c>
      <c r="I39" s="242"/>
      <c r="J39" s="245" t="s">
        <v>673</v>
      </c>
      <c r="K39" s="245"/>
      <c r="L39" s="309"/>
      <c r="M39" s="241" t="s">
        <v>34</v>
      </c>
      <c r="N39" s="246"/>
      <c r="O39" s="355" t="s">
        <v>729</v>
      </c>
      <c r="P39" s="355"/>
      <c r="Q39" s="356"/>
      <c r="R39" s="241" t="s">
        <v>34</v>
      </c>
      <c r="S39" s="246"/>
      <c r="T39" s="265" t="s">
        <v>869</v>
      </c>
      <c r="U39" s="339"/>
      <c r="V39" s="340" t="s">
        <v>25</v>
      </c>
      <c r="W39" s="255"/>
      <c r="X39" s="247">
        <v>4</v>
      </c>
      <c r="Y39" s="275" t="s">
        <v>315</v>
      </c>
      <c r="Z39" s="275" t="s">
        <v>295</v>
      </c>
      <c r="AA39" s="275" t="s">
        <v>12</v>
      </c>
      <c r="AB39" s="275" t="s">
        <v>763</v>
      </c>
      <c r="AC39" s="273" t="s">
        <v>462</v>
      </c>
      <c r="AD39" s="287" t="s">
        <v>288</v>
      </c>
      <c r="AE39" s="244">
        <v>35</v>
      </c>
    </row>
    <row r="40" spans="1:31" ht="73.2" customHeight="1" thickBot="1">
      <c r="A40" s="275" t="s">
        <v>539</v>
      </c>
      <c r="B40" s="273" t="s">
        <v>365</v>
      </c>
      <c r="C40" s="289" t="s">
        <v>110</v>
      </c>
      <c r="D40" s="290" t="s">
        <v>161</v>
      </c>
      <c r="E40" s="291">
        <v>44958</v>
      </c>
      <c r="F40" s="240" t="s">
        <v>507</v>
      </c>
      <c r="G40" s="240"/>
      <c r="H40" s="241" t="s">
        <v>34</v>
      </c>
      <c r="I40" s="242"/>
      <c r="J40" s="245" t="s">
        <v>676</v>
      </c>
      <c r="K40" s="245"/>
      <c r="L40" s="309"/>
      <c r="M40" s="241" t="s">
        <v>34</v>
      </c>
      <c r="N40" s="246"/>
      <c r="O40" s="355" t="s">
        <v>730</v>
      </c>
      <c r="P40" s="355"/>
      <c r="Q40" s="356"/>
      <c r="R40" s="241" t="s">
        <v>34</v>
      </c>
      <c r="S40" s="246"/>
      <c r="T40" s="265" t="s">
        <v>873</v>
      </c>
      <c r="U40" s="339"/>
      <c r="V40" s="340" t="s">
        <v>25</v>
      </c>
      <c r="W40" s="255"/>
      <c r="X40" s="247">
        <v>4</v>
      </c>
      <c r="Y40" s="275" t="s">
        <v>315</v>
      </c>
      <c r="Z40" s="275" t="s">
        <v>295</v>
      </c>
      <c r="AA40" s="275" t="s">
        <v>12</v>
      </c>
      <c r="AB40" s="275" t="s">
        <v>763</v>
      </c>
      <c r="AC40" s="273" t="s">
        <v>462</v>
      </c>
      <c r="AD40" s="287" t="s">
        <v>288</v>
      </c>
      <c r="AE40" s="244">
        <v>37</v>
      </c>
    </row>
    <row r="41" spans="1:31" ht="73.2" customHeight="1" thickBot="1">
      <c r="A41" s="275" t="s">
        <v>539</v>
      </c>
      <c r="B41" s="273" t="s">
        <v>366</v>
      </c>
      <c r="C41" s="289" t="s">
        <v>110</v>
      </c>
      <c r="D41" s="290" t="s">
        <v>162</v>
      </c>
      <c r="E41" s="291">
        <v>44986</v>
      </c>
      <c r="F41" s="240" t="s">
        <v>557</v>
      </c>
      <c r="G41" s="240"/>
      <c r="H41" s="241" t="s">
        <v>34</v>
      </c>
      <c r="I41" s="242"/>
      <c r="J41" s="245" t="s">
        <v>677</v>
      </c>
      <c r="K41" s="245"/>
      <c r="L41" s="309"/>
      <c r="M41" s="241" t="s">
        <v>34</v>
      </c>
      <c r="N41" s="246"/>
      <c r="O41" s="355" t="s">
        <v>731</v>
      </c>
      <c r="P41" s="355"/>
      <c r="Q41" s="356"/>
      <c r="R41" s="241" t="s">
        <v>34</v>
      </c>
      <c r="S41" s="246"/>
      <c r="T41" s="265" t="s">
        <v>874</v>
      </c>
      <c r="U41" s="339"/>
      <c r="V41" s="340" t="s">
        <v>25</v>
      </c>
      <c r="W41" s="255"/>
      <c r="X41" s="247">
        <v>4</v>
      </c>
      <c r="Y41" s="275" t="s">
        <v>315</v>
      </c>
      <c r="Z41" s="275" t="s">
        <v>295</v>
      </c>
      <c r="AA41" s="275" t="s">
        <v>12</v>
      </c>
      <c r="AB41" s="275" t="s">
        <v>763</v>
      </c>
      <c r="AC41" s="273" t="s">
        <v>462</v>
      </c>
      <c r="AD41" s="287" t="s">
        <v>288</v>
      </c>
      <c r="AE41" s="244">
        <v>38</v>
      </c>
    </row>
    <row r="42" spans="1:31" ht="73.2" customHeight="1" thickBot="1">
      <c r="A42" s="275" t="s">
        <v>539</v>
      </c>
      <c r="B42" s="273" t="s">
        <v>367</v>
      </c>
      <c r="C42" s="289" t="s">
        <v>110</v>
      </c>
      <c r="D42" s="290" t="s">
        <v>163</v>
      </c>
      <c r="E42" s="291">
        <v>44774</v>
      </c>
      <c r="F42" s="296"/>
      <c r="G42" s="240"/>
      <c r="H42" s="241" t="s">
        <v>38</v>
      </c>
      <c r="I42" s="242"/>
      <c r="J42" s="245" t="s">
        <v>674</v>
      </c>
      <c r="K42" s="245"/>
      <c r="L42" s="309"/>
      <c r="M42" s="241" t="s">
        <v>25</v>
      </c>
      <c r="N42" s="246"/>
      <c r="O42" s="355"/>
      <c r="P42" s="355"/>
      <c r="Q42" s="356"/>
      <c r="R42" s="241" t="s">
        <v>25</v>
      </c>
      <c r="S42" s="246"/>
      <c r="T42" s="265" t="s">
        <v>875</v>
      </c>
      <c r="U42" s="339"/>
      <c r="V42" s="340" t="s">
        <v>25</v>
      </c>
      <c r="W42" s="255"/>
      <c r="X42" s="247">
        <v>2</v>
      </c>
      <c r="Y42" s="275" t="s">
        <v>315</v>
      </c>
      <c r="Z42" s="275" t="s">
        <v>295</v>
      </c>
      <c r="AA42" s="275" t="s">
        <v>12</v>
      </c>
      <c r="AB42" s="275" t="s">
        <v>763</v>
      </c>
      <c r="AC42" s="273" t="s">
        <v>462</v>
      </c>
      <c r="AD42" s="287" t="s">
        <v>288</v>
      </c>
      <c r="AE42" s="244">
        <v>39</v>
      </c>
    </row>
    <row r="43" spans="1:31" ht="73.2" customHeight="1" thickBot="1">
      <c r="A43" s="275" t="s">
        <v>323</v>
      </c>
      <c r="B43" s="273" t="s">
        <v>429</v>
      </c>
      <c r="C43" s="289" t="s">
        <v>102</v>
      </c>
      <c r="D43" s="290" t="s">
        <v>244</v>
      </c>
      <c r="E43" s="291">
        <v>44958</v>
      </c>
      <c r="F43" s="240" t="s">
        <v>498</v>
      </c>
      <c r="G43" s="240"/>
      <c r="H43" s="241" t="s">
        <v>38</v>
      </c>
      <c r="I43" s="242"/>
      <c r="J43" s="231" t="s">
        <v>597</v>
      </c>
      <c r="K43" s="231"/>
      <c r="L43" s="230"/>
      <c r="M43" s="241" t="s">
        <v>34</v>
      </c>
      <c r="N43" s="242"/>
      <c r="O43" s="355" t="s">
        <v>705</v>
      </c>
      <c r="P43" s="355"/>
      <c r="Q43" s="356"/>
      <c r="R43" s="241" t="s">
        <v>34</v>
      </c>
      <c r="S43" s="242"/>
      <c r="T43" s="266" t="s">
        <v>856</v>
      </c>
      <c r="U43" s="267"/>
      <c r="V43" s="340" t="s">
        <v>25</v>
      </c>
      <c r="W43" s="254"/>
      <c r="X43" s="247">
        <v>4</v>
      </c>
      <c r="Y43" s="275" t="s">
        <v>304</v>
      </c>
      <c r="Z43" s="275" t="s">
        <v>307</v>
      </c>
      <c r="AA43" s="275" t="s">
        <v>13</v>
      </c>
      <c r="AB43" s="273" t="s">
        <v>764</v>
      </c>
      <c r="AC43" s="273" t="s">
        <v>458</v>
      </c>
      <c r="AD43" s="287" t="s">
        <v>116</v>
      </c>
      <c r="AE43" s="244">
        <v>101</v>
      </c>
    </row>
    <row r="44" spans="1:31" ht="106.8" customHeight="1" thickBot="1">
      <c r="A44" s="275" t="s">
        <v>323</v>
      </c>
      <c r="B44" s="273" t="s">
        <v>430</v>
      </c>
      <c r="C44" s="289" t="s">
        <v>2</v>
      </c>
      <c r="D44" s="290" t="s">
        <v>94</v>
      </c>
      <c r="E44" s="291" t="s">
        <v>284</v>
      </c>
      <c r="F44" s="240" t="s">
        <v>497</v>
      </c>
      <c r="G44" s="240"/>
      <c r="H44" s="241" t="s">
        <v>34</v>
      </c>
      <c r="I44" s="242"/>
      <c r="J44" s="231" t="s">
        <v>598</v>
      </c>
      <c r="K44" s="230"/>
      <c r="L44" s="230"/>
      <c r="M44" s="241" t="s">
        <v>34</v>
      </c>
      <c r="N44" s="242"/>
      <c r="O44" s="355" t="s">
        <v>703</v>
      </c>
      <c r="P44" s="355"/>
      <c r="Q44" s="356"/>
      <c r="R44" s="241" t="s">
        <v>29</v>
      </c>
      <c r="S44" s="242" t="s">
        <v>704</v>
      </c>
      <c r="T44" s="334" t="s">
        <v>857</v>
      </c>
      <c r="U44" s="267"/>
      <c r="V44" s="340" t="s">
        <v>29</v>
      </c>
      <c r="W44" s="254"/>
      <c r="X44" s="247"/>
      <c r="Y44" s="275" t="s">
        <v>304</v>
      </c>
      <c r="Z44" s="275" t="s">
        <v>307</v>
      </c>
      <c r="AA44" s="275" t="s">
        <v>13</v>
      </c>
      <c r="AB44" s="273" t="s">
        <v>764</v>
      </c>
      <c r="AC44" s="273" t="s">
        <v>458</v>
      </c>
      <c r="AD44" s="287" t="s">
        <v>116</v>
      </c>
      <c r="AE44" s="244">
        <v>102</v>
      </c>
    </row>
    <row r="45" spans="1:31" ht="73.2" customHeight="1" thickBot="1">
      <c r="A45" s="275" t="s">
        <v>323</v>
      </c>
      <c r="B45" s="273" t="s">
        <v>431</v>
      </c>
      <c r="C45" s="289" t="s">
        <v>245</v>
      </c>
      <c r="D45" s="290" t="s">
        <v>246</v>
      </c>
      <c r="E45" s="291">
        <v>44958</v>
      </c>
      <c r="F45" s="240"/>
      <c r="G45" s="240"/>
      <c r="H45" s="241" t="s">
        <v>38</v>
      </c>
      <c r="I45" s="242"/>
      <c r="J45" s="231"/>
      <c r="K45" s="230"/>
      <c r="L45" s="230"/>
      <c r="M45" s="241" t="s">
        <v>38</v>
      </c>
      <c r="N45" s="242"/>
      <c r="O45" s="355" t="s">
        <v>706</v>
      </c>
      <c r="P45" s="355"/>
      <c r="Q45" s="356"/>
      <c r="R45" s="241" t="s">
        <v>34</v>
      </c>
      <c r="S45" s="242"/>
      <c r="T45" s="266" t="s">
        <v>856</v>
      </c>
      <c r="U45" s="267"/>
      <c r="V45" s="340" t="s">
        <v>25</v>
      </c>
      <c r="W45" s="254"/>
      <c r="X45" s="247">
        <v>4</v>
      </c>
      <c r="Y45" s="275" t="s">
        <v>304</v>
      </c>
      <c r="Z45" s="275" t="s">
        <v>307</v>
      </c>
      <c r="AA45" s="275" t="s">
        <v>13</v>
      </c>
      <c r="AB45" s="273" t="s">
        <v>764</v>
      </c>
      <c r="AC45" s="273" t="s">
        <v>458</v>
      </c>
      <c r="AD45" s="287" t="s">
        <v>116</v>
      </c>
      <c r="AE45" s="244">
        <v>103</v>
      </c>
    </row>
    <row r="46" spans="1:31" ht="101.7" customHeight="1" thickBot="1">
      <c r="A46" s="275" t="s">
        <v>316</v>
      </c>
      <c r="B46" s="273" t="s">
        <v>371</v>
      </c>
      <c r="C46" s="289" t="s">
        <v>168</v>
      </c>
      <c r="D46" s="290" t="s">
        <v>169</v>
      </c>
      <c r="E46" s="291">
        <v>44986</v>
      </c>
      <c r="F46" s="258" t="s">
        <v>559</v>
      </c>
      <c r="G46" s="297"/>
      <c r="H46" s="241" t="s">
        <v>34</v>
      </c>
      <c r="I46" s="242"/>
      <c r="J46" s="314" t="s">
        <v>607</v>
      </c>
      <c r="K46" s="230"/>
      <c r="L46" s="230"/>
      <c r="M46" s="241" t="s">
        <v>34</v>
      </c>
      <c r="N46" s="250"/>
      <c r="O46" s="355" t="s">
        <v>707</v>
      </c>
      <c r="P46" s="358"/>
      <c r="Q46" s="359"/>
      <c r="R46" s="241" t="s">
        <v>34</v>
      </c>
      <c r="S46" s="242"/>
      <c r="T46" s="344" t="s">
        <v>876</v>
      </c>
      <c r="U46" s="345"/>
      <c r="V46" s="340" t="s">
        <v>25</v>
      </c>
      <c r="W46" s="342"/>
      <c r="X46" s="247">
        <v>4</v>
      </c>
      <c r="Y46" s="275" t="s">
        <v>326</v>
      </c>
      <c r="Z46" s="275" t="s">
        <v>296</v>
      </c>
      <c r="AA46" s="275" t="s">
        <v>325</v>
      </c>
      <c r="AB46" s="275" t="s">
        <v>459</v>
      </c>
      <c r="AC46" s="273" t="s">
        <v>459</v>
      </c>
      <c r="AD46" s="287" t="s">
        <v>114</v>
      </c>
      <c r="AE46" s="244">
        <v>43</v>
      </c>
    </row>
    <row r="47" spans="1:31" ht="73.2" customHeight="1" thickBot="1">
      <c r="A47" s="275" t="s">
        <v>316</v>
      </c>
      <c r="B47" s="273" t="s">
        <v>372</v>
      </c>
      <c r="C47" s="289" t="s">
        <v>170</v>
      </c>
      <c r="D47" s="290" t="s">
        <v>171</v>
      </c>
      <c r="E47" s="291">
        <v>44986</v>
      </c>
      <c r="F47" s="240" t="s">
        <v>560</v>
      </c>
      <c r="G47" s="240"/>
      <c r="H47" s="241" t="s">
        <v>34</v>
      </c>
      <c r="I47" s="242"/>
      <c r="J47" s="260" t="s">
        <v>608</v>
      </c>
      <c r="K47" s="259"/>
      <c r="L47" s="259"/>
      <c r="M47" s="241" t="s">
        <v>34</v>
      </c>
      <c r="N47" s="242"/>
      <c r="O47" s="260" t="s">
        <v>708</v>
      </c>
      <c r="P47" s="261"/>
      <c r="Q47" s="259"/>
      <c r="R47" s="241" t="s">
        <v>34</v>
      </c>
      <c r="S47" s="242"/>
      <c r="T47" s="364" t="s">
        <v>879</v>
      </c>
      <c r="U47" s="347"/>
      <c r="V47" s="340" t="s">
        <v>25</v>
      </c>
      <c r="W47" s="342"/>
      <c r="X47" s="247">
        <v>4</v>
      </c>
      <c r="Y47" s="275" t="s">
        <v>326</v>
      </c>
      <c r="Z47" s="275" t="s">
        <v>296</v>
      </c>
      <c r="AA47" s="275" t="s">
        <v>325</v>
      </c>
      <c r="AB47" s="275" t="s">
        <v>459</v>
      </c>
      <c r="AC47" s="273" t="s">
        <v>459</v>
      </c>
      <c r="AD47" s="287" t="s">
        <v>114</v>
      </c>
      <c r="AE47" s="244">
        <v>44</v>
      </c>
    </row>
    <row r="48" spans="1:31" ht="73.2" customHeight="1" thickBot="1">
      <c r="A48" s="275" t="s">
        <v>316</v>
      </c>
      <c r="B48" s="273" t="s">
        <v>373</v>
      </c>
      <c r="C48" s="289" t="s">
        <v>172</v>
      </c>
      <c r="D48" s="290" t="s">
        <v>173</v>
      </c>
      <c r="E48" s="291">
        <v>44986</v>
      </c>
      <c r="F48" s="240" t="s">
        <v>488</v>
      </c>
      <c r="G48" s="240"/>
      <c r="H48" s="241" t="s">
        <v>34</v>
      </c>
      <c r="I48" s="242"/>
      <c r="J48" s="260" t="s">
        <v>609</v>
      </c>
      <c r="K48" s="259"/>
      <c r="L48" s="259"/>
      <c r="M48" s="241" t="s">
        <v>34</v>
      </c>
      <c r="N48" s="242"/>
      <c r="O48" s="260" t="s">
        <v>709</v>
      </c>
      <c r="P48" s="261"/>
      <c r="Q48" s="259"/>
      <c r="R48" s="241" t="s">
        <v>34</v>
      </c>
      <c r="S48" s="242"/>
      <c r="T48" s="364" t="s">
        <v>880</v>
      </c>
      <c r="U48" s="347"/>
      <c r="V48" s="340" t="s">
        <v>25</v>
      </c>
      <c r="W48" s="342"/>
      <c r="X48" s="247">
        <v>4</v>
      </c>
      <c r="Y48" s="275" t="s">
        <v>326</v>
      </c>
      <c r="Z48" s="275" t="s">
        <v>296</v>
      </c>
      <c r="AA48" s="275" t="s">
        <v>325</v>
      </c>
      <c r="AB48" s="275" t="s">
        <v>459</v>
      </c>
      <c r="AC48" s="273" t="s">
        <v>459</v>
      </c>
      <c r="AD48" s="287" t="s">
        <v>114</v>
      </c>
      <c r="AE48" s="244">
        <v>45</v>
      </c>
    </row>
    <row r="49" spans="1:31" ht="73.2" customHeight="1" thickBot="1">
      <c r="A49" s="275" t="s">
        <v>316</v>
      </c>
      <c r="B49" s="273" t="s">
        <v>374</v>
      </c>
      <c r="C49" s="289" t="s">
        <v>172</v>
      </c>
      <c r="D49" s="290" t="s">
        <v>174</v>
      </c>
      <c r="E49" s="291">
        <v>44986</v>
      </c>
      <c r="F49" s="240" t="s">
        <v>489</v>
      </c>
      <c r="G49" s="240"/>
      <c r="H49" s="241" t="s">
        <v>34</v>
      </c>
      <c r="I49" s="242"/>
      <c r="J49" s="260" t="s">
        <v>610</v>
      </c>
      <c r="K49" s="261"/>
      <c r="L49" s="259"/>
      <c r="M49" s="241" t="s">
        <v>25</v>
      </c>
      <c r="N49" s="242"/>
      <c r="O49" s="360" t="s">
        <v>610</v>
      </c>
      <c r="P49" s="261"/>
      <c r="Q49" s="259"/>
      <c r="R49" s="241" t="s">
        <v>25</v>
      </c>
      <c r="S49" s="246"/>
      <c r="T49" s="346" t="s">
        <v>812</v>
      </c>
      <c r="U49" s="347"/>
      <c r="V49" s="340" t="s">
        <v>25</v>
      </c>
      <c r="W49" s="255" t="s">
        <v>813</v>
      </c>
      <c r="X49" s="247">
        <v>4</v>
      </c>
      <c r="Y49" s="275" t="s">
        <v>326</v>
      </c>
      <c r="Z49" s="275" t="s">
        <v>296</v>
      </c>
      <c r="AA49" s="275" t="s">
        <v>325</v>
      </c>
      <c r="AB49" s="275" t="s">
        <v>460</v>
      </c>
      <c r="AC49" s="273" t="s">
        <v>460</v>
      </c>
      <c r="AD49" s="287" t="s">
        <v>114</v>
      </c>
      <c r="AE49" s="244">
        <v>46</v>
      </c>
    </row>
    <row r="50" spans="1:31" ht="73.2" customHeight="1" thickBot="1">
      <c r="A50" s="275" t="s">
        <v>316</v>
      </c>
      <c r="B50" s="273" t="s">
        <v>376</v>
      </c>
      <c r="C50" s="289" t="s">
        <v>176</v>
      </c>
      <c r="D50" s="290" t="s">
        <v>177</v>
      </c>
      <c r="E50" s="291">
        <v>44866</v>
      </c>
      <c r="F50" s="240" t="s">
        <v>490</v>
      </c>
      <c r="G50" s="240"/>
      <c r="H50" s="241" t="s">
        <v>34</v>
      </c>
      <c r="I50" s="242"/>
      <c r="J50" s="316" t="s">
        <v>611</v>
      </c>
      <c r="K50" s="317"/>
      <c r="L50" s="317"/>
      <c r="M50" s="241" t="s">
        <v>34</v>
      </c>
      <c r="N50" s="242"/>
      <c r="O50" s="355" t="s">
        <v>710</v>
      </c>
      <c r="P50" s="355"/>
      <c r="Q50" s="356"/>
      <c r="R50" s="241" t="s">
        <v>34</v>
      </c>
      <c r="S50" s="242"/>
      <c r="T50" s="348"/>
      <c r="U50" s="349"/>
      <c r="V50" s="340" t="s">
        <v>25</v>
      </c>
      <c r="W50" s="254"/>
      <c r="X50" s="243">
        <v>3</v>
      </c>
      <c r="Y50" s="275" t="s">
        <v>326</v>
      </c>
      <c r="Z50" s="275" t="s">
        <v>296</v>
      </c>
      <c r="AA50" s="275" t="s">
        <v>325</v>
      </c>
      <c r="AB50" s="275" t="s">
        <v>459</v>
      </c>
      <c r="AC50" s="273" t="s">
        <v>459</v>
      </c>
      <c r="AD50" s="287" t="s">
        <v>114</v>
      </c>
      <c r="AE50" s="244">
        <v>48</v>
      </c>
    </row>
    <row r="51" spans="1:31" ht="73.2" customHeight="1" thickBot="1">
      <c r="A51" s="275" t="s">
        <v>316</v>
      </c>
      <c r="B51" s="273" t="s">
        <v>433</v>
      </c>
      <c r="C51" s="289" t="s">
        <v>249</v>
      </c>
      <c r="D51" s="290" t="s">
        <v>250</v>
      </c>
      <c r="E51" s="291">
        <v>44986</v>
      </c>
      <c r="F51" s="240" t="s">
        <v>491</v>
      </c>
      <c r="G51" s="240"/>
      <c r="H51" s="241" t="s">
        <v>34</v>
      </c>
      <c r="I51" s="242"/>
      <c r="J51" s="231">
        <f>$N$107</f>
        <v>0</v>
      </c>
      <c r="K51" s="231"/>
      <c r="L51" s="230"/>
      <c r="M51" s="241" t="s">
        <v>34</v>
      </c>
      <c r="N51" s="242" t="s">
        <v>599</v>
      </c>
      <c r="O51" s="355" t="s">
        <v>711</v>
      </c>
      <c r="P51" s="355"/>
      <c r="Q51" s="356"/>
      <c r="R51" s="241" t="s">
        <v>34</v>
      </c>
      <c r="S51" s="242"/>
      <c r="T51" s="266"/>
      <c r="U51" s="267"/>
      <c r="V51" s="340" t="s">
        <v>25</v>
      </c>
      <c r="W51" s="254"/>
      <c r="X51" s="247">
        <v>4</v>
      </c>
      <c r="Y51" s="275" t="s">
        <v>326</v>
      </c>
      <c r="Z51" s="275" t="s">
        <v>296</v>
      </c>
      <c r="AA51" s="275" t="s">
        <v>13</v>
      </c>
      <c r="AB51" s="275" t="s">
        <v>459</v>
      </c>
      <c r="AC51" s="273" t="s">
        <v>459</v>
      </c>
      <c r="AD51" s="287" t="s">
        <v>114</v>
      </c>
      <c r="AE51" s="244">
        <v>105</v>
      </c>
    </row>
    <row r="52" spans="1:31" ht="100.95" customHeight="1" thickBot="1">
      <c r="A52" s="275" t="s">
        <v>316</v>
      </c>
      <c r="B52" s="273" t="s">
        <v>434</v>
      </c>
      <c r="C52" s="289" t="s">
        <v>249</v>
      </c>
      <c r="D52" s="290" t="s">
        <v>251</v>
      </c>
      <c r="E52" s="291">
        <v>44896</v>
      </c>
      <c r="F52" s="240" t="s">
        <v>574</v>
      </c>
      <c r="G52" s="240"/>
      <c r="H52" s="241" t="s">
        <v>34</v>
      </c>
      <c r="I52" s="242"/>
      <c r="J52" s="231">
        <f>$N$108</f>
        <v>0</v>
      </c>
      <c r="K52" s="231"/>
      <c r="L52" s="230"/>
      <c r="M52" s="241" t="s">
        <v>34</v>
      </c>
      <c r="N52" s="242" t="s">
        <v>600</v>
      </c>
      <c r="O52" s="355" t="s">
        <v>712</v>
      </c>
      <c r="P52" s="355"/>
      <c r="Q52" s="356"/>
      <c r="R52" s="241" t="s">
        <v>34</v>
      </c>
      <c r="S52" s="242"/>
      <c r="T52" s="266"/>
      <c r="U52" s="267"/>
      <c r="V52" s="340" t="s">
        <v>25</v>
      </c>
      <c r="W52" s="254"/>
      <c r="X52" s="247">
        <v>3</v>
      </c>
      <c r="Y52" s="275" t="s">
        <v>326</v>
      </c>
      <c r="Z52" s="275" t="s">
        <v>296</v>
      </c>
      <c r="AA52" s="275" t="s">
        <v>13</v>
      </c>
      <c r="AB52" s="275" t="s">
        <v>459</v>
      </c>
      <c r="AC52" s="273" t="s">
        <v>459</v>
      </c>
      <c r="AD52" s="287" t="s">
        <v>114</v>
      </c>
      <c r="AE52" s="244">
        <v>106</v>
      </c>
    </row>
    <row r="53" spans="1:31" ht="76.95" customHeight="1" thickBot="1">
      <c r="A53" s="275" t="s">
        <v>311</v>
      </c>
      <c r="B53" s="273" t="s">
        <v>333</v>
      </c>
      <c r="C53" s="289" t="s">
        <v>124</v>
      </c>
      <c r="D53" s="290" t="s">
        <v>125</v>
      </c>
      <c r="E53" s="291">
        <v>44958</v>
      </c>
      <c r="F53" s="292"/>
      <c r="G53" s="240"/>
      <c r="H53" s="241" t="s">
        <v>38</v>
      </c>
      <c r="I53" s="293"/>
      <c r="J53" s="231"/>
      <c r="K53" s="231"/>
      <c r="L53" s="230"/>
      <c r="M53" s="241" t="s">
        <v>38</v>
      </c>
      <c r="N53" s="242"/>
      <c r="O53" s="355"/>
      <c r="P53" s="355"/>
      <c r="Q53" s="356"/>
      <c r="R53" s="241" t="s">
        <v>38</v>
      </c>
      <c r="S53" s="242" t="s">
        <v>791</v>
      </c>
      <c r="T53" s="266" t="s">
        <v>828</v>
      </c>
      <c r="U53" s="267"/>
      <c r="V53" s="340" t="s">
        <v>25</v>
      </c>
      <c r="W53" s="254"/>
      <c r="X53" s="243">
        <v>4</v>
      </c>
      <c r="Y53" s="275" t="s">
        <v>326</v>
      </c>
      <c r="Z53" s="275" t="s">
        <v>291</v>
      </c>
      <c r="AA53" s="275" t="s">
        <v>12</v>
      </c>
      <c r="AB53" s="275" t="s">
        <v>459</v>
      </c>
      <c r="AC53" s="273" t="s">
        <v>459</v>
      </c>
      <c r="AD53" s="287" t="s">
        <v>114</v>
      </c>
      <c r="AE53" s="244">
        <v>5</v>
      </c>
    </row>
    <row r="54" spans="1:31" ht="73.2" customHeight="1" thickBot="1">
      <c r="A54" s="275" t="s">
        <v>311</v>
      </c>
      <c r="B54" s="273" t="s">
        <v>335</v>
      </c>
      <c r="C54" s="289" t="s">
        <v>124</v>
      </c>
      <c r="D54" s="290" t="s">
        <v>128</v>
      </c>
      <c r="E54" s="291">
        <v>44743</v>
      </c>
      <c r="F54" s="240" t="s">
        <v>579</v>
      </c>
      <c r="G54" s="240"/>
      <c r="H54" s="241" t="s">
        <v>34</v>
      </c>
      <c r="I54" s="242"/>
      <c r="J54" s="231" t="s">
        <v>659</v>
      </c>
      <c r="K54" s="231"/>
      <c r="L54" s="230"/>
      <c r="M54" s="241" t="s">
        <v>25</v>
      </c>
      <c r="N54" s="242"/>
      <c r="O54" s="355"/>
      <c r="P54" s="355"/>
      <c r="Q54" s="356"/>
      <c r="R54" s="241" t="s">
        <v>25</v>
      </c>
      <c r="S54" s="242"/>
      <c r="T54" s="266"/>
      <c r="U54" s="267"/>
      <c r="V54" s="340" t="s">
        <v>25</v>
      </c>
      <c r="W54" s="254"/>
      <c r="X54" s="243">
        <v>2</v>
      </c>
      <c r="Y54" s="275" t="s">
        <v>326</v>
      </c>
      <c r="Z54" s="275" t="s">
        <v>291</v>
      </c>
      <c r="AA54" s="275" t="s">
        <v>12</v>
      </c>
      <c r="AB54" s="275" t="s">
        <v>459</v>
      </c>
      <c r="AC54" s="273" t="s">
        <v>459</v>
      </c>
      <c r="AD54" s="287" t="s">
        <v>114</v>
      </c>
      <c r="AE54" s="244">
        <v>7</v>
      </c>
    </row>
    <row r="55" spans="1:31" ht="73.2" customHeight="1" thickBot="1">
      <c r="A55" s="275" t="s">
        <v>311</v>
      </c>
      <c r="B55" s="273" t="s">
        <v>336</v>
      </c>
      <c r="C55" s="289" t="s">
        <v>124</v>
      </c>
      <c r="D55" s="290" t="s">
        <v>129</v>
      </c>
      <c r="E55" s="291">
        <v>44805</v>
      </c>
      <c r="F55" s="240" t="s">
        <v>517</v>
      </c>
      <c r="G55" s="240"/>
      <c r="H55" s="241" t="s">
        <v>38</v>
      </c>
      <c r="I55" s="293"/>
      <c r="J55" s="312" t="s">
        <v>660</v>
      </c>
      <c r="K55" s="231"/>
      <c r="L55" s="230"/>
      <c r="M55" s="241" t="s">
        <v>25</v>
      </c>
      <c r="N55" s="242"/>
      <c r="O55" s="245"/>
      <c r="P55" s="355"/>
      <c r="Q55" s="356"/>
      <c r="R55" s="241" t="s">
        <v>25</v>
      </c>
      <c r="S55" s="242"/>
      <c r="T55" s="266"/>
      <c r="U55" s="267"/>
      <c r="V55" s="340" t="s">
        <v>25</v>
      </c>
      <c r="W55" s="254"/>
      <c r="X55" s="243">
        <v>2</v>
      </c>
      <c r="Y55" s="275" t="s">
        <v>326</v>
      </c>
      <c r="Z55" s="275" t="s">
        <v>291</v>
      </c>
      <c r="AA55" s="275" t="s">
        <v>12</v>
      </c>
      <c r="AB55" s="275" t="s">
        <v>459</v>
      </c>
      <c r="AC55" s="273" t="s">
        <v>459</v>
      </c>
      <c r="AD55" s="287" t="s">
        <v>114</v>
      </c>
      <c r="AE55" s="244">
        <v>8</v>
      </c>
    </row>
    <row r="56" spans="1:31" ht="103.95" customHeight="1" thickBot="1">
      <c r="A56" s="275" t="s">
        <v>311</v>
      </c>
      <c r="B56" s="273" t="s">
        <v>339</v>
      </c>
      <c r="C56" s="289" t="s">
        <v>103</v>
      </c>
      <c r="D56" s="290" t="s">
        <v>131</v>
      </c>
      <c r="E56" s="291">
        <v>44866</v>
      </c>
      <c r="F56" s="240"/>
      <c r="G56" s="240"/>
      <c r="H56" s="241" t="s">
        <v>38</v>
      </c>
      <c r="I56" s="242"/>
      <c r="J56" s="309" t="s">
        <v>661</v>
      </c>
      <c r="K56" s="245"/>
      <c r="L56" s="309"/>
      <c r="M56" s="241" t="s">
        <v>34</v>
      </c>
      <c r="N56" s="246"/>
      <c r="O56" s="355" t="s">
        <v>792</v>
      </c>
      <c r="P56" s="355"/>
      <c r="Q56" s="356"/>
      <c r="R56" s="241" t="s">
        <v>25</v>
      </c>
      <c r="S56" s="246"/>
      <c r="T56" s="265"/>
      <c r="U56" s="339"/>
      <c r="V56" s="340" t="s">
        <v>25</v>
      </c>
      <c r="W56" s="255"/>
      <c r="X56" s="247">
        <v>3</v>
      </c>
      <c r="Y56" s="275" t="s">
        <v>326</v>
      </c>
      <c r="Z56" s="275" t="s">
        <v>291</v>
      </c>
      <c r="AA56" s="275" t="s">
        <v>12</v>
      </c>
      <c r="AB56" s="275" t="s">
        <v>460</v>
      </c>
      <c r="AC56" s="273" t="s">
        <v>460</v>
      </c>
      <c r="AD56" s="287" t="s">
        <v>287</v>
      </c>
      <c r="AE56" s="244">
        <v>11</v>
      </c>
    </row>
    <row r="57" spans="1:31" ht="73.2" customHeight="1" thickBot="1">
      <c r="A57" s="275" t="s">
        <v>311</v>
      </c>
      <c r="B57" s="273" t="s">
        <v>341</v>
      </c>
      <c r="C57" s="289" t="s">
        <v>103</v>
      </c>
      <c r="D57" s="290" t="s">
        <v>133</v>
      </c>
      <c r="E57" s="291">
        <v>44986</v>
      </c>
      <c r="F57" s="240"/>
      <c r="G57" s="240"/>
      <c r="H57" s="241" t="s">
        <v>38</v>
      </c>
      <c r="I57" s="242"/>
      <c r="J57" s="245"/>
      <c r="K57" s="245"/>
      <c r="L57" s="309"/>
      <c r="M57" s="241" t="s">
        <v>38</v>
      </c>
      <c r="N57" s="246"/>
      <c r="O57" s="245"/>
      <c r="P57" s="355"/>
      <c r="Q57" s="356"/>
      <c r="R57" s="241" t="s">
        <v>38</v>
      </c>
      <c r="S57" s="246"/>
      <c r="T57" s="265" t="s">
        <v>860</v>
      </c>
      <c r="U57" s="339"/>
      <c r="V57" s="340" t="s">
        <v>25</v>
      </c>
      <c r="W57" s="255"/>
      <c r="X57" s="247">
        <v>4</v>
      </c>
      <c r="Y57" s="275" t="s">
        <v>326</v>
      </c>
      <c r="Z57" s="275" t="s">
        <v>291</v>
      </c>
      <c r="AA57" s="275" t="s">
        <v>12</v>
      </c>
      <c r="AB57" s="275" t="s">
        <v>460</v>
      </c>
      <c r="AC57" s="273" t="s">
        <v>460</v>
      </c>
      <c r="AD57" s="287" t="s">
        <v>287</v>
      </c>
      <c r="AE57" s="244">
        <v>13</v>
      </c>
    </row>
    <row r="58" spans="1:31" ht="88.95" customHeight="1" thickBot="1">
      <c r="A58" s="275" t="s">
        <v>311</v>
      </c>
      <c r="B58" s="273" t="s">
        <v>342</v>
      </c>
      <c r="C58" s="289" t="s">
        <v>103</v>
      </c>
      <c r="D58" s="290" t="s">
        <v>134</v>
      </c>
      <c r="E58" s="291">
        <v>44805</v>
      </c>
      <c r="F58" s="240" t="s">
        <v>582</v>
      </c>
      <c r="G58" s="240"/>
      <c r="H58" s="241" t="s">
        <v>25</v>
      </c>
      <c r="I58" s="242"/>
      <c r="J58" s="316"/>
      <c r="K58" s="231"/>
      <c r="L58" s="230"/>
      <c r="M58" s="241" t="s">
        <v>25</v>
      </c>
      <c r="N58" s="246"/>
      <c r="O58" s="355"/>
      <c r="P58" s="355"/>
      <c r="Q58" s="356"/>
      <c r="R58" s="241" t="s">
        <v>25</v>
      </c>
      <c r="S58" s="246"/>
      <c r="T58" s="265"/>
      <c r="U58" s="339"/>
      <c r="V58" s="340" t="s">
        <v>25</v>
      </c>
      <c r="W58" s="255"/>
      <c r="X58" s="247">
        <v>2</v>
      </c>
      <c r="Y58" s="275" t="s">
        <v>326</v>
      </c>
      <c r="Z58" s="275" t="s">
        <v>291</v>
      </c>
      <c r="AA58" s="275" t="s">
        <v>12</v>
      </c>
      <c r="AB58" s="275" t="s">
        <v>460</v>
      </c>
      <c r="AC58" s="273" t="s">
        <v>460</v>
      </c>
      <c r="AD58" s="287" t="s">
        <v>287</v>
      </c>
      <c r="AE58" s="244">
        <v>14</v>
      </c>
    </row>
    <row r="59" spans="1:31" ht="73.2" customHeight="1" thickBot="1">
      <c r="A59" s="275" t="s">
        <v>311</v>
      </c>
      <c r="B59" s="273" t="s">
        <v>343</v>
      </c>
      <c r="C59" s="289" t="s">
        <v>135</v>
      </c>
      <c r="D59" s="290" t="s">
        <v>136</v>
      </c>
      <c r="E59" s="291">
        <v>44743</v>
      </c>
      <c r="F59" s="240" t="s">
        <v>552</v>
      </c>
      <c r="G59" s="240"/>
      <c r="H59" s="241" t="s">
        <v>34</v>
      </c>
      <c r="I59" s="242"/>
      <c r="J59" s="245" t="s">
        <v>662</v>
      </c>
      <c r="K59" s="245"/>
      <c r="L59" s="309"/>
      <c r="M59" s="241" t="s">
        <v>25</v>
      </c>
      <c r="N59" s="246"/>
      <c r="O59" s="355"/>
      <c r="P59" s="355"/>
      <c r="Q59" s="356"/>
      <c r="R59" s="241" t="s">
        <v>25</v>
      </c>
      <c r="S59" s="246"/>
      <c r="T59" s="268"/>
      <c r="U59" s="339"/>
      <c r="V59" s="340" t="s">
        <v>25</v>
      </c>
      <c r="W59" s="255"/>
      <c r="X59" s="249">
        <v>2</v>
      </c>
      <c r="Y59" s="275" t="s">
        <v>326</v>
      </c>
      <c r="Z59" s="275" t="s">
        <v>291</v>
      </c>
      <c r="AA59" s="275" t="s">
        <v>12</v>
      </c>
      <c r="AB59" s="273" t="s">
        <v>461</v>
      </c>
      <c r="AC59" s="273" t="s">
        <v>461</v>
      </c>
      <c r="AD59" s="287" t="s">
        <v>287</v>
      </c>
      <c r="AE59" s="244">
        <v>15</v>
      </c>
    </row>
    <row r="60" spans="1:31" ht="73.2" customHeight="1" thickBot="1">
      <c r="A60" s="275" t="s">
        <v>311</v>
      </c>
      <c r="B60" s="273" t="s">
        <v>344</v>
      </c>
      <c r="C60" s="289" t="s">
        <v>88</v>
      </c>
      <c r="D60" s="290" t="s">
        <v>137</v>
      </c>
      <c r="E60" s="291">
        <v>44774</v>
      </c>
      <c r="F60" s="240" t="s">
        <v>553</v>
      </c>
      <c r="G60" s="240"/>
      <c r="H60" s="241" t="s">
        <v>34</v>
      </c>
      <c r="I60" s="242"/>
      <c r="J60" s="245" t="s">
        <v>663</v>
      </c>
      <c r="K60" s="245"/>
      <c r="L60" s="309"/>
      <c r="M60" s="241" t="s">
        <v>25</v>
      </c>
      <c r="N60" s="246"/>
      <c r="O60" s="355"/>
      <c r="P60" s="355"/>
      <c r="Q60" s="356"/>
      <c r="R60" s="241" t="s">
        <v>25</v>
      </c>
      <c r="S60" s="246"/>
      <c r="T60" s="265"/>
      <c r="U60" s="339"/>
      <c r="V60" s="340" t="s">
        <v>25</v>
      </c>
      <c r="W60" s="255"/>
      <c r="X60" s="249">
        <v>2</v>
      </c>
      <c r="Y60" s="275" t="s">
        <v>326</v>
      </c>
      <c r="Z60" s="275" t="s">
        <v>291</v>
      </c>
      <c r="AA60" s="275" t="s">
        <v>12</v>
      </c>
      <c r="AB60" s="273" t="s">
        <v>461</v>
      </c>
      <c r="AC60" s="273" t="s">
        <v>461</v>
      </c>
      <c r="AD60" s="287" t="s">
        <v>287</v>
      </c>
      <c r="AE60" s="244">
        <v>16</v>
      </c>
    </row>
    <row r="61" spans="1:31" ht="73.2" customHeight="1" thickBot="1">
      <c r="A61" s="275" t="s">
        <v>311</v>
      </c>
      <c r="B61" s="273" t="s">
        <v>345</v>
      </c>
      <c r="C61" s="289" t="s">
        <v>138</v>
      </c>
      <c r="D61" s="290" t="s">
        <v>139</v>
      </c>
      <c r="E61" s="291">
        <v>44927</v>
      </c>
      <c r="F61" s="240"/>
      <c r="G61" s="240"/>
      <c r="H61" s="241" t="s">
        <v>38</v>
      </c>
      <c r="I61" s="242"/>
      <c r="J61" s="245"/>
      <c r="K61" s="245"/>
      <c r="L61" s="309"/>
      <c r="M61" s="241" t="s">
        <v>38</v>
      </c>
      <c r="N61" s="246"/>
      <c r="O61" s="355"/>
      <c r="P61" s="355"/>
      <c r="Q61" s="356"/>
      <c r="R61" s="241" t="s">
        <v>38</v>
      </c>
      <c r="S61" s="246"/>
      <c r="T61" s="265" t="s">
        <v>829</v>
      </c>
      <c r="U61" s="339"/>
      <c r="V61" s="340" t="s">
        <v>25</v>
      </c>
      <c r="W61" s="255"/>
      <c r="X61" s="247">
        <v>4</v>
      </c>
      <c r="Y61" s="275" t="s">
        <v>326</v>
      </c>
      <c r="Z61" s="275" t="s">
        <v>293</v>
      </c>
      <c r="AA61" s="275" t="s">
        <v>12</v>
      </c>
      <c r="AB61" s="275" t="s">
        <v>460</v>
      </c>
      <c r="AC61" s="273" t="s">
        <v>460</v>
      </c>
      <c r="AD61" s="287" t="s">
        <v>287</v>
      </c>
      <c r="AE61" s="244">
        <v>17</v>
      </c>
    </row>
    <row r="62" spans="1:31" ht="73.2" customHeight="1" thickBot="1">
      <c r="A62" s="275" t="s">
        <v>311</v>
      </c>
      <c r="B62" s="273" t="s">
        <v>346</v>
      </c>
      <c r="C62" s="289" t="s">
        <v>89</v>
      </c>
      <c r="D62" s="290" t="s">
        <v>140</v>
      </c>
      <c r="E62" s="291">
        <v>44986</v>
      </c>
      <c r="F62" s="240" t="s">
        <v>518</v>
      </c>
      <c r="G62" s="240"/>
      <c r="H62" s="241" t="s">
        <v>34</v>
      </c>
      <c r="I62" s="242" t="s">
        <v>519</v>
      </c>
      <c r="J62" s="245" t="s">
        <v>664</v>
      </c>
      <c r="K62" s="245"/>
      <c r="L62" s="309"/>
      <c r="M62" s="241" t="s">
        <v>34</v>
      </c>
      <c r="N62" s="318"/>
      <c r="O62" s="355" t="s">
        <v>793</v>
      </c>
      <c r="P62" s="355"/>
      <c r="Q62" s="356"/>
      <c r="R62" s="241" t="s">
        <v>25</v>
      </c>
      <c r="S62" s="246"/>
      <c r="T62" s="268"/>
      <c r="U62" s="339"/>
      <c r="V62" s="340" t="s">
        <v>25</v>
      </c>
      <c r="W62" s="255"/>
      <c r="X62" s="247">
        <v>4</v>
      </c>
      <c r="Y62" s="275" t="s">
        <v>326</v>
      </c>
      <c r="Z62" s="275" t="s">
        <v>293</v>
      </c>
      <c r="AA62" s="275" t="s">
        <v>12</v>
      </c>
      <c r="AB62" s="275" t="s">
        <v>460</v>
      </c>
      <c r="AC62" s="273" t="s">
        <v>460</v>
      </c>
      <c r="AD62" s="287" t="s">
        <v>287</v>
      </c>
      <c r="AE62" s="244">
        <v>18</v>
      </c>
    </row>
    <row r="63" spans="1:31" ht="73.2" customHeight="1" thickBot="1">
      <c r="A63" s="275" t="s">
        <v>311</v>
      </c>
      <c r="B63" s="273" t="s">
        <v>364</v>
      </c>
      <c r="C63" s="289" t="s">
        <v>110</v>
      </c>
      <c r="D63" s="290" t="s">
        <v>160</v>
      </c>
      <c r="E63" s="291">
        <v>44713</v>
      </c>
      <c r="F63" s="240" t="s">
        <v>593</v>
      </c>
      <c r="G63" s="240"/>
      <c r="H63" s="241" t="s">
        <v>25</v>
      </c>
      <c r="I63" s="298"/>
      <c r="J63" s="245"/>
      <c r="K63" s="245"/>
      <c r="L63" s="309"/>
      <c r="M63" s="241" t="s">
        <v>25</v>
      </c>
      <c r="N63" s="246"/>
      <c r="O63" s="355"/>
      <c r="P63" s="355"/>
      <c r="Q63" s="356"/>
      <c r="R63" s="241" t="s">
        <v>25</v>
      </c>
      <c r="S63" s="246"/>
      <c r="T63" s="265"/>
      <c r="U63" s="339"/>
      <c r="V63" s="340" t="s">
        <v>25</v>
      </c>
      <c r="W63" s="255"/>
      <c r="X63" s="247">
        <v>1</v>
      </c>
      <c r="Y63" s="275" t="s">
        <v>326</v>
      </c>
      <c r="Z63" s="275" t="s">
        <v>291</v>
      </c>
      <c r="AA63" s="275" t="s">
        <v>12</v>
      </c>
      <c r="AB63" s="275" t="s">
        <v>459</v>
      </c>
      <c r="AC63" s="273" t="s">
        <v>462</v>
      </c>
      <c r="AD63" s="287" t="s">
        <v>288</v>
      </c>
      <c r="AE63" s="244">
        <v>36</v>
      </c>
    </row>
    <row r="64" spans="1:31" ht="73.2" customHeight="1" thickBot="1">
      <c r="A64" s="275" t="s">
        <v>311</v>
      </c>
      <c r="B64" s="273" t="s">
        <v>375</v>
      </c>
      <c r="C64" s="289" t="s">
        <v>124</v>
      </c>
      <c r="D64" s="290" t="s">
        <v>175</v>
      </c>
      <c r="E64" s="291">
        <v>44743</v>
      </c>
      <c r="F64" s="240" t="s">
        <v>561</v>
      </c>
      <c r="G64" s="240"/>
      <c r="H64" s="241" t="s">
        <v>25</v>
      </c>
      <c r="I64" s="264"/>
      <c r="J64" s="231"/>
      <c r="K64" s="319"/>
      <c r="L64" s="317"/>
      <c r="M64" s="241" t="s">
        <v>25</v>
      </c>
      <c r="N64" s="242"/>
      <c r="O64" s="231"/>
      <c r="P64" s="355"/>
      <c r="Q64" s="356"/>
      <c r="R64" s="241" t="s">
        <v>25</v>
      </c>
      <c r="S64" s="242"/>
      <c r="T64" s="350"/>
      <c r="U64" s="349"/>
      <c r="V64" s="340" t="s">
        <v>25</v>
      </c>
      <c r="W64" s="254"/>
      <c r="X64" s="247">
        <v>2</v>
      </c>
      <c r="Y64" s="275" t="s">
        <v>326</v>
      </c>
      <c r="Z64" s="275" t="s">
        <v>291</v>
      </c>
      <c r="AA64" s="275" t="s">
        <v>325</v>
      </c>
      <c r="AB64" s="275" t="s">
        <v>459</v>
      </c>
      <c r="AC64" s="273" t="s">
        <v>459</v>
      </c>
      <c r="AD64" s="287" t="s">
        <v>114</v>
      </c>
      <c r="AE64" s="244">
        <v>47</v>
      </c>
    </row>
    <row r="65" spans="1:31" ht="73.2" customHeight="1" thickBot="1">
      <c r="A65" s="275" t="s">
        <v>311</v>
      </c>
      <c r="B65" s="273" t="s">
        <v>405</v>
      </c>
      <c r="C65" s="289" t="s">
        <v>212</v>
      </c>
      <c r="D65" s="290" t="s">
        <v>213</v>
      </c>
      <c r="E65" s="291">
        <v>44927</v>
      </c>
      <c r="F65" s="250"/>
      <c r="G65" s="240"/>
      <c r="H65" s="241" t="s">
        <v>38</v>
      </c>
      <c r="I65" s="242"/>
      <c r="J65" s="231"/>
      <c r="K65" s="245"/>
      <c r="L65" s="309"/>
      <c r="M65" s="241" t="s">
        <v>38</v>
      </c>
      <c r="N65" s="246"/>
      <c r="O65" s="355" t="s">
        <v>794</v>
      </c>
      <c r="P65" s="355"/>
      <c r="Q65" s="356"/>
      <c r="R65" s="241" t="s">
        <v>34</v>
      </c>
      <c r="S65" s="246"/>
      <c r="T65" s="265" t="s">
        <v>827</v>
      </c>
      <c r="U65" s="339"/>
      <c r="V65" s="340" t="s">
        <v>25</v>
      </c>
      <c r="W65" s="255"/>
      <c r="X65" s="247">
        <v>4</v>
      </c>
      <c r="Y65" s="275" t="s">
        <v>326</v>
      </c>
      <c r="Z65" s="275" t="s">
        <v>291</v>
      </c>
      <c r="AA65" s="275" t="s">
        <v>325</v>
      </c>
      <c r="AB65" s="275" t="s">
        <v>461</v>
      </c>
      <c r="AC65" s="273" t="s">
        <v>461</v>
      </c>
      <c r="AD65" s="287" t="s">
        <v>287</v>
      </c>
      <c r="AE65" s="244">
        <v>77</v>
      </c>
    </row>
    <row r="66" spans="1:31" ht="73.2" customHeight="1" thickBot="1">
      <c r="A66" s="275" t="s">
        <v>311</v>
      </c>
      <c r="B66" s="273" t="s">
        <v>406</v>
      </c>
      <c r="C66" s="289" t="s">
        <v>91</v>
      </c>
      <c r="D66" s="290" t="s">
        <v>214</v>
      </c>
      <c r="E66" s="291">
        <v>44835</v>
      </c>
      <c r="F66" s="250" t="s">
        <v>564</v>
      </c>
      <c r="G66" s="240"/>
      <c r="H66" s="241" t="s">
        <v>38</v>
      </c>
      <c r="I66" s="242"/>
      <c r="J66" s="231" t="s">
        <v>665</v>
      </c>
      <c r="K66" s="245"/>
      <c r="L66" s="309"/>
      <c r="M66" s="241" t="s">
        <v>25</v>
      </c>
      <c r="N66" s="246"/>
      <c r="O66" s="355"/>
      <c r="P66" s="355"/>
      <c r="Q66" s="356"/>
      <c r="R66" s="241" t="s">
        <v>25</v>
      </c>
      <c r="S66" s="246"/>
      <c r="T66" s="265"/>
      <c r="U66" s="339"/>
      <c r="V66" s="340" t="s">
        <v>25</v>
      </c>
      <c r="W66" s="255"/>
      <c r="X66" s="247">
        <v>3</v>
      </c>
      <c r="Y66" s="275" t="s">
        <v>326</v>
      </c>
      <c r="Z66" s="275" t="s">
        <v>291</v>
      </c>
      <c r="AA66" s="275" t="s">
        <v>325</v>
      </c>
      <c r="AB66" s="275" t="s">
        <v>461</v>
      </c>
      <c r="AC66" s="273" t="s">
        <v>461</v>
      </c>
      <c r="AD66" s="287" t="s">
        <v>287</v>
      </c>
      <c r="AE66" s="244">
        <v>78</v>
      </c>
    </row>
    <row r="67" spans="1:31" ht="73.2" customHeight="1" thickBot="1">
      <c r="A67" s="275" t="s">
        <v>311</v>
      </c>
      <c r="B67" s="273" t="s">
        <v>407</v>
      </c>
      <c r="C67" s="289" t="s">
        <v>91</v>
      </c>
      <c r="D67" s="290" t="s">
        <v>215</v>
      </c>
      <c r="E67" s="291">
        <v>44805</v>
      </c>
      <c r="F67" s="250" t="s">
        <v>565</v>
      </c>
      <c r="G67" s="240"/>
      <c r="H67" s="241" t="s">
        <v>38</v>
      </c>
      <c r="I67" s="242"/>
      <c r="J67" s="231" t="s">
        <v>669</v>
      </c>
      <c r="K67" s="245"/>
      <c r="L67" s="309"/>
      <c r="M67" s="241" t="s">
        <v>25</v>
      </c>
      <c r="N67" s="246"/>
      <c r="O67" s="355"/>
      <c r="P67" s="355"/>
      <c r="Q67" s="356"/>
      <c r="R67" s="241" t="s">
        <v>25</v>
      </c>
      <c r="S67" s="246"/>
      <c r="T67" s="268"/>
      <c r="U67" s="339"/>
      <c r="V67" s="340" t="s">
        <v>25</v>
      </c>
      <c r="W67" s="255"/>
      <c r="X67" s="247">
        <v>2</v>
      </c>
      <c r="Y67" s="275" t="s">
        <v>326</v>
      </c>
      <c r="Z67" s="275" t="s">
        <v>291</v>
      </c>
      <c r="AA67" s="275" t="s">
        <v>325</v>
      </c>
      <c r="AB67" s="275" t="s">
        <v>461</v>
      </c>
      <c r="AC67" s="273" t="s">
        <v>461</v>
      </c>
      <c r="AD67" s="287" t="s">
        <v>287</v>
      </c>
      <c r="AE67" s="244">
        <v>79</v>
      </c>
    </row>
    <row r="68" spans="1:31" ht="73.2" customHeight="1" thickBot="1">
      <c r="A68" s="275" t="s">
        <v>311</v>
      </c>
      <c r="B68" s="273" t="s">
        <v>408</v>
      </c>
      <c r="C68" s="289" t="s">
        <v>91</v>
      </c>
      <c r="D68" s="290" t="s">
        <v>216</v>
      </c>
      <c r="E68" s="291">
        <v>44713</v>
      </c>
      <c r="F68" s="250" t="s">
        <v>568</v>
      </c>
      <c r="G68" s="240"/>
      <c r="H68" s="241" t="s">
        <v>25</v>
      </c>
      <c r="I68" s="242"/>
      <c r="J68" s="231"/>
      <c r="K68" s="230"/>
      <c r="L68" s="230"/>
      <c r="M68" s="241" t="s">
        <v>25</v>
      </c>
      <c r="N68" s="242"/>
      <c r="O68" s="355"/>
      <c r="P68" s="355"/>
      <c r="Q68" s="355"/>
      <c r="R68" s="241" t="s">
        <v>25</v>
      </c>
      <c r="S68" s="242"/>
      <c r="T68" s="266"/>
      <c r="U68" s="267"/>
      <c r="V68" s="340" t="s">
        <v>25</v>
      </c>
      <c r="W68" s="254"/>
      <c r="X68" s="247">
        <v>1</v>
      </c>
      <c r="Y68" s="275" t="s">
        <v>326</v>
      </c>
      <c r="Z68" s="275" t="s">
        <v>291</v>
      </c>
      <c r="AA68" s="275" t="s">
        <v>325</v>
      </c>
      <c r="AB68" s="275" t="s">
        <v>461</v>
      </c>
      <c r="AC68" s="273" t="s">
        <v>461</v>
      </c>
      <c r="AD68" s="287" t="s">
        <v>287</v>
      </c>
      <c r="AE68" s="244">
        <v>80</v>
      </c>
    </row>
    <row r="69" spans="1:31" ht="73.2" customHeight="1" thickBot="1">
      <c r="A69" s="275" t="s">
        <v>311</v>
      </c>
      <c r="B69" s="273" t="s">
        <v>409</v>
      </c>
      <c r="C69" s="289" t="s">
        <v>91</v>
      </c>
      <c r="D69" s="290" t="s">
        <v>217</v>
      </c>
      <c r="E69" s="291">
        <v>44743</v>
      </c>
      <c r="F69" s="240" t="s">
        <v>567</v>
      </c>
      <c r="G69" s="240"/>
      <c r="H69" s="241" t="s">
        <v>34</v>
      </c>
      <c r="I69" s="242" t="s">
        <v>569</v>
      </c>
      <c r="J69" s="231" t="s">
        <v>686</v>
      </c>
      <c r="K69" s="231"/>
      <c r="L69" s="230"/>
      <c r="M69" s="241" t="s">
        <v>25</v>
      </c>
      <c r="N69" s="242"/>
      <c r="O69" s="355"/>
      <c r="P69" s="355"/>
      <c r="Q69" s="356"/>
      <c r="R69" s="241" t="s">
        <v>25</v>
      </c>
      <c r="S69" s="242"/>
      <c r="T69" s="334"/>
      <c r="U69" s="267"/>
      <c r="V69" s="340" t="s">
        <v>25</v>
      </c>
      <c r="W69" s="254"/>
      <c r="X69" s="247">
        <v>2</v>
      </c>
      <c r="Y69" s="275" t="s">
        <v>326</v>
      </c>
      <c r="Z69" s="275" t="s">
        <v>291</v>
      </c>
      <c r="AA69" s="275" t="s">
        <v>325</v>
      </c>
      <c r="AB69" s="275" t="s">
        <v>461</v>
      </c>
      <c r="AC69" s="273" t="s">
        <v>461</v>
      </c>
      <c r="AD69" s="287" t="s">
        <v>287</v>
      </c>
      <c r="AE69" s="244">
        <v>81</v>
      </c>
    </row>
    <row r="70" spans="1:31" ht="73.2" customHeight="1" thickBot="1">
      <c r="A70" s="275" t="s">
        <v>311</v>
      </c>
      <c r="B70" s="273" t="s">
        <v>410</v>
      </c>
      <c r="C70" s="289" t="s">
        <v>91</v>
      </c>
      <c r="D70" s="290" t="s">
        <v>218</v>
      </c>
      <c r="E70" s="291">
        <v>44743</v>
      </c>
      <c r="F70" s="240" t="s">
        <v>566</v>
      </c>
      <c r="G70" s="240"/>
      <c r="H70" s="241" t="s">
        <v>34</v>
      </c>
      <c r="I70" s="242" t="s">
        <v>514</v>
      </c>
      <c r="J70" s="231" t="s">
        <v>687</v>
      </c>
      <c r="K70" s="231"/>
      <c r="L70" s="230"/>
      <c r="M70" s="241" t="s">
        <v>34</v>
      </c>
      <c r="N70" s="242"/>
      <c r="O70" s="355" t="s">
        <v>795</v>
      </c>
      <c r="P70" s="355"/>
      <c r="Q70" s="356"/>
      <c r="R70" s="241" t="s">
        <v>25</v>
      </c>
      <c r="S70" s="242"/>
      <c r="T70" s="266"/>
      <c r="U70" s="267"/>
      <c r="V70" s="340" t="s">
        <v>25</v>
      </c>
      <c r="W70" s="254"/>
      <c r="X70" s="247">
        <v>2</v>
      </c>
      <c r="Y70" s="275" t="s">
        <v>326</v>
      </c>
      <c r="Z70" s="275" t="s">
        <v>291</v>
      </c>
      <c r="AA70" s="275" t="s">
        <v>325</v>
      </c>
      <c r="AB70" s="275" t="s">
        <v>461</v>
      </c>
      <c r="AC70" s="273" t="s">
        <v>461</v>
      </c>
      <c r="AD70" s="287" t="s">
        <v>287</v>
      </c>
      <c r="AE70" s="244">
        <v>82</v>
      </c>
    </row>
    <row r="71" spans="1:31" ht="73.2" customHeight="1" thickBot="1">
      <c r="A71" s="275" t="s">
        <v>311</v>
      </c>
      <c r="B71" s="273" t="s">
        <v>411</v>
      </c>
      <c r="C71" s="289" t="s">
        <v>91</v>
      </c>
      <c r="D71" s="290" t="s">
        <v>219</v>
      </c>
      <c r="E71" s="291">
        <v>44927</v>
      </c>
      <c r="F71" s="240"/>
      <c r="G71" s="240"/>
      <c r="H71" s="241" t="s">
        <v>38</v>
      </c>
      <c r="I71" s="242"/>
      <c r="J71" s="248"/>
      <c r="K71" s="231"/>
      <c r="L71" s="230"/>
      <c r="M71" s="241" t="s">
        <v>38</v>
      </c>
      <c r="N71" s="242"/>
      <c r="O71" s="355"/>
      <c r="P71" s="355"/>
      <c r="Q71" s="356"/>
      <c r="R71" s="241" t="s">
        <v>34</v>
      </c>
      <c r="S71" s="242" t="s">
        <v>796</v>
      </c>
      <c r="T71" s="334" t="s">
        <v>826</v>
      </c>
      <c r="U71" s="267"/>
      <c r="V71" s="340" t="s">
        <v>25</v>
      </c>
      <c r="W71" s="254"/>
      <c r="X71" s="243">
        <v>4</v>
      </c>
      <c r="Y71" s="275" t="s">
        <v>326</v>
      </c>
      <c r="Z71" s="275" t="s">
        <v>291</v>
      </c>
      <c r="AA71" s="275" t="s">
        <v>325</v>
      </c>
      <c r="AB71" s="275" t="s">
        <v>461</v>
      </c>
      <c r="AC71" s="273" t="s">
        <v>461</v>
      </c>
      <c r="AD71" s="287" t="s">
        <v>287</v>
      </c>
      <c r="AE71" s="244">
        <v>83</v>
      </c>
    </row>
    <row r="72" spans="1:31" ht="73.2" customHeight="1" thickBot="1">
      <c r="A72" s="275" t="s">
        <v>311</v>
      </c>
      <c r="B72" s="273" t="s">
        <v>435</v>
      </c>
      <c r="C72" s="289" t="s">
        <v>252</v>
      </c>
      <c r="D72" s="290" t="s">
        <v>253</v>
      </c>
      <c r="E72" s="291">
        <v>44805</v>
      </c>
      <c r="F72" s="299" t="s">
        <v>576</v>
      </c>
      <c r="G72" s="240"/>
      <c r="H72" s="241" t="s">
        <v>38</v>
      </c>
      <c r="I72" s="242" t="s">
        <v>575</v>
      </c>
      <c r="J72" s="231" t="s">
        <v>666</v>
      </c>
      <c r="K72" s="230"/>
      <c r="L72" s="230"/>
      <c r="M72" s="241" t="s">
        <v>25</v>
      </c>
      <c r="N72" s="242"/>
      <c r="O72" s="355"/>
      <c r="P72" s="355"/>
      <c r="Q72" s="356"/>
      <c r="R72" s="241" t="s">
        <v>25</v>
      </c>
      <c r="S72" s="242"/>
      <c r="T72" s="266"/>
      <c r="U72" s="267"/>
      <c r="V72" s="340" t="s">
        <v>25</v>
      </c>
      <c r="W72" s="254"/>
      <c r="X72" s="247">
        <v>2</v>
      </c>
      <c r="Y72" s="275" t="s">
        <v>326</v>
      </c>
      <c r="Z72" s="275" t="s">
        <v>291</v>
      </c>
      <c r="AA72" s="275" t="s">
        <v>13</v>
      </c>
      <c r="AB72" s="275" t="s">
        <v>460</v>
      </c>
      <c r="AC72" s="273" t="s">
        <v>460</v>
      </c>
      <c r="AD72" s="287" t="s">
        <v>114</v>
      </c>
      <c r="AE72" s="244">
        <v>107</v>
      </c>
    </row>
    <row r="73" spans="1:31" ht="73.2" customHeight="1" thickBot="1">
      <c r="A73" s="275" t="s">
        <v>311</v>
      </c>
      <c r="B73" s="273" t="s">
        <v>455</v>
      </c>
      <c r="C73" s="289" t="s">
        <v>91</v>
      </c>
      <c r="D73" s="290" t="s">
        <v>273</v>
      </c>
      <c r="E73" s="291">
        <v>44866</v>
      </c>
      <c r="F73" s="250" t="s">
        <v>515</v>
      </c>
      <c r="G73" s="240"/>
      <c r="H73" s="241" t="s">
        <v>38</v>
      </c>
      <c r="I73" s="242"/>
      <c r="J73" s="231" t="s">
        <v>667</v>
      </c>
      <c r="K73" s="231"/>
      <c r="L73" s="230"/>
      <c r="M73" s="241" t="s">
        <v>34</v>
      </c>
      <c r="N73" s="242"/>
      <c r="O73" s="355" t="s">
        <v>797</v>
      </c>
      <c r="P73" s="355"/>
      <c r="Q73" s="356"/>
      <c r="R73" s="241" t="s">
        <v>25</v>
      </c>
      <c r="S73" s="242"/>
      <c r="T73" s="266"/>
      <c r="U73" s="267"/>
      <c r="V73" s="340" t="s">
        <v>25</v>
      </c>
      <c r="W73" s="254"/>
      <c r="X73" s="243">
        <v>3</v>
      </c>
      <c r="Y73" s="275" t="s">
        <v>326</v>
      </c>
      <c r="Z73" s="275" t="s">
        <v>291</v>
      </c>
      <c r="AA73" s="275" t="s">
        <v>13</v>
      </c>
      <c r="AB73" s="275" t="s">
        <v>461</v>
      </c>
      <c r="AC73" s="273" t="s">
        <v>461</v>
      </c>
      <c r="AD73" s="287" t="s">
        <v>287</v>
      </c>
      <c r="AE73" s="244">
        <v>127</v>
      </c>
    </row>
    <row r="74" spans="1:31" ht="73.2" customHeight="1" thickBot="1">
      <c r="A74" s="275" t="s">
        <v>311</v>
      </c>
      <c r="B74" s="273" t="s">
        <v>456</v>
      </c>
      <c r="C74" s="289" t="s">
        <v>274</v>
      </c>
      <c r="D74" s="290" t="s">
        <v>275</v>
      </c>
      <c r="E74" s="291">
        <v>44805</v>
      </c>
      <c r="F74" s="250" t="s">
        <v>516</v>
      </c>
      <c r="G74" s="240"/>
      <c r="H74" s="241" t="s">
        <v>38</v>
      </c>
      <c r="I74" s="242"/>
      <c r="J74" s="231" t="s">
        <v>666</v>
      </c>
      <c r="K74" s="231"/>
      <c r="L74" s="230"/>
      <c r="M74" s="241" t="s">
        <v>25</v>
      </c>
      <c r="N74" s="242"/>
      <c r="O74" s="355"/>
      <c r="P74" s="355"/>
      <c r="Q74" s="356"/>
      <c r="R74" s="241" t="s">
        <v>25</v>
      </c>
      <c r="S74" s="242"/>
      <c r="T74" s="266"/>
      <c r="U74" s="269"/>
      <c r="V74" s="340" t="s">
        <v>25</v>
      </c>
      <c r="W74" s="254"/>
      <c r="X74" s="243">
        <v>2</v>
      </c>
      <c r="Y74" s="275" t="s">
        <v>326</v>
      </c>
      <c r="Z74" s="275" t="s">
        <v>291</v>
      </c>
      <c r="AA74" s="275" t="s">
        <v>13</v>
      </c>
      <c r="AB74" s="275" t="s">
        <v>461</v>
      </c>
      <c r="AC74" s="273" t="s">
        <v>461</v>
      </c>
      <c r="AD74" s="287" t="s">
        <v>287</v>
      </c>
      <c r="AE74" s="244">
        <v>128</v>
      </c>
    </row>
    <row r="75" spans="1:31" ht="73.2" customHeight="1" thickBot="1">
      <c r="A75" s="275" t="s">
        <v>311</v>
      </c>
      <c r="B75" s="273" t="s">
        <v>457</v>
      </c>
      <c r="C75" s="289" t="s">
        <v>135</v>
      </c>
      <c r="D75" s="290" t="s">
        <v>276</v>
      </c>
      <c r="E75" s="291">
        <v>44805</v>
      </c>
      <c r="F75" s="250" t="s">
        <v>589</v>
      </c>
      <c r="G75" s="240"/>
      <c r="H75" s="241" t="s">
        <v>34</v>
      </c>
      <c r="I75" s="242"/>
      <c r="J75" s="231" t="s">
        <v>668</v>
      </c>
      <c r="K75" s="231"/>
      <c r="L75" s="230"/>
      <c r="M75" s="241" t="s">
        <v>25</v>
      </c>
      <c r="N75" s="242"/>
      <c r="O75" s="355"/>
      <c r="P75" s="355"/>
      <c r="Q75" s="356"/>
      <c r="R75" s="241" t="s">
        <v>25</v>
      </c>
      <c r="S75" s="242"/>
      <c r="T75" s="266"/>
      <c r="U75" s="267"/>
      <c r="V75" s="340" t="s">
        <v>25</v>
      </c>
      <c r="W75" s="254"/>
      <c r="X75" s="243">
        <v>2</v>
      </c>
      <c r="Y75" s="275" t="s">
        <v>326</v>
      </c>
      <c r="Z75" s="275" t="s">
        <v>291</v>
      </c>
      <c r="AA75" s="275" t="s">
        <v>13</v>
      </c>
      <c r="AB75" s="275" t="s">
        <v>461</v>
      </c>
      <c r="AC75" s="273" t="s">
        <v>461</v>
      </c>
      <c r="AD75" s="287" t="s">
        <v>287</v>
      </c>
      <c r="AE75" s="244">
        <v>129</v>
      </c>
    </row>
    <row r="76" spans="1:31" ht="73.2" customHeight="1" thickBot="1">
      <c r="A76" s="275" t="s">
        <v>314</v>
      </c>
      <c r="B76" s="273" t="s">
        <v>353</v>
      </c>
      <c r="C76" s="289" t="s">
        <v>147</v>
      </c>
      <c r="D76" s="290" t="s">
        <v>148</v>
      </c>
      <c r="E76" s="291"/>
      <c r="F76" s="240" t="s">
        <v>554</v>
      </c>
      <c r="G76" s="240"/>
      <c r="H76" s="241" t="s">
        <v>34</v>
      </c>
      <c r="I76" s="293"/>
      <c r="J76" s="248" t="s">
        <v>619</v>
      </c>
      <c r="K76" s="230"/>
      <c r="L76" s="230"/>
      <c r="M76" s="241" t="s">
        <v>34</v>
      </c>
      <c r="N76" s="242"/>
      <c r="O76" s="248" t="s">
        <v>784</v>
      </c>
      <c r="P76" s="355"/>
      <c r="Q76" s="356"/>
      <c r="R76" s="241" t="s">
        <v>34</v>
      </c>
      <c r="S76" s="242"/>
      <c r="T76" s="268" t="s">
        <v>839</v>
      </c>
      <c r="U76" s="267">
        <v>9</v>
      </c>
      <c r="V76" s="340" t="s">
        <v>25</v>
      </c>
      <c r="W76" s="254"/>
      <c r="X76" s="243"/>
      <c r="Y76" s="275" t="s">
        <v>304</v>
      </c>
      <c r="Z76" s="275" t="s">
        <v>294</v>
      </c>
      <c r="AA76" s="275" t="s">
        <v>12</v>
      </c>
      <c r="AB76" s="275" t="s">
        <v>462</v>
      </c>
      <c r="AC76" s="273" t="s">
        <v>462</v>
      </c>
      <c r="AD76" s="287" t="s">
        <v>288</v>
      </c>
      <c r="AE76" s="244">
        <v>25</v>
      </c>
    </row>
    <row r="77" spans="1:31" ht="118.95" customHeight="1" thickBot="1">
      <c r="A77" s="275" t="s">
        <v>314</v>
      </c>
      <c r="B77" s="273" t="s">
        <v>354</v>
      </c>
      <c r="C77" s="289" t="s">
        <v>147</v>
      </c>
      <c r="D77" s="290" t="s">
        <v>149</v>
      </c>
      <c r="E77" s="291"/>
      <c r="F77" s="250"/>
      <c r="G77" s="240"/>
      <c r="H77" s="241" t="s">
        <v>38</v>
      </c>
      <c r="I77" s="242"/>
      <c r="J77" s="242" t="s">
        <v>620</v>
      </c>
      <c r="K77" s="231"/>
      <c r="L77" s="230"/>
      <c r="M77" s="241" t="s">
        <v>34</v>
      </c>
      <c r="N77" s="242"/>
      <c r="O77" s="355" t="s">
        <v>785</v>
      </c>
      <c r="P77" s="355"/>
      <c r="Q77" s="356"/>
      <c r="R77" s="241" t="s">
        <v>34</v>
      </c>
      <c r="S77" s="242"/>
      <c r="T77" s="266" t="s">
        <v>840</v>
      </c>
      <c r="U77" s="267">
        <v>2</v>
      </c>
      <c r="V77" s="340" t="s">
        <v>25</v>
      </c>
      <c r="W77" s="254"/>
      <c r="X77" s="247"/>
      <c r="Y77" s="275" t="s">
        <v>304</v>
      </c>
      <c r="Z77" s="275" t="s">
        <v>294</v>
      </c>
      <c r="AA77" s="275" t="s">
        <v>12</v>
      </c>
      <c r="AB77" s="275" t="s">
        <v>462</v>
      </c>
      <c r="AC77" s="273" t="s">
        <v>462</v>
      </c>
      <c r="AD77" s="287" t="s">
        <v>288</v>
      </c>
      <c r="AE77" s="244">
        <v>26</v>
      </c>
    </row>
    <row r="78" spans="1:31" ht="202.8" customHeight="1" thickBot="1">
      <c r="A78" s="275" t="s">
        <v>314</v>
      </c>
      <c r="B78" s="273" t="s">
        <v>355</v>
      </c>
      <c r="C78" s="289" t="s">
        <v>150</v>
      </c>
      <c r="D78" s="290" t="s">
        <v>151</v>
      </c>
      <c r="E78" s="291"/>
      <c r="F78" s="270" t="s">
        <v>555</v>
      </c>
      <c r="G78" s="240"/>
      <c r="H78" s="241" t="s">
        <v>34</v>
      </c>
      <c r="I78" s="293"/>
      <c r="J78" s="231" t="s">
        <v>621</v>
      </c>
      <c r="K78" s="231"/>
      <c r="L78" s="230"/>
      <c r="M78" s="241" t="s">
        <v>34</v>
      </c>
      <c r="N78" s="242"/>
      <c r="O78" s="355" t="s">
        <v>786</v>
      </c>
      <c r="P78" s="355"/>
      <c r="Q78" s="356"/>
      <c r="R78" s="241" t="s">
        <v>34</v>
      </c>
      <c r="S78" s="242"/>
      <c r="T78" s="334" t="s">
        <v>877</v>
      </c>
      <c r="U78" s="267"/>
      <c r="V78" s="340" t="s">
        <v>28</v>
      </c>
      <c r="W78" s="254"/>
      <c r="X78" s="243"/>
      <c r="Y78" s="275" t="s">
        <v>304</v>
      </c>
      <c r="Z78" s="275" t="s">
        <v>294</v>
      </c>
      <c r="AA78" s="275" t="s">
        <v>12</v>
      </c>
      <c r="AB78" s="275" t="s">
        <v>462</v>
      </c>
      <c r="AC78" s="273" t="s">
        <v>462</v>
      </c>
      <c r="AD78" s="287" t="s">
        <v>288</v>
      </c>
      <c r="AE78" s="244">
        <v>27</v>
      </c>
    </row>
    <row r="79" spans="1:31" ht="73.2" customHeight="1" thickBot="1">
      <c r="A79" s="275" t="s">
        <v>314</v>
      </c>
      <c r="B79" s="273" t="s">
        <v>368</v>
      </c>
      <c r="C79" s="289" t="s">
        <v>164</v>
      </c>
      <c r="D79" s="290" t="s">
        <v>165</v>
      </c>
      <c r="E79" s="291">
        <v>44743</v>
      </c>
      <c r="F79" s="230" t="s">
        <v>527</v>
      </c>
      <c r="G79" s="240"/>
      <c r="H79" s="241" t="s">
        <v>34</v>
      </c>
      <c r="I79" s="242"/>
      <c r="J79" s="245" t="s">
        <v>622</v>
      </c>
      <c r="K79" s="245"/>
      <c r="L79" s="309"/>
      <c r="M79" s="241" t="s">
        <v>34</v>
      </c>
      <c r="N79" s="246"/>
      <c r="O79" s="355"/>
      <c r="P79" s="355"/>
      <c r="Q79" s="356"/>
      <c r="R79" s="241" t="s">
        <v>25</v>
      </c>
      <c r="S79" s="246"/>
      <c r="U79" s="265"/>
      <c r="V79" s="340" t="s">
        <v>25</v>
      </c>
      <c r="W79" s="255"/>
      <c r="X79" s="247">
        <v>2</v>
      </c>
      <c r="Y79" s="275" t="s">
        <v>304</v>
      </c>
      <c r="Z79" s="275" t="s">
        <v>294</v>
      </c>
      <c r="AA79" s="275" t="s">
        <v>12</v>
      </c>
      <c r="AB79" s="275" t="s">
        <v>462</v>
      </c>
      <c r="AC79" s="273" t="s">
        <v>462</v>
      </c>
      <c r="AD79" s="287" t="s">
        <v>288</v>
      </c>
      <c r="AE79" s="244">
        <v>40</v>
      </c>
    </row>
    <row r="80" spans="1:31" ht="73.2" customHeight="1" thickBot="1">
      <c r="A80" s="275" t="s">
        <v>314</v>
      </c>
      <c r="B80" s="273" t="s">
        <v>369</v>
      </c>
      <c r="C80" s="289" t="s">
        <v>166</v>
      </c>
      <c r="D80" s="290" t="s">
        <v>167</v>
      </c>
      <c r="E80" s="291">
        <v>44986</v>
      </c>
      <c r="F80" s="293"/>
      <c r="G80" s="240"/>
      <c r="H80" s="241" t="s">
        <v>38</v>
      </c>
      <c r="I80" s="293"/>
      <c r="J80" s="245"/>
      <c r="K80" s="245"/>
      <c r="L80" s="309"/>
      <c r="M80" s="241" t="s">
        <v>34</v>
      </c>
      <c r="N80" s="246" t="s">
        <v>623</v>
      </c>
      <c r="O80" s="355"/>
      <c r="P80" s="355"/>
      <c r="Q80" s="356"/>
      <c r="R80" s="241" t="s">
        <v>34</v>
      </c>
      <c r="S80" s="246"/>
      <c r="T80" s="265" t="s">
        <v>841</v>
      </c>
      <c r="U80" s="265"/>
      <c r="V80" s="340" t="s">
        <v>25</v>
      </c>
      <c r="W80" s="255"/>
      <c r="X80" s="247">
        <v>4</v>
      </c>
      <c r="Y80" s="275" t="s">
        <v>304</v>
      </c>
      <c r="Z80" s="275" t="s">
        <v>294</v>
      </c>
      <c r="AA80" s="275" t="s">
        <v>12</v>
      </c>
      <c r="AB80" s="275" t="s">
        <v>462</v>
      </c>
      <c r="AC80" s="273" t="s">
        <v>462</v>
      </c>
      <c r="AD80" s="287" t="s">
        <v>288</v>
      </c>
      <c r="AE80" s="244">
        <v>41</v>
      </c>
    </row>
    <row r="81" spans="1:31" ht="73.2" customHeight="1" thickBot="1">
      <c r="A81" s="275" t="s">
        <v>314</v>
      </c>
      <c r="B81" s="273" t="s">
        <v>412</v>
      </c>
      <c r="C81" s="289" t="s">
        <v>220</v>
      </c>
      <c r="D81" s="290" t="s">
        <v>221</v>
      </c>
      <c r="E81" s="291">
        <v>44986</v>
      </c>
      <c r="F81" s="242" t="s">
        <v>492</v>
      </c>
      <c r="G81" s="240"/>
      <c r="H81" s="241" t="s">
        <v>34</v>
      </c>
      <c r="I81" s="242"/>
      <c r="J81" s="231" t="s">
        <v>624</v>
      </c>
      <c r="K81" s="231"/>
      <c r="L81" s="230"/>
      <c r="M81" s="241" t="s">
        <v>25</v>
      </c>
      <c r="N81" s="242" t="s">
        <v>629</v>
      </c>
      <c r="O81" s="355"/>
      <c r="P81" s="355"/>
      <c r="Q81" s="356"/>
      <c r="R81" s="241" t="s">
        <v>25</v>
      </c>
      <c r="S81" s="242"/>
      <c r="T81" s="351"/>
      <c r="U81" s="266"/>
      <c r="V81" s="340" t="s">
        <v>25</v>
      </c>
      <c r="W81" s="254"/>
      <c r="X81" s="243">
        <v>4</v>
      </c>
      <c r="Y81" s="275" t="s">
        <v>304</v>
      </c>
      <c r="Z81" s="275" t="s">
        <v>302</v>
      </c>
      <c r="AA81" s="275" t="s">
        <v>325</v>
      </c>
      <c r="AB81" s="275" t="s">
        <v>462</v>
      </c>
      <c r="AC81" s="273" t="s">
        <v>462</v>
      </c>
      <c r="AD81" s="287" t="s">
        <v>288</v>
      </c>
      <c r="AE81" s="244">
        <v>84</v>
      </c>
    </row>
    <row r="82" spans="1:31" ht="73.2" customHeight="1" thickBot="1">
      <c r="A82" s="275" t="s">
        <v>314</v>
      </c>
      <c r="B82" s="273" t="s">
        <v>413</v>
      </c>
      <c r="C82" s="289" t="s">
        <v>220</v>
      </c>
      <c r="D82" s="290" t="s">
        <v>222</v>
      </c>
      <c r="E82" s="291">
        <v>44835</v>
      </c>
      <c r="F82" s="242" t="s">
        <v>493</v>
      </c>
      <c r="G82" s="240"/>
      <c r="H82" s="241" t="s">
        <v>34</v>
      </c>
      <c r="I82" s="242"/>
      <c r="J82" s="231" t="s">
        <v>625</v>
      </c>
      <c r="K82" s="319"/>
      <c r="L82" s="230"/>
      <c r="M82" s="241" t="s">
        <v>34</v>
      </c>
      <c r="N82" s="242"/>
      <c r="O82" s="355"/>
      <c r="P82" s="355"/>
      <c r="Q82" s="356"/>
      <c r="R82" s="241" t="s">
        <v>25</v>
      </c>
      <c r="S82" s="242"/>
      <c r="T82" s="266"/>
      <c r="U82" s="352"/>
      <c r="V82" s="340" t="s">
        <v>25</v>
      </c>
      <c r="W82" s="254"/>
      <c r="X82" s="243">
        <v>3</v>
      </c>
      <c r="Y82" s="275" t="s">
        <v>304</v>
      </c>
      <c r="Z82" s="275" t="s">
        <v>302</v>
      </c>
      <c r="AA82" s="275" t="s">
        <v>325</v>
      </c>
      <c r="AB82" s="275" t="s">
        <v>462</v>
      </c>
      <c r="AC82" s="273" t="s">
        <v>462</v>
      </c>
      <c r="AD82" s="287" t="s">
        <v>288</v>
      </c>
      <c r="AE82" s="244">
        <v>85</v>
      </c>
    </row>
    <row r="83" spans="1:31" ht="73.2" customHeight="1" thickBot="1">
      <c r="A83" s="275" t="s">
        <v>314</v>
      </c>
      <c r="B83" s="273" t="s">
        <v>414</v>
      </c>
      <c r="C83" s="289" t="s">
        <v>220</v>
      </c>
      <c r="D83" s="290" t="s">
        <v>223</v>
      </c>
      <c r="E83" s="291" t="s">
        <v>282</v>
      </c>
      <c r="F83" s="242" t="s">
        <v>494</v>
      </c>
      <c r="G83" s="240"/>
      <c r="H83" s="241" t="s">
        <v>34</v>
      </c>
      <c r="I83" s="242"/>
      <c r="J83" s="231" t="s">
        <v>626</v>
      </c>
      <c r="K83" s="319"/>
      <c r="L83" s="230"/>
      <c r="M83" s="241" t="s">
        <v>34</v>
      </c>
      <c r="N83" s="242"/>
      <c r="O83" s="355" t="s">
        <v>787</v>
      </c>
      <c r="P83" s="355"/>
      <c r="Q83" s="356"/>
      <c r="R83" s="241" t="s">
        <v>34</v>
      </c>
      <c r="S83" s="242"/>
      <c r="T83" s="266" t="s">
        <v>842</v>
      </c>
      <c r="U83" s="352"/>
      <c r="V83" s="340" t="s">
        <v>25</v>
      </c>
      <c r="W83" s="254"/>
      <c r="X83" s="243">
        <v>4</v>
      </c>
      <c r="Y83" s="275" t="s">
        <v>304</v>
      </c>
      <c r="Z83" s="275" t="s">
        <v>302</v>
      </c>
      <c r="AA83" s="275" t="s">
        <v>325</v>
      </c>
      <c r="AB83" s="275" t="s">
        <v>462</v>
      </c>
      <c r="AC83" s="273" t="s">
        <v>462</v>
      </c>
      <c r="AD83" s="287" t="s">
        <v>288</v>
      </c>
      <c r="AE83" s="244">
        <v>86</v>
      </c>
    </row>
    <row r="84" spans="1:31" ht="73.2" customHeight="1" thickBot="1">
      <c r="A84" s="275" t="s">
        <v>314</v>
      </c>
      <c r="B84" s="273" t="s">
        <v>415</v>
      </c>
      <c r="C84" s="289" t="s">
        <v>220</v>
      </c>
      <c r="D84" s="290" t="s">
        <v>224</v>
      </c>
      <c r="E84" s="291">
        <v>44743</v>
      </c>
      <c r="F84" s="242" t="s">
        <v>580</v>
      </c>
      <c r="G84" s="240"/>
      <c r="H84" s="241" t="s">
        <v>25</v>
      </c>
      <c r="I84" s="242"/>
      <c r="J84" s="245" t="s">
        <v>628</v>
      </c>
      <c r="K84" s="319"/>
      <c r="L84" s="230"/>
      <c r="M84" s="241" t="s">
        <v>25</v>
      </c>
      <c r="N84" s="246"/>
      <c r="O84" s="355"/>
      <c r="P84" s="355"/>
      <c r="Q84" s="356"/>
      <c r="R84" s="241" t="s">
        <v>25</v>
      </c>
      <c r="S84" s="246"/>
      <c r="T84" s="265"/>
      <c r="U84" s="353"/>
      <c r="V84" s="340" t="s">
        <v>25</v>
      </c>
      <c r="W84" s="255"/>
      <c r="X84" s="247">
        <v>2</v>
      </c>
      <c r="Y84" s="275" t="s">
        <v>304</v>
      </c>
      <c r="Z84" s="275" t="s">
        <v>302</v>
      </c>
      <c r="AA84" s="275" t="s">
        <v>325</v>
      </c>
      <c r="AB84" s="275" t="s">
        <v>462</v>
      </c>
      <c r="AC84" s="273" t="s">
        <v>462</v>
      </c>
      <c r="AD84" s="287" t="s">
        <v>288</v>
      </c>
      <c r="AE84" s="244">
        <v>87</v>
      </c>
    </row>
    <row r="85" spans="1:31" ht="73.2" customHeight="1" thickBot="1">
      <c r="A85" s="275" t="s">
        <v>314</v>
      </c>
      <c r="B85" s="273" t="s">
        <v>416</v>
      </c>
      <c r="C85" s="289" t="s">
        <v>225</v>
      </c>
      <c r="D85" s="290" t="s">
        <v>226</v>
      </c>
      <c r="E85" s="291">
        <v>44835</v>
      </c>
      <c r="F85" s="242" t="s">
        <v>588</v>
      </c>
      <c r="G85" s="240"/>
      <c r="H85" s="241" t="s">
        <v>34</v>
      </c>
      <c r="I85" s="242"/>
      <c r="J85" s="245" t="s">
        <v>627</v>
      </c>
      <c r="K85" s="245"/>
      <c r="L85" s="309"/>
      <c r="M85" s="241" t="s">
        <v>34</v>
      </c>
      <c r="N85" s="246"/>
      <c r="O85" s="355"/>
      <c r="P85" s="355"/>
      <c r="Q85" s="356"/>
      <c r="R85" s="241" t="s">
        <v>25</v>
      </c>
      <c r="S85" s="246"/>
      <c r="T85" s="265"/>
      <c r="U85" s="339"/>
      <c r="V85" s="340" t="s">
        <v>25</v>
      </c>
      <c r="W85" s="255"/>
      <c r="X85" s="247">
        <v>3</v>
      </c>
      <c r="Y85" s="275" t="s">
        <v>304</v>
      </c>
      <c r="Z85" s="275" t="s">
        <v>302</v>
      </c>
      <c r="AA85" s="275" t="s">
        <v>325</v>
      </c>
      <c r="AB85" s="275" t="s">
        <v>462</v>
      </c>
      <c r="AC85" s="273" t="s">
        <v>462</v>
      </c>
      <c r="AD85" s="287" t="s">
        <v>288</v>
      </c>
      <c r="AE85" s="244">
        <v>88</v>
      </c>
    </row>
    <row r="86" spans="1:31" ht="73.2" customHeight="1" thickBot="1">
      <c r="A86" s="275" t="s">
        <v>321</v>
      </c>
      <c r="B86" s="273" t="s">
        <v>340</v>
      </c>
      <c r="C86" s="289" t="s">
        <v>103</v>
      </c>
      <c r="D86" s="290" t="s">
        <v>132</v>
      </c>
      <c r="E86" s="291">
        <v>44743</v>
      </c>
      <c r="F86" s="250" t="s">
        <v>526</v>
      </c>
      <c r="G86" s="240"/>
      <c r="H86" s="241" t="s">
        <v>34</v>
      </c>
      <c r="I86" s="242"/>
      <c r="J86" s="245" t="s">
        <v>688</v>
      </c>
      <c r="K86" s="245"/>
      <c r="L86" s="309"/>
      <c r="M86" s="241" t="s">
        <v>25</v>
      </c>
      <c r="N86" s="246"/>
      <c r="O86" s="355" t="s">
        <v>743</v>
      </c>
      <c r="P86" s="355"/>
      <c r="Q86" s="356"/>
      <c r="R86" s="241" t="s">
        <v>25</v>
      </c>
      <c r="S86" s="246"/>
      <c r="T86" s="265" t="s">
        <v>823</v>
      </c>
      <c r="U86" s="339"/>
      <c r="V86" s="340" t="s">
        <v>25</v>
      </c>
      <c r="W86" s="255"/>
      <c r="X86" s="247">
        <v>2</v>
      </c>
      <c r="Y86" s="275" t="s">
        <v>326</v>
      </c>
      <c r="Z86" s="275" t="s">
        <v>291</v>
      </c>
      <c r="AA86" s="275" t="s">
        <v>12</v>
      </c>
      <c r="AB86" s="275" t="s">
        <v>460</v>
      </c>
      <c r="AC86" s="273" t="s">
        <v>460</v>
      </c>
      <c r="AD86" s="287" t="s">
        <v>287</v>
      </c>
      <c r="AE86" s="244">
        <v>12</v>
      </c>
    </row>
    <row r="87" spans="1:31" ht="73.2" customHeight="1" thickBot="1">
      <c r="A87" s="275" t="s">
        <v>321</v>
      </c>
      <c r="B87" s="273" t="s">
        <v>404</v>
      </c>
      <c r="C87" s="289" t="s">
        <v>98</v>
      </c>
      <c r="D87" s="290" t="s">
        <v>211</v>
      </c>
      <c r="E87" s="291">
        <v>44986</v>
      </c>
      <c r="F87" s="230" t="s">
        <v>563</v>
      </c>
      <c r="G87" s="240"/>
      <c r="H87" s="241" t="s">
        <v>34</v>
      </c>
      <c r="I87" s="242"/>
      <c r="J87" s="231" t="s">
        <v>689</v>
      </c>
      <c r="K87" s="231"/>
      <c r="L87" s="230"/>
      <c r="M87" s="241" t="s">
        <v>34</v>
      </c>
      <c r="N87" s="242"/>
      <c r="O87" s="355" t="s">
        <v>744</v>
      </c>
      <c r="P87" s="355"/>
      <c r="Q87" s="356"/>
      <c r="R87" s="241" t="s">
        <v>34</v>
      </c>
      <c r="S87" s="242"/>
      <c r="T87" s="266" t="s">
        <v>824</v>
      </c>
      <c r="U87" s="267"/>
      <c r="V87" s="340" t="s">
        <v>25</v>
      </c>
      <c r="W87" s="254"/>
      <c r="X87" s="247">
        <v>4</v>
      </c>
      <c r="Y87" s="275" t="s">
        <v>326</v>
      </c>
      <c r="Z87" s="275" t="s">
        <v>301</v>
      </c>
      <c r="AA87" s="275" t="s">
        <v>325</v>
      </c>
      <c r="AB87" s="275" t="s">
        <v>763</v>
      </c>
      <c r="AC87" s="273" t="s">
        <v>460</v>
      </c>
      <c r="AD87" s="287" t="s">
        <v>287</v>
      </c>
      <c r="AE87" s="244">
        <v>76</v>
      </c>
    </row>
    <row r="88" spans="1:31" ht="73.2" customHeight="1" thickBot="1">
      <c r="A88" s="275" t="s">
        <v>321</v>
      </c>
      <c r="B88" s="273" t="s">
        <v>454</v>
      </c>
      <c r="C88" s="289" t="s">
        <v>98</v>
      </c>
      <c r="D88" s="290" t="s">
        <v>272</v>
      </c>
      <c r="E88" s="291">
        <v>44986</v>
      </c>
      <c r="F88" s="230" t="s">
        <v>496</v>
      </c>
      <c r="G88" s="240"/>
      <c r="H88" s="241" t="s">
        <v>34</v>
      </c>
      <c r="I88" s="242"/>
      <c r="J88" s="231" t="s">
        <v>690</v>
      </c>
      <c r="K88" s="231"/>
      <c r="L88" s="230"/>
      <c r="M88" s="241" t="s">
        <v>34</v>
      </c>
      <c r="N88" s="242"/>
      <c r="O88" s="355" t="s">
        <v>745</v>
      </c>
      <c r="P88" s="355"/>
      <c r="Q88" s="356"/>
      <c r="R88" s="241" t="s">
        <v>34</v>
      </c>
      <c r="S88" s="242"/>
      <c r="T88" s="267" t="s">
        <v>825</v>
      </c>
      <c r="U88" s="269"/>
      <c r="V88" s="340" t="s">
        <v>25</v>
      </c>
      <c r="W88" s="254"/>
      <c r="X88" s="243">
        <v>4</v>
      </c>
      <c r="Y88" s="275" t="s">
        <v>326</v>
      </c>
      <c r="Z88" s="275" t="s">
        <v>301</v>
      </c>
      <c r="AA88" s="275" t="s">
        <v>13</v>
      </c>
      <c r="AB88" s="275" t="s">
        <v>763</v>
      </c>
      <c r="AC88" s="273" t="s">
        <v>460</v>
      </c>
      <c r="AD88" s="287" t="s">
        <v>287</v>
      </c>
      <c r="AE88" s="244">
        <v>126</v>
      </c>
    </row>
    <row r="89" spans="1:31" ht="73.2" customHeight="1" thickBot="1">
      <c r="A89" s="275" t="s">
        <v>319</v>
      </c>
      <c r="B89" s="273" t="s">
        <v>385</v>
      </c>
      <c r="C89" s="289" t="s">
        <v>189</v>
      </c>
      <c r="D89" s="290" t="s">
        <v>190</v>
      </c>
      <c r="E89" s="291"/>
      <c r="F89" s="240" t="s">
        <v>505</v>
      </c>
      <c r="G89" s="240"/>
      <c r="H89" s="241" t="s">
        <v>38</v>
      </c>
      <c r="I89" s="293"/>
      <c r="J89" s="231" t="s">
        <v>630</v>
      </c>
      <c r="K89" s="230"/>
      <c r="L89" s="230"/>
      <c r="M89" s="241" t="s">
        <v>34</v>
      </c>
      <c r="N89" s="242"/>
      <c r="O89" s="355" t="s">
        <v>724</v>
      </c>
      <c r="P89" s="355"/>
      <c r="Q89" s="356"/>
      <c r="R89" s="241" t="s">
        <v>34</v>
      </c>
      <c r="S89" s="242"/>
      <c r="T89" s="266" t="s">
        <v>830</v>
      </c>
      <c r="U89" s="361">
        <v>0</v>
      </c>
      <c r="V89" s="340" t="s">
        <v>25</v>
      </c>
      <c r="W89" s="254"/>
      <c r="X89" s="243"/>
      <c r="Y89" s="275" t="s">
        <v>304</v>
      </c>
      <c r="Z89" s="275" t="s">
        <v>299</v>
      </c>
      <c r="AA89" s="275" t="s">
        <v>325</v>
      </c>
      <c r="AB89" s="275" t="s">
        <v>461</v>
      </c>
      <c r="AC89" s="273" t="s">
        <v>461</v>
      </c>
      <c r="AD89" s="287" t="s">
        <v>289</v>
      </c>
      <c r="AE89" s="244">
        <v>57</v>
      </c>
    </row>
    <row r="90" spans="1:31" ht="73.2" customHeight="1" thickBot="1">
      <c r="A90" s="275" t="s">
        <v>319</v>
      </c>
      <c r="B90" s="273" t="s">
        <v>386</v>
      </c>
      <c r="C90" s="289" t="s">
        <v>189</v>
      </c>
      <c r="D90" s="290" t="s">
        <v>191</v>
      </c>
      <c r="E90" s="291"/>
      <c r="F90" s="240" t="s">
        <v>505</v>
      </c>
      <c r="G90" s="240"/>
      <c r="H90" s="241" t="s">
        <v>38</v>
      </c>
      <c r="I90" s="293"/>
      <c r="J90" s="231" t="s">
        <v>630</v>
      </c>
      <c r="K90" s="231"/>
      <c r="L90" s="230"/>
      <c r="M90" s="241" t="s">
        <v>34</v>
      </c>
      <c r="N90" s="242"/>
      <c r="O90" s="355" t="s">
        <v>724</v>
      </c>
      <c r="P90" s="355"/>
      <c r="Q90" s="356"/>
      <c r="R90" s="241" t="s">
        <v>34</v>
      </c>
      <c r="S90" s="242"/>
      <c r="T90" s="334" t="s">
        <v>830</v>
      </c>
      <c r="U90" s="361">
        <v>0</v>
      </c>
      <c r="V90" s="340" t="s">
        <v>25</v>
      </c>
      <c r="W90" s="254"/>
      <c r="X90" s="243"/>
      <c r="Y90" s="275" t="s">
        <v>304</v>
      </c>
      <c r="Z90" s="275" t="s">
        <v>299</v>
      </c>
      <c r="AA90" s="275" t="s">
        <v>325</v>
      </c>
      <c r="AB90" s="275" t="s">
        <v>461</v>
      </c>
      <c r="AC90" s="273" t="s">
        <v>461</v>
      </c>
      <c r="AD90" s="287" t="s">
        <v>289</v>
      </c>
      <c r="AE90" s="244">
        <v>58</v>
      </c>
    </row>
    <row r="91" spans="1:31" ht="73.2" customHeight="1" thickBot="1">
      <c r="A91" s="275" t="s">
        <v>319</v>
      </c>
      <c r="B91" s="273" t="s">
        <v>387</v>
      </c>
      <c r="C91" s="289" t="s">
        <v>189</v>
      </c>
      <c r="D91" s="290" t="s">
        <v>192</v>
      </c>
      <c r="E91" s="291"/>
      <c r="F91" s="240" t="s">
        <v>505</v>
      </c>
      <c r="G91" s="240"/>
      <c r="H91" s="241" t="s">
        <v>38</v>
      </c>
      <c r="I91" s="293"/>
      <c r="J91" s="230" t="s">
        <v>630</v>
      </c>
      <c r="K91" s="231"/>
      <c r="L91" s="230"/>
      <c r="M91" s="241" t="s">
        <v>34</v>
      </c>
      <c r="N91" s="242"/>
      <c r="O91" s="355" t="s">
        <v>724</v>
      </c>
      <c r="P91" s="355"/>
      <c r="Q91" s="356"/>
      <c r="R91" s="241" t="s">
        <v>34</v>
      </c>
      <c r="S91" s="242"/>
      <c r="T91" s="266" t="s">
        <v>830</v>
      </c>
      <c r="U91" s="361">
        <v>0</v>
      </c>
      <c r="V91" s="340" t="s">
        <v>25</v>
      </c>
      <c r="W91" s="254"/>
      <c r="X91" s="243"/>
      <c r="Y91" s="275" t="s">
        <v>304</v>
      </c>
      <c r="Z91" s="275" t="s">
        <v>299</v>
      </c>
      <c r="AA91" s="275" t="s">
        <v>325</v>
      </c>
      <c r="AB91" s="275" t="s">
        <v>461</v>
      </c>
      <c r="AC91" s="273" t="s">
        <v>461</v>
      </c>
      <c r="AD91" s="287" t="s">
        <v>289</v>
      </c>
      <c r="AE91" s="244">
        <v>59</v>
      </c>
    </row>
    <row r="92" spans="1:31" ht="73.2" customHeight="1" thickBot="1">
      <c r="A92" s="275" t="s">
        <v>319</v>
      </c>
      <c r="B92" s="273" t="s">
        <v>388</v>
      </c>
      <c r="C92" s="289" t="s">
        <v>189</v>
      </c>
      <c r="D92" s="290" t="s">
        <v>193</v>
      </c>
      <c r="E92" s="291"/>
      <c r="F92" s="240" t="s">
        <v>505</v>
      </c>
      <c r="G92" s="240"/>
      <c r="H92" s="241" t="s">
        <v>38</v>
      </c>
      <c r="I92" s="242"/>
      <c r="J92" s="242" t="s">
        <v>630</v>
      </c>
      <c r="K92" s="231"/>
      <c r="L92" s="230"/>
      <c r="M92" s="241" t="s">
        <v>34</v>
      </c>
      <c r="N92" s="242"/>
      <c r="O92" s="355" t="s">
        <v>724</v>
      </c>
      <c r="P92" s="355"/>
      <c r="Q92" s="356"/>
      <c r="R92" s="241" t="s">
        <v>34</v>
      </c>
      <c r="S92" s="242"/>
      <c r="T92" s="267" t="s">
        <v>830</v>
      </c>
      <c r="U92" s="361">
        <v>0</v>
      </c>
      <c r="V92" s="340" t="s">
        <v>25</v>
      </c>
      <c r="W92" s="254"/>
      <c r="X92" s="243"/>
      <c r="Y92" s="275" t="s">
        <v>304</v>
      </c>
      <c r="Z92" s="275" t="s">
        <v>299</v>
      </c>
      <c r="AA92" s="275" t="s">
        <v>325</v>
      </c>
      <c r="AB92" s="275" t="s">
        <v>461</v>
      </c>
      <c r="AC92" s="273" t="s">
        <v>461</v>
      </c>
      <c r="AD92" s="287" t="s">
        <v>289</v>
      </c>
      <c r="AE92" s="244">
        <v>60</v>
      </c>
    </row>
    <row r="93" spans="1:31" ht="103.2" customHeight="1" thickBot="1">
      <c r="A93" s="275" t="s">
        <v>319</v>
      </c>
      <c r="B93" s="273" t="s">
        <v>389</v>
      </c>
      <c r="C93" s="289" t="s">
        <v>111</v>
      </c>
      <c r="D93" s="290" t="s">
        <v>194</v>
      </c>
      <c r="E93" s="291"/>
      <c r="F93" s="240" t="s">
        <v>521</v>
      </c>
      <c r="G93" s="294">
        <v>0.41</v>
      </c>
      <c r="H93" s="241" t="s">
        <v>34</v>
      </c>
      <c r="I93" s="242"/>
      <c r="J93" s="231" t="s">
        <v>642</v>
      </c>
      <c r="K93" s="231"/>
      <c r="L93" s="317">
        <v>0.4</v>
      </c>
      <c r="M93" s="241" t="s">
        <v>34</v>
      </c>
      <c r="N93" s="242"/>
      <c r="O93" s="355" t="s">
        <v>737</v>
      </c>
      <c r="P93" s="355" t="s">
        <v>739</v>
      </c>
      <c r="Q93" s="356" t="s">
        <v>741</v>
      </c>
      <c r="R93" s="241" t="s">
        <v>34</v>
      </c>
      <c r="S93" s="242"/>
      <c r="T93" s="266" t="s">
        <v>843</v>
      </c>
      <c r="U93" s="267" t="s">
        <v>845</v>
      </c>
      <c r="V93" s="340" t="s">
        <v>29</v>
      </c>
      <c r="W93" s="254"/>
      <c r="X93" s="243"/>
      <c r="Y93" s="275" t="s">
        <v>304</v>
      </c>
      <c r="Z93" s="275" t="s">
        <v>299</v>
      </c>
      <c r="AA93" s="275" t="s">
        <v>325</v>
      </c>
      <c r="AB93" s="275" t="s">
        <v>461</v>
      </c>
      <c r="AC93" s="273" t="s">
        <v>461</v>
      </c>
      <c r="AD93" s="287" t="s">
        <v>289</v>
      </c>
      <c r="AE93" s="244">
        <v>61</v>
      </c>
    </row>
    <row r="94" spans="1:31" ht="73.2" customHeight="1" thickBot="1">
      <c r="A94" s="275" t="s">
        <v>319</v>
      </c>
      <c r="B94" s="273" t="s">
        <v>390</v>
      </c>
      <c r="C94" s="289" t="s">
        <v>195</v>
      </c>
      <c r="D94" s="290" t="s">
        <v>196</v>
      </c>
      <c r="E94" s="291"/>
      <c r="F94" s="240" t="s">
        <v>522</v>
      </c>
      <c r="G94" s="240" t="s">
        <v>523</v>
      </c>
      <c r="H94" s="241" t="s">
        <v>34</v>
      </c>
      <c r="I94" s="242"/>
      <c r="J94" s="231" t="s">
        <v>643</v>
      </c>
      <c r="K94" s="231"/>
      <c r="L94" s="230" t="s">
        <v>644</v>
      </c>
      <c r="M94" s="241" t="s">
        <v>34</v>
      </c>
      <c r="N94" s="242"/>
      <c r="O94" s="355" t="s">
        <v>738</v>
      </c>
      <c r="P94" s="355" t="s">
        <v>740</v>
      </c>
      <c r="Q94" s="356" t="s">
        <v>742</v>
      </c>
      <c r="R94" s="241" t="s">
        <v>34</v>
      </c>
      <c r="S94" s="242"/>
      <c r="T94" s="266" t="s">
        <v>844</v>
      </c>
      <c r="U94" s="267" t="s">
        <v>846</v>
      </c>
      <c r="V94" s="340" t="s">
        <v>29</v>
      </c>
      <c r="W94" s="254"/>
      <c r="X94" s="247"/>
      <c r="Y94" s="275" t="s">
        <v>304</v>
      </c>
      <c r="Z94" s="275" t="s">
        <v>299</v>
      </c>
      <c r="AA94" s="275" t="s">
        <v>325</v>
      </c>
      <c r="AB94" s="275" t="s">
        <v>461</v>
      </c>
      <c r="AC94" s="273" t="s">
        <v>461</v>
      </c>
      <c r="AD94" s="287" t="s">
        <v>289</v>
      </c>
      <c r="AE94" s="244">
        <v>62</v>
      </c>
    </row>
    <row r="95" spans="1:31" ht="73.2" customHeight="1" thickBot="1">
      <c r="A95" s="275" t="s">
        <v>319</v>
      </c>
      <c r="B95" s="273" t="s">
        <v>391</v>
      </c>
      <c r="C95" s="289" t="s">
        <v>4</v>
      </c>
      <c r="D95" s="290" t="s">
        <v>197</v>
      </c>
      <c r="E95" s="291">
        <v>44986</v>
      </c>
      <c r="F95" s="301">
        <v>0.99963000000000002</v>
      </c>
      <c r="G95" s="240"/>
      <c r="H95" s="241" t="s">
        <v>34</v>
      </c>
      <c r="I95" s="242"/>
      <c r="J95" s="320">
        <v>0.99966999999999995</v>
      </c>
      <c r="K95" s="231"/>
      <c r="L95" s="230"/>
      <c r="M95" s="241" t="s">
        <v>34</v>
      </c>
      <c r="N95" s="264"/>
      <c r="O95" s="355" t="s">
        <v>723</v>
      </c>
      <c r="P95" s="355"/>
      <c r="Q95" s="356"/>
      <c r="R95" s="241" t="s">
        <v>34</v>
      </c>
      <c r="S95" s="242"/>
      <c r="T95" s="335">
        <v>0.99973000000000001</v>
      </c>
      <c r="U95" s="267"/>
      <c r="V95" s="340" t="s">
        <v>25</v>
      </c>
      <c r="W95" s="266"/>
      <c r="X95" s="247">
        <v>4</v>
      </c>
      <c r="Y95" s="275" t="s">
        <v>304</v>
      </c>
      <c r="Z95" s="275" t="s">
        <v>299</v>
      </c>
      <c r="AA95" s="275" t="s">
        <v>325</v>
      </c>
      <c r="AB95" s="275" t="s">
        <v>461</v>
      </c>
      <c r="AC95" s="273" t="s">
        <v>461</v>
      </c>
      <c r="AD95" s="287" t="s">
        <v>289</v>
      </c>
      <c r="AE95" s="244">
        <v>63</v>
      </c>
    </row>
    <row r="96" spans="1:31" ht="73.2" customHeight="1" thickBot="1">
      <c r="A96" s="275" t="s">
        <v>319</v>
      </c>
      <c r="B96" s="273" t="s">
        <v>392</v>
      </c>
      <c r="C96" s="289" t="s">
        <v>198</v>
      </c>
      <c r="D96" s="290" t="s">
        <v>199</v>
      </c>
      <c r="E96" s="291">
        <v>44682</v>
      </c>
      <c r="F96" s="230" t="s">
        <v>495</v>
      </c>
      <c r="G96" s="240"/>
      <c r="H96" s="241" t="s">
        <v>25</v>
      </c>
      <c r="I96" s="242"/>
      <c r="J96" s="309"/>
      <c r="K96" s="245"/>
      <c r="L96" s="309"/>
      <c r="M96" s="241" t="s">
        <v>25</v>
      </c>
      <c r="N96" s="246"/>
      <c r="O96" s="355"/>
      <c r="P96" s="355"/>
      <c r="Q96" s="356"/>
      <c r="R96" s="241" t="s">
        <v>25</v>
      </c>
      <c r="S96" s="246"/>
      <c r="T96" s="265"/>
      <c r="U96" s="339"/>
      <c r="V96" s="340" t="s">
        <v>25</v>
      </c>
      <c r="W96" s="255"/>
      <c r="X96" s="247">
        <v>1</v>
      </c>
      <c r="Y96" s="275" t="s">
        <v>304</v>
      </c>
      <c r="Z96" s="275" t="s">
        <v>299</v>
      </c>
      <c r="AA96" s="275" t="s">
        <v>325</v>
      </c>
      <c r="AB96" s="275" t="s">
        <v>461</v>
      </c>
      <c r="AC96" s="273" t="s">
        <v>461</v>
      </c>
      <c r="AD96" s="287" t="s">
        <v>289</v>
      </c>
      <c r="AE96" s="244">
        <v>64</v>
      </c>
    </row>
    <row r="97" spans="1:31" ht="73.2" customHeight="1" thickBot="1">
      <c r="A97" s="275" t="s">
        <v>319</v>
      </c>
      <c r="B97" s="273" t="s">
        <v>393</v>
      </c>
      <c r="C97" s="289" t="s">
        <v>198</v>
      </c>
      <c r="D97" s="290" t="s">
        <v>200</v>
      </c>
      <c r="E97" s="291">
        <v>44835</v>
      </c>
      <c r="F97" s="240" t="s">
        <v>520</v>
      </c>
      <c r="G97" s="240"/>
      <c r="H97" s="241" t="s">
        <v>34</v>
      </c>
      <c r="I97" s="242"/>
      <c r="J97" s="231" t="s">
        <v>641</v>
      </c>
      <c r="K97" s="231"/>
      <c r="L97" s="230"/>
      <c r="M97" s="241" t="s">
        <v>25</v>
      </c>
      <c r="N97" s="242"/>
      <c r="O97" s="245"/>
      <c r="P97" s="355"/>
      <c r="Q97" s="356"/>
      <c r="R97" s="241" t="s">
        <v>25</v>
      </c>
      <c r="S97" s="242"/>
      <c r="T97" s="266"/>
      <c r="U97" s="267"/>
      <c r="V97" s="340" t="s">
        <v>25</v>
      </c>
      <c r="W97" s="254"/>
      <c r="X97" s="247">
        <v>3</v>
      </c>
      <c r="Y97" s="275" t="s">
        <v>304</v>
      </c>
      <c r="Z97" s="275" t="s">
        <v>299</v>
      </c>
      <c r="AA97" s="275" t="s">
        <v>325</v>
      </c>
      <c r="AB97" s="275" t="s">
        <v>461</v>
      </c>
      <c r="AC97" s="273" t="s">
        <v>461</v>
      </c>
      <c r="AD97" s="287" t="s">
        <v>289</v>
      </c>
      <c r="AE97" s="244">
        <v>65</v>
      </c>
    </row>
    <row r="98" spans="1:31" ht="73.2" customHeight="1" thickBot="1">
      <c r="A98" s="275" t="s">
        <v>319</v>
      </c>
      <c r="B98" s="273" t="s">
        <v>394</v>
      </c>
      <c r="C98" s="289" t="s">
        <v>201</v>
      </c>
      <c r="D98" s="290" t="s">
        <v>202</v>
      </c>
      <c r="E98" s="291">
        <v>44927</v>
      </c>
      <c r="F98" s="240"/>
      <c r="G98" s="240"/>
      <c r="H98" s="241" t="s">
        <v>38</v>
      </c>
      <c r="I98" s="242"/>
      <c r="J98" s="309"/>
      <c r="K98" s="230"/>
      <c r="L98" s="230"/>
      <c r="M98" s="241" t="s">
        <v>34</v>
      </c>
      <c r="N98" s="242"/>
      <c r="O98" s="245" t="s">
        <v>714</v>
      </c>
      <c r="P98" s="355"/>
      <c r="Q98" s="356"/>
      <c r="R98" s="241" t="s">
        <v>34</v>
      </c>
      <c r="S98" s="242"/>
      <c r="T98" s="265" t="s">
        <v>821</v>
      </c>
      <c r="U98" s="266"/>
      <c r="V98" s="340" t="s">
        <v>25</v>
      </c>
      <c r="W98" s="254"/>
      <c r="X98" s="247">
        <v>4</v>
      </c>
      <c r="Y98" s="275" t="s">
        <v>304</v>
      </c>
      <c r="Z98" s="275" t="s">
        <v>299</v>
      </c>
      <c r="AA98" s="275" t="s">
        <v>325</v>
      </c>
      <c r="AB98" s="275" t="s">
        <v>461</v>
      </c>
      <c r="AC98" s="273" t="s">
        <v>461</v>
      </c>
      <c r="AD98" s="287" t="s">
        <v>289</v>
      </c>
      <c r="AE98" s="244">
        <v>66</v>
      </c>
    </row>
    <row r="99" spans="1:31" ht="73.2" customHeight="1" thickBot="1">
      <c r="A99" s="275" t="s">
        <v>319</v>
      </c>
      <c r="B99" s="273" t="s">
        <v>395</v>
      </c>
      <c r="C99" s="289" t="s">
        <v>201</v>
      </c>
      <c r="D99" s="290" t="s">
        <v>203</v>
      </c>
      <c r="E99" s="291">
        <v>44986</v>
      </c>
      <c r="F99" s="242" t="s">
        <v>587</v>
      </c>
      <c r="G99" s="240"/>
      <c r="H99" s="241" t="s">
        <v>34</v>
      </c>
      <c r="I99" s="242"/>
      <c r="J99" s="245"/>
      <c r="K99" s="245"/>
      <c r="L99" s="309"/>
      <c r="M99" s="241" t="s">
        <v>38</v>
      </c>
      <c r="N99" s="246"/>
      <c r="O99" s="355" t="s">
        <v>715</v>
      </c>
      <c r="P99" s="355"/>
      <c r="Q99" s="356"/>
      <c r="R99" s="241" t="s">
        <v>34</v>
      </c>
      <c r="S99" s="246"/>
      <c r="T99" s="265" t="s">
        <v>822</v>
      </c>
      <c r="U99" s="339"/>
      <c r="V99" s="340" t="s">
        <v>25</v>
      </c>
      <c r="W99" s="255"/>
      <c r="X99" s="247">
        <v>4</v>
      </c>
      <c r="Y99" s="275" t="s">
        <v>304</v>
      </c>
      <c r="Z99" s="275" t="s">
        <v>299</v>
      </c>
      <c r="AA99" s="275" t="s">
        <v>325</v>
      </c>
      <c r="AB99" s="275" t="s">
        <v>461</v>
      </c>
      <c r="AC99" s="273" t="s">
        <v>461</v>
      </c>
      <c r="AD99" s="287" t="s">
        <v>289</v>
      </c>
      <c r="AE99" s="244">
        <v>67</v>
      </c>
    </row>
    <row r="100" spans="1:31" ht="73.2" customHeight="1" thickBot="1">
      <c r="A100" s="275" t="s">
        <v>319</v>
      </c>
      <c r="B100" s="273" t="s">
        <v>396</v>
      </c>
      <c r="C100" s="289" t="s">
        <v>201</v>
      </c>
      <c r="D100" s="290" t="s">
        <v>204</v>
      </c>
      <c r="E100" s="291">
        <v>44866</v>
      </c>
      <c r="F100" s="292"/>
      <c r="G100" s="240"/>
      <c r="H100" s="241" t="s">
        <v>38</v>
      </c>
      <c r="I100" s="242"/>
      <c r="J100" s="231"/>
      <c r="K100" s="231"/>
      <c r="L100" s="230"/>
      <c r="M100" s="241" t="s">
        <v>34</v>
      </c>
      <c r="N100" s="242"/>
      <c r="O100" s="355" t="s">
        <v>716</v>
      </c>
      <c r="P100" s="355"/>
      <c r="Q100" s="356"/>
      <c r="R100" s="241" t="s">
        <v>25</v>
      </c>
      <c r="S100" s="242"/>
      <c r="T100" s="266"/>
      <c r="U100" s="267"/>
      <c r="V100" s="340" t="s">
        <v>25</v>
      </c>
      <c r="W100" s="254"/>
      <c r="X100" s="247">
        <v>3</v>
      </c>
      <c r="Y100" s="275" t="s">
        <v>304</v>
      </c>
      <c r="Z100" s="275" t="s">
        <v>299</v>
      </c>
      <c r="AA100" s="275" t="s">
        <v>325</v>
      </c>
      <c r="AB100" s="275" t="s">
        <v>461</v>
      </c>
      <c r="AC100" s="273" t="s">
        <v>461</v>
      </c>
      <c r="AD100" s="287" t="s">
        <v>289</v>
      </c>
      <c r="AE100" s="244">
        <v>68</v>
      </c>
    </row>
    <row r="101" spans="1:31" ht="73.2" customHeight="1" thickBot="1">
      <c r="A101" s="275" t="s">
        <v>317</v>
      </c>
      <c r="B101" s="273" t="s">
        <v>377</v>
      </c>
      <c r="C101" s="289" t="s">
        <v>178</v>
      </c>
      <c r="D101" s="290" t="s">
        <v>179</v>
      </c>
      <c r="E101" s="291">
        <v>44866</v>
      </c>
      <c r="F101" s="240" t="s">
        <v>485</v>
      </c>
      <c r="G101" s="240"/>
      <c r="H101" s="241" t="s">
        <v>34</v>
      </c>
      <c r="I101" s="242"/>
      <c r="J101" s="231" t="s">
        <v>632</v>
      </c>
      <c r="K101" s="231"/>
      <c r="L101" s="230"/>
      <c r="M101" s="241" t="s">
        <v>34</v>
      </c>
      <c r="N101" s="242"/>
      <c r="O101" s="355" t="s">
        <v>720</v>
      </c>
      <c r="P101" s="355"/>
      <c r="Q101" s="356"/>
      <c r="R101" s="241" t="s">
        <v>25</v>
      </c>
      <c r="S101" s="242"/>
      <c r="T101" s="266" t="s">
        <v>815</v>
      </c>
      <c r="U101" s="269"/>
      <c r="V101" s="340" t="s">
        <v>25</v>
      </c>
      <c r="W101" s="254"/>
      <c r="X101" s="243">
        <v>3</v>
      </c>
      <c r="Y101" s="275" t="s">
        <v>326</v>
      </c>
      <c r="Z101" s="275" t="s">
        <v>297</v>
      </c>
      <c r="AA101" s="275" t="s">
        <v>325</v>
      </c>
      <c r="AB101" s="275" t="s">
        <v>461</v>
      </c>
      <c r="AC101" s="273" t="s">
        <v>461</v>
      </c>
      <c r="AD101" s="287" t="s">
        <v>114</v>
      </c>
      <c r="AE101" s="244">
        <v>49</v>
      </c>
    </row>
    <row r="102" spans="1:31" ht="115.2" customHeight="1" thickBot="1">
      <c r="A102" s="275" t="s">
        <v>317</v>
      </c>
      <c r="B102" s="273" t="s">
        <v>378</v>
      </c>
      <c r="C102" s="289" t="s">
        <v>178</v>
      </c>
      <c r="D102" s="290" t="s">
        <v>180</v>
      </c>
      <c r="E102" s="291">
        <v>44986</v>
      </c>
      <c r="F102" s="307" t="s">
        <v>585</v>
      </c>
      <c r="G102" s="240"/>
      <c r="H102" s="241" t="s">
        <v>34</v>
      </c>
      <c r="I102" s="242"/>
      <c r="J102" s="260" t="s">
        <v>633</v>
      </c>
      <c r="K102" s="321"/>
      <c r="L102" s="322"/>
      <c r="M102" s="241" t="s">
        <v>34</v>
      </c>
      <c r="N102" s="246"/>
      <c r="O102" s="355" t="s">
        <v>721</v>
      </c>
      <c r="P102" s="355"/>
      <c r="Q102" s="356"/>
      <c r="R102" s="241" t="s">
        <v>34</v>
      </c>
      <c r="S102" s="246"/>
      <c r="T102" s="344" t="s">
        <v>814</v>
      </c>
      <c r="U102" s="354"/>
      <c r="V102" s="340" t="s">
        <v>25</v>
      </c>
      <c r="W102" s="255"/>
      <c r="X102" s="247">
        <v>4</v>
      </c>
      <c r="Y102" s="275" t="s">
        <v>326</v>
      </c>
      <c r="Z102" s="275" t="s">
        <v>297</v>
      </c>
      <c r="AA102" s="275" t="s">
        <v>325</v>
      </c>
      <c r="AB102" s="275" t="s">
        <v>461</v>
      </c>
      <c r="AC102" s="273" t="s">
        <v>461</v>
      </c>
      <c r="AD102" s="287" t="s">
        <v>114</v>
      </c>
      <c r="AE102" s="244">
        <v>50</v>
      </c>
    </row>
    <row r="103" spans="1:31" ht="73.2" customHeight="1" thickBot="1">
      <c r="A103" s="275" t="s">
        <v>317</v>
      </c>
      <c r="B103" s="273" t="s">
        <v>379</v>
      </c>
      <c r="C103" s="289" t="s">
        <v>93</v>
      </c>
      <c r="D103" s="290" t="s">
        <v>181</v>
      </c>
      <c r="E103" s="291">
        <v>44896</v>
      </c>
      <c r="F103" s="258" t="s">
        <v>486</v>
      </c>
      <c r="G103" s="258"/>
      <c r="H103" s="241" t="s">
        <v>34</v>
      </c>
      <c r="I103" s="242"/>
      <c r="J103" s="315" t="s">
        <v>634</v>
      </c>
      <c r="K103" s="315"/>
      <c r="L103" s="258"/>
      <c r="M103" s="241" t="s">
        <v>34</v>
      </c>
      <c r="N103" s="242"/>
      <c r="O103" s="355" t="s">
        <v>719</v>
      </c>
      <c r="P103" s="355"/>
      <c r="Q103" s="356"/>
      <c r="R103" s="241" t="s">
        <v>25</v>
      </c>
      <c r="S103" s="246"/>
      <c r="T103" s="344" t="s">
        <v>25</v>
      </c>
      <c r="U103" s="354"/>
      <c r="V103" s="340" t="s">
        <v>25</v>
      </c>
      <c r="W103" s="255"/>
      <c r="X103" s="247">
        <v>3</v>
      </c>
      <c r="Y103" s="275" t="s">
        <v>326</v>
      </c>
      <c r="Z103" s="275" t="s">
        <v>297</v>
      </c>
      <c r="AA103" s="275" t="s">
        <v>325</v>
      </c>
      <c r="AB103" s="275" t="s">
        <v>459</v>
      </c>
      <c r="AC103" s="273" t="s">
        <v>459</v>
      </c>
      <c r="AD103" s="287" t="s">
        <v>114</v>
      </c>
      <c r="AE103" s="244">
        <v>51</v>
      </c>
    </row>
    <row r="104" spans="1:31" ht="102" customHeight="1" thickBot="1">
      <c r="A104" s="275" t="s">
        <v>317</v>
      </c>
      <c r="B104" s="273" t="s">
        <v>380</v>
      </c>
      <c r="C104" s="289" t="s">
        <v>182</v>
      </c>
      <c r="D104" s="290" t="s">
        <v>183</v>
      </c>
      <c r="E104" s="291">
        <v>44986</v>
      </c>
      <c r="F104" s="258" t="s">
        <v>562</v>
      </c>
      <c r="G104" s="258"/>
      <c r="H104" s="241" t="s">
        <v>34</v>
      </c>
      <c r="I104" s="242"/>
      <c r="J104" s="321" t="s">
        <v>635</v>
      </c>
      <c r="K104" s="321"/>
      <c r="L104" s="322"/>
      <c r="M104" s="241" t="s">
        <v>34</v>
      </c>
      <c r="N104" s="246"/>
      <c r="O104" s="355" t="s">
        <v>722</v>
      </c>
      <c r="P104" s="355"/>
      <c r="Q104" s="356"/>
      <c r="R104" s="241" t="s">
        <v>34</v>
      </c>
      <c r="S104" s="246"/>
      <c r="T104" s="344" t="s">
        <v>816</v>
      </c>
      <c r="U104" s="354"/>
      <c r="V104" s="340" t="s">
        <v>25</v>
      </c>
      <c r="W104" s="255"/>
      <c r="X104" s="247">
        <v>4</v>
      </c>
      <c r="Y104" s="275" t="s">
        <v>326</v>
      </c>
      <c r="Z104" s="275" t="s">
        <v>297</v>
      </c>
      <c r="AA104" s="275" t="s">
        <v>325</v>
      </c>
      <c r="AB104" s="275" t="s">
        <v>459</v>
      </c>
      <c r="AC104" s="273" t="s">
        <v>459</v>
      </c>
      <c r="AD104" s="287" t="s">
        <v>114</v>
      </c>
      <c r="AE104" s="244">
        <v>52</v>
      </c>
    </row>
    <row r="105" spans="1:31" ht="73.2" customHeight="1" thickBot="1">
      <c r="A105" s="275" t="s">
        <v>317</v>
      </c>
      <c r="B105" s="273" t="s">
        <v>436</v>
      </c>
      <c r="C105" s="289" t="s">
        <v>92</v>
      </c>
      <c r="D105" s="290" t="s">
        <v>254</v>
      </c>
      <c r="E105" s="291">
        <v>44866</v>
      </c>
      <c r="F105" s="240"/>
      <c r="G105" s="240"/>
      <c r="H105" s="241" t="s">
        <v>38</v>
      </c>
      <c r="I105" s="242"/>
      <c r="J105" s="231" t="s">
        <v>636</v>
      </c>
      <c r="K105" s="231"/>
      <c r="L105" s="230"/>
      <c r="M105" s="241" t="s">
        <v>34</v>
      </c>
      <c r="N105" s="242"/>
      <c r="O105" s="355" t="s">
        <v>718</v>
      </c>
      <c r="P105" s="355"/>
      <c r="Q105" s="356"/>
      <c r="R105" s="241" t="s">
        <v>25</v>
      </c>
      <c r="S105" s="242"/>
      <c r="T105" s="266" t="s">
        <v>25</v>
      </c>
      <c r="U105" s="267"/>
      <c r="V105" s="340" t="s">
        <v>25</v>
      </c>
      <c r="W105" s="254"/>
      <c r="X105" s="243">
        <v>3</v>
      </c>
      <c r="Y105" s="275" t="s">
        <v>326</v>
      </c>
      <c r="Z105" s="275" t="s">
        <v>297</v>
      </c>
      <c r="AA105" s="275" t="s">
        <v>13</v>
      </c>
      <c r="AB105" s="275" t="s">
        <v>459</v>
      </c>
      <c r="AC105" s="273" t="s">
        <v>459</v>
      </c>
      <c r="AD105" s="287" t="s">
        <v>114</v>
      </c>
      <c r="AE105" s="244">
        <v>108</v>
      </c>
    </row>
    <row r="106" spans="1:31" ht="73.2" customHeight="1" thickBot="1">
      <c r="A106" s="275" t="s">
        <v>317</v>
      </c>
      <c r="B106" s="273" t="s">
        <v>437</v>
      </c>
      <c r="C106" s="289" t="s">
        <v>92</v>
      </c>
      <c r="D106" s="290" t="s">
        <v>255</v>
      </c>
      <c r="E106" s="291">
        <v>44805</v>
      </c>
      <c r="F106" s="240" t="s">
        <v>487</v>
      </c>
      <c r="G106" s="240"/>
      <c r="H106" s="241" t="s">
        <v>34</v>
      </c>
      <c r="I106" s="242"/>
      <c r="J106" s="231" t="s">
        <v>637</v>
      </c>
      <c r="K106" s="231"/>
      <c r="L106" s="230"/>
      <c r="M106" s="241" t="s">
        <v>25</v>
      </c>
      <c r="N106" s="242"/>
      <c r="O106" s="355" t="s">
        <v>717</v>
      </c>
      <c r="P106" s="355"/>
      <c r="Q106" s="356"/>
      <c r="R106" s="241" t="s">
        <v>25</v>
      </c>
      <c r="S106" s="242"/>
      <c r="T106" s="266" t="s">
        <v>25</v>
      </c>
      <c r="U106" s="266"/>
      <c r="V106" s="340" t="s">
        <v>25</v>
      </c>
      <c r="W106" s="254"/>
      <c r="X106" s="247">
        <v>2</v>
      </c>
      <c r="Y106" s="275" t="s">
        <v>326</v>
      </c>
      <c r="Z106" s="275" t="s">
        <v>297</v>
      </c>
      <c r="AA106" s="275" t="s">
        <v>13</v>
      </c>
      <c r="AB106" s="275" t="s">
        <v>459</v>
      </c>
      <c r="AC106" s="273" t="s">
        <v>459</v>
      </c>
      <c r="AD106" s="287" t="s">
        <v>114</v>
      </c>
      <c r="AE106" s="244">
        <v>109</v>
      </c>
    </row>
    <row r="107" spans="1:31" ht="73.2" customHeight="1" thickBot="1">
      <c r="A107" s="275" t="s">
        <v>317</v>
      </c>
      <c r="B107" s="273" t="s">
        <v>438</v>
      </c>
      <c r="C107" s="289" t="s">
        <v>92</v>
      </c>
      <c r="D107" s="290" t="s">
        <v>256</v>
      </c>
      <c r="E107" s="291">
        <v>44805</v>
      </c>
      <c r="F107" s="240" t="s">
        <v>487</v>
      </c>
      <c r="G107" s="240"/>
      <c r="H107" s="241" t="s">
        <v>34</v>
      </c>
      <c r="I107" s="242"/>
      <c r="J107" s="231" t="s">
        <v>637</v>
      </c>
      <c r="K107" s="231"/>
      <c r="L107" s="230"/>
      <c r="M107" s="241" t="s">
        <v>25</v>
      </c>
      <c r="N107" s="242"/>
      <c r="O107" s="355" t="s">
        <v>717</v>
      </c>
      <c r="P107" s="355"/>
      <c r="Q107" s="356"/>
      <c r="R107" s="241" t="s">
        <v>25</v>
      </c>
      <c r="S107" s="242"/>
      <c r="T107" s="266" t="s">
        <v>25</v>
      </c>
      <c r="U107" s="266"/>
      <c r="V107" s="340" t="s">
        <v>25</v>
      </c>
      <c r="W107" s="254"/>
      <c r="X107" s="247">
        <v>2</v>
      </c>
      <c r="Y107" s="275" t="s">
        <v>326</v>
      </c>
      <c r="Z107" s="275" t="s">
        <v>297</v>
      </c>
      <c r="AA107" s="275" t="s">
        <v>13</v>
      </c>
      <c r="AB107" s="275" t="s">
        <v>459</v>
      </c>
      <c r="AC107" s="273" t="s">
        <v>459</v>
      </c>
      <c r="AD107" s="287" t="s">
        <v>114</v>
      </c>
      <c r="AE107" s="244">
        <v>110</v>
      </c>
    </row>
    <row r="108" spans="1:31" ht="73.2" customHeight="1" thickBot="1">
      <c r="A108" s="275" t="s">
        <v>304</v>
      </c>
      <c r="B108" s="273" t="s">
        <v>420</v>
      </c>
      <c r="C108" s="289" t="s">
        <v>231</v>
      </c>
      <c r="D108" s="290" t="s">
        <v>232</v>
      </c>
      <c r="E108" s="291">
        <v>44986</v>
      </c>
      <c r="F108" s="240"/>
      <c r="G108" s="240"/>
      <c r="H108" s="241" t="s">
        <v>38</v>
      </c>
      <c r="I108" s="242"/>
      <c r="J108" s="231"/>
      <c r="K108" s="231"/>
      <c r="L108" s="230"/>
      <c r="M108" s="241" t="s">
        <v>38</v>
      </c>
      <c r="N108" s="242"/>
      <c r="O108" s="355" t="s">
        <v>800</v>
      </c>
      <c r="P108" s="355"/>
      <c r="Q108" s="356"/>
      <c r="R108" s="241" t="s">
        <v>34</v>
      </c>
      <c r="S108" s="242"/>
      <c r="T108" s="266" t="s">
        <v>863</v>
      </c>
      <c r="U108" s="267"/>
      <c r="V108" s="340" t="s">
        <v>25</v>
      </c>
      <c r="W108" s="254"/>
      <c r="X108" s="243">
        <v>4</v>
      </c>
      <c r="Y108" s="275" t="s">
        <v>304</v>
      </c>
      <c r="Z108" s="275" t="s">
        <v>304</v>
      </c>
      <c r="AA108" s="275" t="s">
        <v>13</v>
      </c>
      <c r="AB108" s="275" t="s">
        <v>462</v>
      </c>
      <c r="AC108" s="273" t="s">
        <v>462</v>
      </c>
      <c r="AD108" s="287" t="s">
        <v>42</v>
      </c>
      <c r="AE108" s="244">
        <v>92</v>
      </c>
    </row>
    <row r="109" spans="1:31" ht="180" customHeight="1" thickBot="1">
      <c r="A109" s="275" t="s">
        <v>304</v>
      </c>
      <c r="B109" s="273" t="s">
        <v>422</v>
      </c>
      <c r="C109" s="289" t="s">
        <v>234</v>
      </c>
      <c r="D109" s="290" t="s">
        <v>235</v>
      </c>
      <c r="E109" s="291">
        <v>44835</v>
      </c>
      <c r="F109" s="292"/>
      <c r="G109" s="240"/>
      <c r="H109" s="241" t="s">
        <v>38</v>
      </c>
      <c r="I109" s="242"/>
      <c r="J109" s="270" t="s">
        <v>694</v>
      </c>
      <c r="K109" s="231"/>
      <c r="L109" s="230"/>
      <c r="M109" s="241" t="s">
        <v>34</v>
      </c>
      <c r="N109" s="242"/>
      <c r="O109" s="356" t="s">
        <v>802</v>
      </c>
      <c r="P109" s="355"/>
      <c r="Q109" s="356"/>
      <c r="R109" s="241" t="s">
        <v>34</v>
      </c>
      <c r="S109" s="242"/>
      <c r="T109" s="266" t="s">
        <v>802</v>
      </c>
      <c r="U109" s="267"/>
      <c r="V109" s="340" t="s">
        <v>25</v>
      </c>
      <c r="W109" s="254"/>
      <c r="X109" s="243">
        <v>3</v>
      </c>
      <c r="Y109" s="275" t="s">
        <v>304</v>
      </c>
      <c r="Z109" s="275" t="s">
        <v>304</v>
      </c>
      <c r="AA109" s="275" t="s">
        <v>13</v>
      </c>
      <c r="AB109" s="275" t="s">
        <v>462</v>
      </c>
      <c r="AC109" s="273" t="s">
        <v>462</v>
      </c>
      <c r="AD109" s="287" t="s">
        <v>42</v>
      </c>
      <c r="AE109" s="244">
        <v>94</v>
      </c>
    </row>
    <row r="110" spans="1:31" ht="73.2" customHeight="1" thickBot="1">
      <c r="A110" s="275" t="s">
        <v>313</v>
      </c>
      <c r="B110" s="273" t="s">
        <v>348</v>
      </c>
      <c r="C110" s="289" t="s">
        <v>6</v>
      </c>
      <c r="D110" s="290" t="s">
        <v>143</v>
      </c>
      <c r="E110" s="291"/>
      <c r="F110" s="323" t="s">
        <v>698</v>
      </c>
      <c r="G110" s="294">
        <v>0.83</v>
      </c>
      <c r="H110" s="241" t="s">
        <v>34</v>
      </c>
      <c r="I110" s="242"/>
      <c r="J110" s="230" t="s">
        <v>645</v>
      </c>
      <c r="K110" s="231"/>
      <c r="L110" s="230"/>
      <c r="M110" s="241" t="s">
        <v>34</v>
      </c>
      <c r="N110" s="242"/>
      <c r="O110" s="355" t="s">
        <v>765</v>
      </c>
      <c r="P110" s="355" t="s">
        <v>767</v>
      </c>
      <c r="Q110" s="355" t="s">
        <v>767</v>
      </c>
      <c r="R110" s="241" t="s">
        <v>34</v>
      </c>
      <c r="S110" s="242"/>
      <c r="T110" s="266" t="s">
        <v>832</v>
      </c>
      <c r="U110" s="267"/>
      <c r="V110" s="340" t="s">
        <v>25</v>
      </c>
      <c r="W110" s="254" t="s">
        <v>835</v>
      </c>
      <c r="X110" s="243"/>
      <c r="Y110" s="275" t="s">
        <v>304</v>
      </c>
      <c r="Z110" s="275" t="s">
        <v>294</v>
      </c>
      <c r="AA110" s="275" t="s">
        <v>12</v>
      </c>
      <c r="AB110" s="275" t="s">
        <v>462</v>
      </c>
      <c r="AC110" s="273" t="s">
        <v>462</v>
      </c>
      <c r="AD110" s="287" t="s">
        <v>288</v>
      </c>
      <c r="AE110" s="244">
        <v>20</v>
      </c>
    </row>
    <row r="111" spans="1:31" ht="100.95" customHeight="1" thickBot="1">
      <c r="A111" s="275" t="s">
        <v>313</v>
      </c>
      <c r="B111" s="273" t="s">
        <v>349</v>
      </c>
      <c r="C111" s="289" t="s">
        <v>7</v>
      </c>
      <c r="D111" s="290" t="s">
        <v>143</v>
      </c>
      <c r="E111" s="291"/>
      <c r="F111" s="295" t="s">
        <v>503</v>
      </c>
      <c r="G111" s="294">
        <v>0.9</v>
      </c>
      <c r="H111" s="241" t="s">
        <v>34</v>
      </c>
      <c r="I111" s="242"/>
      <c r="J111" s="270" t="s">
        <v>646</v>
      </c>
      <c r="K111" s="231"/>
      <c r="L111" s="230"/>
      <c r="M111" s="241" t="s">
        <v>34</v>
      </c>
      <c r="N111" s="242"/>
      <c r="O111" s="355" t="s">
        <v>766</v>
      </c>
      <c r="P111" s="355" t="s">
        <v>768</v>
      </c>
      <c r="Q111" s="356" t="s">
        <v>771</v>
      </c>
      <c r="R111" s="241" t="s">
        <v>34</v>
      </c>
      <c r="S111" s="242"/>
      <c r="T111" s="266" t="s">
        <v>833</v>
      </c>
      <c r="U111" s="267"/>
      <c r="V111" s="340" t="s">
        <v>25</v>
      </c>
      <c r="W111" s="254" t="s">
        <v>836</v>
      </c>
      <c r="X111" s="243"/>
      <c r="Y111" s="275" t="s">
        <v>304</v>
      </c>
      <c r="Z111" s="275" t="s">
        <v>294</v>
      </c>
      <c r="AA111" s="275" t="s">
        <v>12</v>
      </c>
      <c r="AB111" s="275" t="s">
        <v>462</v>
      </c>
      <c r="AC111" s="273" t="s">
        <v>462</v>
      </c>
      <c r="AD111" s="287" t="s">
        <v>288</v>
      </c>
      <c r="AE111" s="244">
        <v>21</v>
      </c>
    </row>
    <row r="112" spans="1:31" ht="100.95" customHeight="1" thickBot="1">
      <c r="A112" s="275" t="s">
        <v>313</v>
      </c>
      <c r="B112" s="273" t="s">
        <v>350</v>
      </c>
      <c r="C112" s="289" t="s">
        <v>8</v>
      </c>
      <c r="D112" s="290" t="s">
        <v>143</v>
      </c>
      <c r="E112" s="291"/>
      <c r="F112" s="295" t="s">
        <v>504</v>
      </c>
      <c r="G112" s="294">
        <v>0.96</v>
      </c>
      <c r="H112" s="241" t="s">
        <v>34</v>
      </c>
      <c r="I112" s="293"/>
      <c r="J112" s="230" t="s">
        <v>647</v>
      </c>
      <c r="K112" s="231"/>
      <c r="L112" s="230"/>
      <c r="M112" s="241" t="s">
        <v>34</v>
      </c>
      <c r="N112" s="242"/>
      <c r="O112" s="355" t="s">
        <v>770</v>
      </c>
      <c r="P112" s="355" t="s">
        <v>768</v>
      </c>
      <c r="Q112" s="356" t="s">
        <v>769</v>
      </c>
      <c r="R112" s="241" t="s">
        <v>34</v>
      </c>
      <c r="S112" s="242"/>
      <c r="T112" s="266" t="s">
        <v>834</v>
      </c>
      <c r="U112" s="267"/>
      <c r="V112" s="340" t="s">
        <v>25</v>
      </c>
      <c r="W112" s="254" t="s">
        <v>837</v>
      </c>
      <c r="X112" s="243"/>
      <c r="Y112" s="275" t="s">
        <v>304</v>
      </c>
      <c r="Z112" s="275" t="s">
        <v>294</v>
      </c>
      <c r="AA112" s="275" t="s">
        <v>12</v>
      </c>
      <c r="AB112" s="275" t="s">
        <v>462</v>
      </c>
      <c r="AC112" s="273" t="s">
        <v>462</v>
      </c>
      <c r="AD112" s="287" t="s">
        <v>288</v>
      </c>
      <c r="AE112" s="244">
        <v>22</v>
      </c>
    </row>
    <row r="113" spans="1:31" ht="73.2" customHeight="1" thickBot="1">
      <c r="A113" s="275" t="s">
        <v>313</v>
      </c>
      <c r="B113" s="273" t="s">
        <v>351</v>
      </c>
      <c r="C113" s="289" t="s">
        <v>144</v>
      </c>
      <c r="D113" s="290" t="s">
        <v>145</v>
      </c>
      <c r="E113" s="291"/>
      <c r="F113" s="292"/>
      <c r="G113" s="240"/>
      <c r="H113" s="241" t="s">
        <v>38</v>
      </c>
      <c r="I113" s="242"/>
      <c r="J113" s="231"/>
      <c r="K113" s="231"/>
      <c r="L113" s="230"/>
      <c r="M113" s="241" t="s">
        <v>38</v>
      </c>
      <c r="N113" s="242"/>
      <c r="O113" s="355"/>
      <c r="P113" s="355"/>
      <c r="Q113" s="356"/>
      <c r="R113" s="241" t="s">
        <v>38</v>
      </c>
      <c r="S113" s="242"/>
      <c r="T113" s="266" t="s">
        <v>838</v>
      </c>
      <c r="U113" s="269"/>
      <c r="V113" s="340" t="s">
        <v>25</v>
      </c>
      <c r="W113" s="254"/>
      <c r="X113" s="247"/>
      <c r="Y113" s="275" t="s">
        <v>304</v>
      </c>
      <c r="Z113" s="275" t="s">
        <v>294</v>
      </c>
      <c r="AA113" s="275" t="s">
        <v>12</v>
      </c>
      <c r="AB113" s="275" t="s">
        <v>462</v>
      </c>
      <c r="AC113" s="273" t="s">
        <v>462</v>
      </c>
      <c r="AD113" s="287" t="s">
        <v>288</v>
      </c>
      <c r="AE113" s="244">
        <v>23</v>
      </c>
    </row>
    <row r="114" spans="1:31" ht="73.2" customHeight="1" thickBot="1">
      <c r="A114" s="275" t="s">
        <v>313</v>
      </c>
      <c r="B114" s="273" t="s">
        <v>352</v>
      </c>
      <c r="C114" s="289" t="s">
        <v>144</v>
      </c>
      <c r="D114" s="290" t="s">
        <v>146</v>
      </c>
      <c r="E114" s="291">
        <v>44713</v>
      </c>
      <c r="F114" s="240" t="s">
        <v>508</v>
      </c>
      <c r="G114" s="240"/>
      <c r="H114" s="241" t="s">
        <v>25</v>
      </c>
      <c r="I114" s="242"/>
      <c r="J114" s="231"/>
      <c r="K114" s="324"/>
      <c r="L114" s="230"/>
      <c r="M114" s="241" t="s">
        <v>25</v>
      </c>
      <c r="N114" s="242"/>
      <c r="O114" s="355"/>
      <c r="P114" s="355"/>
      <c r="Q114" s="356"/>
      <c r="R114" s="241" t="s">
        <v>25</v>
      </c>
      <c r="S114" s="242"/>
      <c r="T114" s="266"/>
      <c r="U114" s="269"/>
      <c r="V114" s="340" t="s">
        <v>25</v>
      </c>
      <c r="W114" s="254"/>
      <c r="X114" s="243">
        <v>1</v>
      </c>
      <c r="Y114" s="275" t="s">
        <v>304</v>
      </c>
      <c r="Z114" s="275" t="s">
        <v>294</v>
      </c>
      <c r="AA114" s="275" t="s">
        <v>12</v>
      </c>
      <c r="AB114" s="275" t="s">
        <v>462</v>
      </c>
      <c r="AC114" s="273" t="s">
        <v>462</v>
      </c>
      <c r="AD114" s="287" t="s">
        <v>288</v>
      </c>
      <c r="AE114" s="244">
        <v>24</v>
      </c>
    </row>
    <row r="115" spans="1:31" ht="73.2" customHeight="1" thickBot="1">
      <c r="A115" s="275" t="s">
        <v>313</v>
      </c>
      <c r="B115" s="273" t="s">
        <v>370</v>
      </c>
      <c r="C115" s="289" t="s">
        <v>166</v>
      </c>
      <c r="D115" s="290" t="s">
        <v>558</v>
      </c>
      <c r="E115" s="291">
        <v>44986</v>
      </c>
      <c r="F115" s="258"/>
      <c r="G115" s="297"/>
      <c r="H115" s="241" t="s">
        <v>38</v>
      </c>
      <c r="I115" s="242"/>
      <c r="J115" s="325"/>
      <c r="K115" s="231"/>
      <c r="L115" s="230"/>
      <c r="M115" s="241" t="s">
        <v>38</v>
      </c>
      <c r="N115" s="262"/>
      <c r="O115" s="355"/>
      <c r="P115" s="355"/>
      <c r="Q115" s="240"/>
      <c r="R115" s="241" t="s">
        <v>38</v>
      </c>
      <c r="S115" s="242"/>
      <c r="T115" s="344" t="s">
        <v>831</v>
      </c>
      <c r="U115" s="345"/>
      <c r="V115" s="340" t="s">
        <v>25</v>
      </c>
      <c r="W115" s="342"/>
      <c r="X115" s="247">
        <v>4</v>
      </c>
      <c r="Y115" s="275" t="s">
        <v>304</v>
      </c>
      <c r="Z115" s="275" t="s">
        <v>294</v>
      </c>
      <c r="AA115" s="275" t="s">
        <v>12</v>
      </c>
      <c r="AB115" s="275" t="s">
        <v>462</v>
      </c>
      <c r="AC115" s="273" t="s">
        <v>462</v>
      </c>
      <c r="AD115" s="287" t="s">
        <v>288</v>
      </c>
      <c r="AE115" s="244">
        <v>42</v>
      </c>
    </row>
    <row r="116" spans="1:31" ht="73.2" customHeight="1" thickBot="1">
      <c r="A116" s="275" t="s">
        <v>596</v>
      </c>
      <c r="B116" s="273" t="s">
        <v>439</v>
      </c>
      <c r="C116" s="289" t="s">
        <v>257</v>
      </c>
      <c r="D116" s="290" t="s">
        <v>258</v>
      </c>
      <c r="E116" s="291"/>
      <c r="F116" s="301">
        <v>0.29299999999999998</v>
      </c>
      <c r="G116" s="294">
        <v>0.98</v>
      </c>
      <c r="H116" s="241" t="s">
        <v>34</v>
      </c>
      <c r="I116" s="242" t="s">
        <v>501</v>
      </c>
      <c r="J116" s="326">
        <v>0.57189999999999996</v>
      </c>
      <c r="K116" s="326">
        <v>0.57189999999999996</v>
      </c>
      <c r="L116" s="317">
        <v>0.98</v>
      </c>
      <c r="M116" s="241" t="s">
        <v>34</v>
      </c>
      <c r="N116" s="242" t="s">
        <v>501</v>
      </c>
      <c r="O116" s="326">
        <v>0.8377</v>
      </c>
      <c r="P116" s="355"/>
      <c r="Q116" s="356"/>
      <c r="R116" s="241" t="s">
        <v>34</v>
      </c>
      <c r="S116" s="242" t="s">
        <v>750</v>
      </c>
      <c r="T116" s="266" t="s">
        <v>881</v>
      </c>
      <c r="U116" s="267"/>
      <c r="V116" s="340" t="s">
        <v>26</v>
      </c>
      <c r="W116" s="254"/>
      <c r="X116" s="247"/>
      <c r="Y116" s="275" t="s">
        <v>304</v>
      </c>
      <c r="Z116" s="275" t="s">
        <v>309</v>
      </c>
      <c r="AA116" s="275" t="s">
        <v>13</v>
      </c>
      <c r="AB116" s="275" t="s">
        <v>459</v>
      </c>
      <c r="AC116" s="273" t="s">
        <v>459</v>
      </c>
      <c r="AD116" s="287" t="s">
        <v>289</v>
      </c>
      <c r="AE116" s="244">
        <v>111</v>
      </c>
    </row>
    <row r="117" spans="1:31" ht="73.2" customHeight="1" thickBot="1">
      <c r="A117" s="275" t="s">
        <v>596</v>
      </c>
      <c r="B117" s="273" t="s">
        <v>440</v>
      </c>
      <c r="C117" s="289" t="s">
        <v>259</v>
      </c>
      <c r="D117" s="290" t="s">
        <v>260</v>
      </c>
      <c r="E117" s="291"/>
      <c r="F117" s="301">
        <v>0.3458</v>
      </c>
      <c r="G117" s="294">
        <v>0.99</v>
      </c>
      <c r="H117" s="241" t="s">
        <v>34</v>
      </c>
      <c r="I117" s="242" t="s">
        <v>501</v>
      </c>
      <c r="J117" s="327">
        <v>0.60109999999999997</v>
      </c>
      <c r="K117" s="326">
        <v>0.60109999999999997</v>
      </c>
      <c r="L117" s="317">
        <v>0.99</v>
      </c>
      <c r="M117" s="241" t="s">
        <v>34</v>
      </c>
      <c r="N117" s="242" t="s">
        <v>501</v>
      </c>
      <c r="O117" s="355" t="s">
        <v>746</v>
      </c>
      <c r="P117" s="355"/>
      <c r="Q117" s="356"/>
      <c r="R117" s="241" t="s">
        <v>34</v>
      </c>
      <c r="S117" s="242" t="s">
        <v>751</v>
      </c>
      <c r="T117" s="334" t="s">
        <v>882</v>
      </c>
      <c r="U117" s="266"/>
      <c r="V117" s="340" t="s">
        <v>26</v>
      </c>
      <c r="W117" s="254"/>
      <c r="X117" s="243"/>
      <c r="Y117" s="275" t="s">
        <v>304</v>
      </c>
      <c r="Z117" s="275" t="s">
        <v>309</v>
      </c>
      <c r="AA117" s="275" t="s">
        <v>13</v>
      </c>
      <c r="AB117" s="275" t="s">
        <v>459</v>
      </c>
      <c r="AC117" s="273" t="s">
        <v>459</v>
      </c>
      <c r="AD117" s="287" t="s">
        <v>289</v>
      </c>
      <c r="AE117" s="244">
        <v>112</v>
      </c>
    </row>
    <row r="118" spans="1:31" ht="73.2" customHeight="1" thickBot="1">
      <c r="A118" s="275" t="s">
        <v>596</v>
      </c>
      <c r="B118" s="273" t="s">
        <v>441</v>
      </c>
      <c r="C118" s="289" t="s">
        <v>261</v>
      </c>
      <c r="D118" s="290" t="s">
        <v>262</v>
      </c>
      <c r="E118" s="291"/>
      <c r="F118" s="302">
        <v>2338434.89</v>
      </c>
      <c r="G118" s="303">
        <v>2500000</v>
      </c>
      <c r="H118" s="241" t="s">
        <v>34</v>
      </c>
      <c r="I118" s="242" t="s">
        <v>502</v>
      </c>
      <c r="J118" s="328">
        <v>2319060.12</v>
      </c>
      <c r="K118" s="329">
        <v>2500000</v>
      </c>
      <c r="L118" s="230" t="s">
        <v>649</v>
      </c>
      <c r="M118" s="241" t="s">
        <v>34</v>
      </c>
      <c r="N118" s="242" t="s">
        <v>501</v>
      </c>
      <c r="O118" s="355" t="s">
        <v>747</v>
      </c>
      <c r="P118" s="355"/>
      <c r="Q118" s="356"/>
      <c r="R118" s="241" t="s">
        <v>34</v>
      </c>
      <c r="S118" s="242" t="s">
        <v>760</v>
      </c>
      <c r="T118" s="362" t="s">
        <v>884</v>
      </c>
      <c r="U118" s="266"/>
      <c r="V118" s="340" t="s">
        <v>26</v>
      </c>
      <c r="W118" s="266"/>
      <c r="X118" s="243"/>
      <c r="Y118" s="275" t="s">
        <v>304</v>
      </c>
      <c r="Z118" s="275" t="s">
        <v>309</v>
      </c>
      <c r="AA118" s="275" t="s">
        <v>13</v>
      </c>
      <c r="AB118" s="275" t="s">
        <v>459</v>
      </c>
      <c r="AC118" s="273" t="s">
        <v>459</v>
      </c>
      <c r="AD118" s="287" t="s">
        <v>289</v>
      </c>
      <c r="AE118" s="244">
        <v>113</v>
      </c>
    </row>
    <row r="119" spans="1:31" ht="73.2" customHeight="1" thickBot="1">
      <c r="A119" s="275" t="s">
        <v>596</v>
      </c>
      <c r="B119" s="273" t="s">
        <v>442</v>
      </c>
      <c r="C119" s="289" t="s">
        <v>261</v>
      </c>
      <c r="D119" s="290" t="s">
        <v>263</v>
      </c>
      <c r="E119" s="291"/>
      <c r="F119" s="302">
        <v>1581013.23</v>
      </c>
      <c r="G119" s="303">
        <v>1500000</v>
      </c>
      <c r="H119" s="241" t="s">
        <v>34</v>
      </c>
      <c r="I119" s="242" t="s">
        <v>502</v>
      </c>
      <c r="J119" s="328">
        <v>1539489.67</v>
      </c>
      <c r="K119" s="330">
        <v>1500000</v>
      </c>
      <c r="L119" s="317" t="s">
        <v>650</v>
      </c>
      <c r="M119" s="241" t="s">
        <v>34</v>
      </c>
      <c r="N119" s="242" t="s">
        <v>501</v>
      </c>
      <c r="O119" s="355" t="s">
        <v>748</v>
      </c>
      <c r="P119" s="355"/>
      <c r="Q119" s="356"/>
      <c r="R119" s="241" t="s">
        <v>34</v>
      </c>
      <c r="S119" s="242" t="s">
        <v>752</v>
      </c>
      <c r="T119" s="266" t="s">
        <v>883</v>
      </c>
      <c r="U119" s="267"/>
      <c r="V119" s="340" t="s">
        <v>26</v>
      </c>
      <c r="W119" s="254"/>
      <c r="X119" s="243"/>
      <c r="Y119" s="275" t="s">
        <v>304</v>
      </c>
      <c r="Z119" s="275" t="s">
        <v>309</v>
      </c>
      <c r="AA119" s="275" t="s">
        <v>13</v>
      </c>
      <c r="AB119" s="275" t="s">
        <v>459</v>
      </c>
      <c r="AC119" s="273" t="s">
        <v>459</v>
      </c>
      <c r="AD119" s="287" t="s">
        <v>289</v>
      </c>
      <c r="AE119" s="244">
        <v>114</v>
      </c>
    </row>
    <row r="120" spans="1:31" ht="73.2" customHeight="1" thickBot="1">
      <c r="A120" s="275" t="s">
        <v>596</v>
      </c>
      <c r="B120" s="273" t="s">
        <v>443</v>
      </c>
      <c r="C120" s="289" t="s">
        <v>261</v>
      </c>
      <c r="D120" s="290" t="s">
        <v>264</v>
      </c>
      <c r="E120" s="291"/>
      <c r="F120" s="302">
        <v>170724.22</v>
      </c>
      <c r="G120" s="303">
        <v>80000</v>
      </c>
      <c r="H120" s="241" t="s">
        <v>34</v>
      </c>
      <c r="I120" s="242" t="s">
        <v>595</v>
      </c>
      <c r="J120" s="331" t="s">
        <v>671</v>
      </c>
      <c r="K120" s="328">
        <v>1197447.8</v>
      </c>
      <c r="L120" s="230">
        <v>80000</v>
      </c>
      <c r="M120" s="241" t="s">
        <v>34</v>
      </c>
      <c r="N120" s="242" t="s">
        <v>670</v>
      </c>
      <c r="O120" s="355" t="s">
        <v>749</v>
      </c>
      <c r="P120" s="355"/>
      <c r="Q120" s="356"/>
      <c r="R120" s="241" t="s">
        <v>34</v>
      </c>
      <c r="S120" s="242" t="s">
        <v>753</v>
      </c>
      <c r="T120" s="362">
        <v>51020.2</v>
      </c>
      <c r="U120" s="267"/>
      <c r="V120" s="340" t="s">
        <v>25</v>
      </c>
      <c r="W120" s="254"/>
      <c r="X120" s="243"/>
      <c r="Y120" s="275" t="s">
        <v>304</v>
      </c>
      <c r="Z120" s="275" t="s">
        <v>309</v>
      </c>
      <c r="AA120" s="275" t="s">
        <v>13</v>
      </c>
      <c r="AB120" s="275" t="s">
        <v>459</v>
      </c>
      <c r="AC120" s="273" t="s">
        <v>459</v>
      </c>
      <c r="AD120" s="287" t="s">
        <v>289</v>
      </c>
      <c r="AE120" s="244">
        <v>115</v>
      </c>
    </row>
    <row r="121" spans="1:31" ht="73.2" customHeight="1" thickBot="1">
      <c r="A121" s="275" t="s">
        <v>596</v>
      </c>
      <c r="B121" s="273" t="s">
        <v>444</v>
      </c>
      <c r="C121" s="289" t="s">
        <v>5</v>
      </c>
      <c r="D121" s="290" t="s">
        <v>99</v>
      </c>
      <c r="E121" s="291"/>
      <c r="F121" s="294">
        <v>0.99</v>
      </c>
      <c r="G121" s="294">
        <v>0.99</v>
      </c>
      <c r="H121" s="241" t="s">
        <v>34</v>
      </c>
      <c r="I121" s="242"/>
      <c r="J121" s="332">
        <v>0.99</v>
      </c>
      <c r="K121" s="319">
        <v>0.99</v>
      </c>
      <c r="L121" s="317">
        <v>0.99</v>
      </c>
      <c r="M121" s="241" t="s">
        <v>34</v>
      </c>
      <c r="N121" s="242"/>
      <c r="O121" s="355" t="s">
        <v>781</v>
      </c>
      <c r="P121" s="355"/>
      <c r="Q121" s="356"/>
      <c r="R121" s="241" t="s">
        <v>34</v>
      </c>
      <c r="S121" s="242"/>
      <c r="T121" s="335">
        <v>0.99</v>
      </c>
      <c r="U121" s="361">
        <v>0.99</v>
      </c>
      <c r="V121" s="340" t="s">
        <v>25</v>
      </c>
      <c r="W121" s="254"/>
      <c r="X121" s="243"/>
      <c r="Y121" s="275" t="s">
        <v>304</v>
      </c>
      <c r="Z121" s="275" t="s">
        <v>309</v>
      </c>
      <c r="AA121" s="275" t="s">
        <v>13</v>
      </c>
      <c r="AB121" s="275" t="s">
        <v>459</v>
      </c>
      <c r="AC121" s="273" t="s">
        <v>459</v>
      </c>
      <c r="AD121" s="287" t="s">
        <v>289</v>
      </c>
      <c r="AE121" s="244">
        <v>116</v>
      </c>
    </row>
    <row r="122" spans="1:31" ht="73.2" customHeight="1" thickBot="1">
      <c r="A122" s="275" t="s">
        <v>596</v>
      </c>
      <c r="B122" s="273" t="s">
        <v>445</v>
      </c>
      <c r="C122" s="289" t="s">
        <v>5</v>
      </c>
      <c r="D122" s="290" t="s">
        <v>100</v>
      </c>
      <c r="E122" s="291"/>
      <c r="F122" s="294">
        <v>0.8</v>
      </c>
      <c r="G122" s="294">
        <v>0.8</v>
      </c>
      <c r="H122" s="241" t="s">
        <v>34</v>
      </c>
      <c r="I122" s="242"/>
      <c r="J122" s="319">
        <v>0.8</v>
      </c>
      <c r="K122" s="319">
        <v>0.8</v>
      </c>
      <c r="L122" s="317">
        <v>0.8</v>
      </c>
      <c r="M122" s="241" t="s">
        <v>34</v>
      </c>
      <c r="N122" s="242"/>
      <c r="O122" s="355" t="s">
        <v>782</v>
      </c>
      <c r="P122" s="355"/>
      <c r="Q122" s="356"/>
      <c r="R122" s="241" t="s">
        <v>34</v>
      </c>
      <c r="S122" s="242"/>
      <c r="T122" s="350">
        <v>0.82</v>
      </c>
      <c r="U122" s="267"/>
      <c r="V122" s="340" t="s">
        <v>25</v>
      </c>
      <c r="W122" s="254"/>
      <c r="X122" s="243"/>
      <c r="Y122" s="275" t="s">
        <v>304</v>
      </c>
      <c r="Z122" s="275" t="s">
        <v>309</v>
      </c>
      <c r="AA122" s="275" t="s">
        <v>13</v>
      </c>
      <c r="AB122" s="275" t="s">
        <v>459</v>
      </c>
      <c r="AC122" s="273" t="s">
        <v>459</v>
      </c>
      <c r="AD122" s="287" t="s">
        <v>289</v>
      </c>
      <c r="AE122" s="244">
        <v>117</v>
      </c>
    </row>
    <row r="123" spans="1:31" ht="73.2" customHeight="1" thickBot="1">
      <c r="A123" s="275" t="s">
        <v>596</v>
      </c>
      <c r="B123" s="273" t="s">
        <v>446</v>
      </c>
      <c r="C123" s="289" t="s">
        <v>95</v>
      </c>
      <c r="D123" s="290" t="s">
        <v>265</v>
      </c>
      <c r="E123" s="291"/>
      <c r="F123" s="240" t="s">
        <v>499</v>
      </c>
      <c r="G123" s="240" t="s">
        <v>500</v>
      </c>
      <c r="H123" s="241" t="s">
        <v>34</v>
      </c>
      <c r="I123" s="242"/>
      <c r="J123" s="231">
        <v>4.46</v>
      </c>
      <c r="K123" s="231">
        <v>4.0599999999999996</v>
      </c>
      <c r="L123" s="230">
        <v>4.5</v>
      </c>
      <c r="M123" s="241" t="s">
        <v>34</v>
      </c>
      <c r="N123" s="242" t="s">
        <v>638</v>
      </c>
      <c r="O123" s="355" t="s">
        <v>734</v>
      </c>
      <c r="P123" s="355" t="s">
        <v>735</v>
      </c>
      <c r="Q123" s="356" t="s">
        <v>735</v>
      </c>
      <c r="R123" s="241" t="s">
        <v>34</v>
      </c>
      <c r="S123" s="242"/>
      <c r="T123" s="266">
        <v>3.54</v>
      </c>
      <c r="U123" s="267">
        <v>3.89</v>
      </c>
      <c r="V123" s="340" t="s">
        <v>25</v>
      </c>
      <c r="W123" s="254"/>
      <c r="X123" s="243"/>
      <c r="Y123" s="275" t="s">
        <v>304</v>
      </c>
      <c r="Z123" s="275" t="s">
        <v>309</v>
      </c>
      <c r="AA123" s="275" t="s">
        <v>13</v>
      </c>
      <c r="AB123" s="275" t="s">
        <v>459</v>
      </c>
      <c r="AC123" s="273" t="s">
        <v>459</v>
      </c>
      <c r="AD123" s="287" t="s">
        <v>289</v>
      </c>
      <c r="AE123" s="244">
        <v>118</v>
      </c>
    </row>
    <row r="124" spans="1:31" ht="73.2" customHeight="1" thickBot="1">
      <c r="A124" s="275" t="s">
        <v>596</v>
      </c>
      <c r="B124" s="273" t="s">
        <v>447</v>
      </c>
      <c r="C124" s="289" t="s">
        <v>104</v>
      </c>
      <c r="D124" s="290" t="s">
        <v>482</v>
      </c>
      <c r="E124" s="291"/>
      <c r="F124" s="294">
        <v>0.86</v>
      </c>
      <c r="G124" s="294">
        <v>0.9</v>
      </c>
      <c r="H124" s="241" t="s">
        <v>34</v>
      </c>
      <c r="I124" s="242"/>
      <c r="J124" s="333">
        <v>1.2059</v>
      </c>
      <c r="K124" s="326">
        <v>1.1329</v>
      </c>
      <c r="L124" s="317">
        <v>0.9</v>
      </c>
      <c r="M124" s="241" t="s">
        <v>34</v>
      </c>
      <c r="N124" s="242"/>
      <c r="O124" s="355" t="s">
        <v>755</v>
      </c>
      <c r="P124" s="355"/>
      <c r="Q124" s="356"/>
      <c r="R124" s="241" t="s">
        <v>34</v>
      </c>
      <c r="S124" s="242" t="s">
        <v>754</v>
      </c>
      <c r="T124" s="335">
        <v>0.9909</v>
      </c>
      <c r="U124" s="267"/>
      <c r="V124" s="340" t="s">
        <v>25</v>
      </c>
      <c r="W124" s="254"/>
      <c r="X124" s="243"/>
      <c r="Y124" s="275" t="s">
        <v>304</v>
      </c>
      <c r="Z124" s="275" t="s">
        <v>309</v>
      </c>
      <c r="AA124" s="275" t="s">
        <v>13</v>
      </c>
      <c r="AB124" s="275" t="s">
        <v>459</v>
      </c>
      <c r="AC124" s="273" t="s">
        <v>459</v>
      </c>
      <c r="AD124" s="287" t="s">
        <v>289</v>
      </c>
      <c r="AE124" s="244">
        <v>119</v>
      </c>
    </row>
    <row r="125" spans="1:31" ht="73.2" customHeight="1" thickBot="1">
      <c r="A125" s="275" t="s">
        <v>596</v>
      </c>
      <c r="B125" s="273" t="s">
        <v>448</v>
      </c>
      <c r="C125" s="289" t="s">
        <v>104</v>
      </c>
      <c r="D125" s="290" t="s">
        <v>483</v>
      </c>
      <c r="E125" s="291"/>
      <c r="F125" s="294">
        <v>0.83</v>
      </c>
      <c r="G125" s="294">
        <v>0.9</v>
      </c>
      <c r="H125" s="241" t="s">
        <v>34</v>
      </c>
      <c r="I125" s="242"/>
      <c r="J125" s="326">
        <v>0.86499999999999999</v>
      </c>
      <c r="K125" s="326">
        <v>0.86199999999999999</v>
      </c>
      <c r="L125" s="317">
        <v>0.9</v>
      </c>
      <c r="M125" s="241" t="s">
        <v>34</v>
      </c>
      <c r="N125" s="242"/>
      <c r="O125" s="355" t="s">
        <v>756</v>
      </c>
      <c r="P125" s="355"/>
      <c r="Q125" s="356"/>
      <c r="R125" s="241" t="s">
        <v>34</v>
      </c>
      <c r="S125" s="242" t="s">
        <v>757</v>
      </c>
      <c r="T125" s="335">
        <v>0.84450000000000003</v>
      </c>
      <c r="U125" s="363">
        <v>0.85019999999999996</v>
      </c>
      <c r="V125" s="340" t="s">
        <v>26</v>
      </c>
      <c r="W125" s="254"/>
      <c r="X125" s="243"/>
      <c r="Y125" s="275" t="s">
        <v>304</v>
      </c>
      <c r="Z125" s="275" t="s">
        <v>309</v>
      </c>
      <c r="AA125" s="275" t="s">
        <v>13</v>
      </c>
      <c r="AB125" s="275" t="s">
        <v>459</v>
      </c>
      <c r="AC125" s="273" t="s">
        <v>459</v>
      </c>
      <c r="AD125" s="287" t="s">
        <v>289</v>
      </c>
      <c r="AE125" s="244">
        <v>120</v>
      </c>
    </row>
    <row r="126" spans="1:31" ht="117.6" customHeight="1" thickBot="1">
      <c r="A126" s="275" t="s">
        <v>596</v>
      </c>
      <c r="B126" s="273" t="s">
        <v>449</v>
      </c>
      <c r="C126" s="289" t="s">
        <v>104</v>
      </c>
      <c r="D126" s="290" t="s">
        <v>484</v>
      </c>
      <c r="E126" s="291"/>
      <c r="F126" s="294">
        <v>0.51</v>
      </c>
      <c r="G126" s="294">
        <v>0.51</v>
      </c>
      <c r="H126" s="241" t="s">
        <v>34</v>
      </c>
      <c r="I126" s="242"/>
      <c r="J126" s="230" t="s">
        <v>648</v>
      </c>
      <c r="K126" s="319">
        <v>0.53</v>
      </c>
      <c r="L126" s="317">
        <v>0.5</v>
      </c>
      <c r="M126" s="241" t="s">
        <v>34</v>
      </c>
      <c r="N126" s="242" t="s">
        <v>682</v>
      </c>
      <c r="O126" s="355" t="s">
        <v>758</v>
      </c>
      <c r="P126" s="355"/>
      <c r="Q126" s="356"/>
      <c r="R126" s="241" t="s">
        <v>34</v>
      </c>
      <c r="S126" s="242" t="s">
        <v>759</v>
      </c>
      <c r="T126" s="350">
        <v>0.59</v>
      </c>
      <c r="U126" s="349">
        <v>0.59</v>
      </c>
      <c r="V126" s="340" t="s">
        <v>25</v>
      </c>
      <c r="W126" s="254"/>
      <c r="X126" s="243"/>
      <c r="Y126" s="275" t="s">
        <v>304</v>
      </c>
      <c r="Z126" s="275" t="s">
        <v>309</v>
      </c>
      <c r="AA126" s="275" t="s">
        <v>13</v>
      </c>
      <c r="AB126" s="275" t="s">
        <v>459</v>
      </c>
      <c r="AC126" s="273" t="s">
        <v>459</v>
      </c>
      <c r="AD126" s="287" t="s">
        <v>289</v>
      </c>
      <c r="AE126" s="244">
        <v>121</v>
      </c>
    </row>
    <row r="127" spans="1:31" ht="117.6" customHeight="1" thickBot="1">
      <c r="A127" s="275" t="s">
        <v>596</v>
      </c>
      <c r="B127" s="273" t="s">
        <v>450</v>
      </c>
      <c r="C127" s="289" t="s">
        <v>266</v>
      </c>
      <c r="D127" s="290" t="s">
        <v>267</v>
      </c>
      <c r="E127" s="291">
        <v>44896</v>
      </c>
      <c r="F127" s="240"/>
      <c r="G127" s="304"/>
      <c r="H127" s="241" t="s">
        <v>38</v>
      </c>
      <c r="I127" s="242"/>
      <c r="J127" s="230"/>
      <c r="K127" s="231"/>
      <c r="L127" s="230"/>
      <c r="M127" s="241" t="s">
        <v>25</v>
      </c>
      <c r="N127" s="242" t="s">
        <v>639</v>
      </c>
      <c r="O127" s="355"/>
      <c r="P127" s="355"/>
      <c r="Q127" s="356"/>
      <c r="R127" s="241" t="s">
        <v>25</v>
      </c>
      <c r="S127" s="242"/>
      <c r="T127" s="266"/>
      <c r="U127" s="267"/>
      <c r="V127" s="340" t="s">
        <v>25</v>
      </c>
      <c r="W127" s="254"/>
      <c r="X127" s="243">
        <v>3</v>
      </c>
      <c r="Y127" s="275" t="s">
        <v>304</v>
      </c>
      <c r="Z127" s="275" t="s">
        <v>309</v>
      </c>
      <c r="AA127" s="275" t="s">
        <v>13</v>
      </c>
      <c r="AB127" s="275" t="s">
        <v>459</v>
      </c>
      <c r="AC127" s="273" t="s">
        <v>459</v>
      </c>
      <c r="AD127" s="287" t="s">
        <v>289</v>
      </c>
      <c r="AE127" s="244">
        <v>122</v>
      </c>
    </row>
    <row r="128" spans="1:31" ht="73.2" customHeight="1" thickBot="1">
      <c r="A128" s="275" t="s">
        <v>596</v>
      </c>
      <c r="B128" s="273" t="s">
        <v>451</v>
      </c>
      <c r="C128" s="289" t="s">
        <v>268</v>
      </c>
      <c r="D128" s="290" t="s">
        <v>269</v>
      </c>
      <c r="E128" s="291">
        <v>44835</v>
      </c>
      <c r="F128" s="240"/>
      <c r="G128" s="240"/>
      <c r="H128" s="241" t="s">
        <v>38</v>
      </c>
      <c r="I128" s="242"/>
      <c r="J128" s="231"/>
      <c r="K128" s="231"/>
      <c r="L128" s="230"/>
      <c r="M128" s="241" t="s">
        <v>25</v>
      </c>
      <c r="N128" s="242" t="s">
        <v>640</v>
      </c>
      <c r="O128" s="355"/>
      <c r="P128" s="355"/>
      <c r="Q128" s="356"/>
      <c r="R128" s="241" t="s">
        <v>25</v>
      </c>
      <c r="S128" s="242"/>
      <c r="T128" s="266" t="s">
        <v>847</v>
      </c>
      <c r="U128" s="267"/>
      <c r="V128" s="340" t="s">
        <v>25</v>
      </c>
      <c r="W128" s="254"/>
      <c r="X128" s="243">
        <v>3</v>
      </c>
      <c r="Y128" s="275" t="s">
        <v>304</v>
      </c>
      <c r="Z128" s="275" t="s">
        <v>309</v>
      </c>
      <c r="AA128" s="275" t="s">
        <v>13</v>
      </c>
      <c r="AB128" s="275" t="s">
        <v>459</v>
      </c>
      <c r="AC128" s="273" t="s">
        <v>459</v>
      </c>
      <c r="AD128" s="287" t="s">
        <v>289</v>
      </c>
      <c r="AE128" s="244">
        <v>123</v>
      </c>
    </row>
    <row r="129" spans="1:31" ht="73.2" customHeight="1" thickBot="1">
      <c r="A129" s="275" t="s">
        <v>801</v>
      </c>
      <c r="B129" s="273" t="s">
        <v>417</v>
      </c>
      <c r="C129" s="289" t="s">
        <v>3</v>
      </c>
      <c r="D129" s="290" t="s">
        <v>590</v>
      </c>
      <c r="E129" s="291"/>
      <c r="F129" s="240" t="s">
        <v>591</v>
      </c>
      <c r="G129" s="240"/>
      <c r="H129" s="241" t="s">
        <v>34</v>
      </c>
      <c r="I129" s="242" t="s">
        <v>592</v>
      </c>
      <c r="J129" s="231" t="s">
        <v>697</v>
      </c>
      <c r="K129" s="231"/>
      <c r="L129" s="230" t="s">
        <v>692</v>
      </c>
      <c r="M129" s="241" t="s">
        <v>35</v>
      </c>
      <c r="N129" s="246"/>
      <c r="O129" s="355" t="s">
        <v>805</v>
      </c>
      <c r="P129" s="355" t="s">
        <v>803</v>
      </c>
      <c r="Q129" s="356"/>
      <c r="R129" s="241" t="s">
        <v>29</v>
      </c>
      <c r="S129" s="242"/>
      <c r="T129" s="266" t="s">
        <v>861</v>
      </c>
      <c r="U129" s="267" t="s">
        <v>862</v>
      </c>
      <c r="V129" s="340" t="s">
        <v>29</v>
      </c>
      <c r="W129" s="254"/>
      <c r="X129" s="243"/>
      <c r="Y129" s="275" t="s">
        <v>327</v>
      </c>
      <c r="Z129" s="275" t="s">
        <v>303</v>
      </c>
      <c r="AA129" s="275" t="s">
        <v>13</v>
      </c>
      <c r="AB129" s="275" t="s">
        <v>462</v>
      </c>
      <c r="AC129" s="273" t="s">
        <v>462</v>
      </c>
      <c r="AD129" s="287" t="s">
        <v>42</v>
      </c>
      <c r="AE129" s="244">
        <v>89</v>
      </c>
    </row>
    <row r="130" spans="1:31" ht="73.2" customHeight="1" thickBot="1">
      <c r="A130" s="275" t="s">
        <v>801</v>
      </c>
      <c r="B130" s="273" t="s">
        <v>418</v>
      </c>
      <c r="C130" s="289" t="s">
        <v>227</v>
      </c>
      <c r="D130" s="290" t="s">
        <v>228</v>
      </c>
      <c r="E130" s="291"/>
      <c r="F130" s="240" t="s">
        <v>532</v>
      </c>
      <c r="G130" s="240"/>
      <c r="H130" s="241" t="s">
        <v>34</v>
      </c>
      <c r="I130" s="242"/>
      <c r="J130" s="231" t="s">
        <v>691</v>
      </c>
      <c r="K130" s="231"/>
      <c r="L130" s="230"/>
      <c r="M130" s="241" t="s">
        <v>35</v>
      </c>
      <c r="N130" s="242" t="s">
        <v>691</v>
      </c>
      <c r="O130" s="355" t="s">
        <v>798</v>
      </c>
      <c r="P130" s="355" t="s">
        <v>804</v>
      </c>
      <c r="Q130" s="356"/>
      <c r="R130" s="241" t="s">
        <v>34</v>
      </c>
      <c r="S130" s="242"/>
      <c r="T130" s="266" t="s">
        <v>858</v>
      </c>
      <c r="U130" s="267" t="s">
        <v>804</v>
      </c>
      <c r="V130" s="340" t="s">
        <v>25</v>
      </c>
      <c r="W130" s="254"/>
      <c r="X130" s="247"/>
      <c r="Y130" s="275" t="s">
        <v>327</v>
      </c>
      <c r="Z130" s="275" t="s">
        <v>303</v>
      </c>
      <c r="AA130" s="275" t="s">
        <v>13</v>
      </c>
      <c r="AB130" s="275" t="s">
        <v>462</v>
      </c>
      <c r="AC130" s="273" t="s">
        <v>462</v>
      </c>
      <c r="AD130" s="287" t="s">
        <v>42</v>
      </c>
      <c r="AE130" s="244">
        <v>90</v>
      </c>
    </row>
    <row r="131" spans="1:31" ht="73.2" customHeight="1" thickBot="1">
      <c r="A131" s="275" t="s">
        <v>801</v>
      </c>
      <c r="B131" s="273" t="s">
        <v>419</v>
      </c>
      <c r="C131" s="289" t="s">
        <v>229</v>
      </c>
      <c r="D131" s="290" t="s">
        <v>230</v>
      </c>
      <c r="E131" s="291" t="s">
        <v>283</v>
      </c>
      <c r="F131" s="240" t="s">
        <v>531</v>
      </c>
      <c r="G131" s="240"/>
      <c r="H131" s="241" t="s">
        <v>34</v>
      </c>
      <c r="I131" s="242"/>
      <c r="J131" s="231" t="s">
        <v>652</v>
      </c>
      <c r="K131" s="231"/>
      <c r="L131" s="230"/>
      <c r="M131" s="241" t="s">
        <v>651</v>
      </c>
      <c r="N131" s="242"/>
      <c r="O131" s="355" t="s">
        <v>799</v>
      </c>
      <c r="P131" s="355"/>
      <c r="Q131" s="356"/>
      <c r="R131" s="241" t="s">
        <v>34</v>
      </c>
      <c r="S131" s="242"/>
      <c r="T131" s="266" t="s">
        <v>859</v>
      </c>
      <c r="U131" s="267"/>
      <c r="V131" s="340" t="s">
        <v>25</v>
      </c>
      <c r="W131" s="254"/>
      <c r="X131" s="243"/>
      <c r="Y131" s="275" t="s">
        <v>327</v>
      </c>
      <c r="Z131" s="275" t="s">
        <v>303</v>
      </c>
      <c r="AA131" s="275" t="s">
        <v>13</v>
      </c>
      <c r="AB131" s="273" t="s">
        <v>764</v>
      </c>
      <c r="AC131" s="273" t="s">
        <v>458</v>
      </c>
      <c r="AD131" s="287" t="s">
        <v>42</v>
      </c>
      <c r="AE131" s="244">
        <v>91</v>
      </c>
    </row>
    <row r="150" spans="1:1" ht="97.95" customHeight="1">
      <c r="A150" s="277" t="s">
        <v>24</v>
      </c>
    </row>
    <row r="151" spans="1:1" ht="97.95" customHeight="1">
      <c r="A151" s="277" t="s">
        <v>25</v>
      </c>
    </row>
    <row r="152" spans="1:1" ht="97.95" customHeight="1">
      <c r="A152" s="277" t="s">
        <v>26</v>
      </c>
    </row>
    <row r="153" spans="1:1" ht="97.95" customHeight="1">
      <c r="A153" s="277" t="s">
        <v>27</v>
      </c>
    </row>
    <row r="154" spans="1:1" ht="97.95" customHeight="1">
      <c r="A154" s="277" t="s">
        <v>28</v>
      </c>
    </row>
    <row r="155" spans="1:1" ht="97.95" customHeight="1">
      <c r="A155" s="277" t="s">
        <v>29</v>
      </c>
    </row>
    <row r="156" spans="1:1" ht="97.95" customHeight="1">
      <c r="A156" s="277" t="s">
        <v>30</v>
      </c>
    </row>
    <row r="157" spans="1:1" ht="97.95" customHeight="1">
      <c r="A157" s="277" t="s">
        <v>31</v>
      </c>
    </row>
    <row r="158" spans="1:1" ht="97.95" customHeight="1">
      <c r="A158" s="277" t="s">
        <v>32</v>
      </c>
    </row>
    <row r="159" spans="1:1" ht="97.95" customHeight="1">
      <c r="A159" s="277"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278" t="s">
        <v>33</v>
      </c>
    </row>
    <row r="174" spans="1:1" ht="97.95" customHeight="1">
      <c r="A174" s="253" t="s">
        <v>38</v>
      </c>
    </row>
    <row r="175" spans="1:1" ht="97.95" customHeight="1">
      <c r="A175" s="253" t="s">
        <v>37</v>
      </c>
    </row>
    <row r="176" spans="1:1" ht="97.95" customHeight="1">
      <c r="A176" s="253" t="s">
        <v>32</v>
      </c>
    </row>
  </sheetData>
  <sheetProtection algorithmName="SHA-512" hashValue="vtYn0d5ahEkXgX/Il8z/V+ZlkSfMwwYmOOVqHVQZGV6UsnRAKPdjmZmcKl5h2J6bcZfLBs3lb6JxtI102ZSFXQ==" saltValue="15/7D2ZxRZ7KcJjekJHvtQ==" spinCount="100000" sheet="1" selectLockedCells="1" autoFilter="0" pivotTables="0"/>
  <protectedRanges>
    <protectedRange sqref="T3:W27 T29:T78 U28:U131 W28:W131 V128:V131 V28:V126 T80:T131" name="Range1"/>
  </protectedRanges>
  <autoFilter ref="A2:AF131"/>
  <sortState ref="A3:AE131">
    <sortCondition ref="AE3:AE131"/>
  </sortState>
  <mergeCells count="4">
    <mergeCell ref="F1:I1"/>
    <mergeCell ref="J1:N1"/>
    <mergeCell ref="O1:S1"/>
    <mergeCell ref="T1:W1"/>
  </mergeCells>
  <conditionalFormatting sqref="H3:H131 M3:M131 R3:R131">
    <cfRule type="containsText" dxfId="3981" priority="1880" operator="containsText" text="Deferred">
      <formula>NOT(ISERROR(SEARCH("Deferred",H3)))</formula>
    </cfRule>
    <cfRule type="containsText" dxfId="3980" priority="1882" operator="containsText" text="Update Not Provided">
      <formula>NOT(ISERROR(SEARCH("Update Not Provided",H3)))</formula>
    </cfRule>
    <cfRule type="containsText" dxfId="3979" priority="1883" operator="containsText" text="Not Yet Due">
      <formula>NOT(ISERROR(SEARCH("Not Yet Due",H3)))</formula>
    </cfRule>
    <cfRule type="containsText" dxfId="3978" priority="1884" operator="containsText" text="Deleted">
      <formula>NOT(ISERROR(SEARCH("Deleted",H3)))</formula>
    </cfRule>
    <cfRule type="containsText" dxfId="3977" priority="1885" operator="containsText" text="Completed Behind Schedule">
      <formula>NOT(ISERROR(SEARCH("Completed Behind Schedule",H3)))</formula>
    </cfRule>
    <cfRule type="containsText" dxfId="3976" priority="1886" operator="containsText" text="Off Target">
      <formula>NOT(ISERROR(SEARCH("Off Target",H3)))</formula>
    </cfRule>
    <cfRule type="containsText" dxfId="3975" priority="1887" operator="containsText" text="In Danger of Falling Behind Target">
      <formula>NOT(ISERROR(SEARCH("In Danger of Falling Behind Target",H3)))</formula>
    </cfRule>
    <cfRule type="containsText" dxfId="3974" priority="1888" operator="containsText" text="Fully Achieved">
      <formula>NOT(ISERROR(SEARCH("Fully Achieved",H3)))</formula>
    </cfRule>
    <cfRule type="containsText" dxfId="3973" priority="1889" operator="containsText" text="On track to be achieved">
      <formula>NOT(ISERROR(SEARCH("On track to be achieved",H3)))</formula>
    </cfRule>
  </conditionalFormatting>
  <conditionalFormatting sqref="V128:V131 V3:V126">
    <cfRule type="containsText" dxfId="3972" priority="814" operator="containsText" text="Deleted">
      <formula>NOT(ISERROR(SEARCH("Deleted",V3)))</formula>
    </cfRule>
    <cfRule type="containsText" dxfId="3971" priority="815" operator="containsText" text="Deferred">
      <formula>NOT(ISERROR(SEARCH("Deferred",V3)))</formula>
    </cfRule>
    <cfRule type="containsText" dxfId="3970" priority="816" operator="containsText" text="Completion date within reasonable tolerance">
      <formula>NOT(ISERROR(SEARCH("Completion date within reasonable tolerance",V3)))</formula>
    </cfRule>
    <cfRule type="containsText" dxfId="3969" priority="817" operator="containsText" text="completed significantly after target deadline">
      <formula>NOT(ISERROR(SEARCH("completed significantly after target deadline",V3)))</formula>
    </cfRule>
    <cfRule type="containsText" dxfId="3968" priority="818" operator="containsText" text="Off target">
      <formula>NOT(ISERROR(SEARCH("Off target",V3)))</formula>
    </cfRule>
    <cfRule type="containsText" dxfId="3967" priority="819" operator="containsText" text="Target partially met">
      <formula>NOT(ISERROR(SEARCH("Target partially met",V3)))</formula>
    </cfRule>
    <cfRule type="containsText" dxfId="3966" priority="820" operator="containsText" text="Numerical outturn within 10% tolerance">
      <formula>NOT(ISERROR(SEARCH("Numerical outturn within 10% tolerance",V3)))</formula>
    </cfRule>
    <cfRule type="containsText" dxfId="3965" priority="821" operator="containsText" text="Numerical outturn within 5% Tolerance">
      <formula>NOT(ISERROR(SEARCH("Numerical outturn within 5% Tolerance",V3)))</formula>
    </cfRule>
    <cfRule type="containsText" dxfId="3964" priority="822" operator="containsText" text="Fully Achieved">
      <formula>NOT(ISERROR(SEARCH("Fully Achieved",V3)))</formula>
    </cfRule>
    <cfRule type="containsText" dxfId="3963" priority="823" operator="containsText" text="Update Not Provided">
      <formula>NOT(ISERROR(SEARCH("Update Not Provided",V3)))</formula>
    </cfRule>
    <cfRule type="containsText" dxfId="3962" priority="824" operator="containsText" text="Deferred">
      <formula>NOT(ISERROR(SEARCH("Deferred",V3)))</formula>
    </cfRule>
    <cfRule type="containsText" dxfId="3961" priority="825" operator="containsText" text="Update Not Provided">
      <formula>NOT(ISERROR(SEARCH("Update Not Provided",V3)))</formula>
    </cfRule>
    <cfRule type="containsText" dxfId="3960" priority="826" operator="containsText" text="Not Yet Due">
      <formula>NOT(ISERROR(SEARCH("Not Yet Due",V3)))</formula>
    </cfRule>
    <cfRule type="containsText" dxfId="3959" priority="827" operator="containsText" text="Deleted">
      <formula>NOT(ISERROR(SEARCH("Deleted",V3)))</formula>
    </cfRule>
    <cfRule type="containsText" dxfId="3958" priority="828" operator="containsText" text="Completed Behind Schedule">
      <formula>NOT(ISERROR(SEARCH("Completed Behind Schedule",V3)))</formula>
    </cfRule>
    <cfRule type="containsText" dxfId="3957" priority="829" operator="containsText" text="Off Target">
      <formula>NOT(ISERROR(SEARCH("Off Target",V3)))</formula>
    </cfRule>
    <cfRule type="containsText" dxfId="3956" priority="830" operator="containsText" text="In Danger of Falling Behind Target">
      <formula>NOT(ISERROR(SEARCH("In Danger of Falling Behind Target",V3)))</formula>
    </cfRule>
    <cfRule type="containsText" dxfId="3955" priority="831" operator="containsText" text="Fully Achieved">
      <formula>NOT(ISERROR(SEARCH("Fully Achieved",V3)))</formula>
    </cfRule>
    <cfRule type="containsText" dxfId="3954" priority="832" operator="containsText" text="On track to be achieved">
      <formula>NOT(ISERROR(SEARCH("On track to be achieved",V3)))</formula>
    </cfRule>
  </conditionalFormatting>
  <conditionalFormatting sqref="V127">
    <cfRule type="containsText" dxfId="3953" priority="1" operator="containsText" text="Deleted">
      <formula>NOT(ISERROR(SEARCH("Deleted",V127)))</formula>
    </cfRule>
    <cfRule type="containsText" dxfId="3952" priority="2" operator="containsText" text="Deferred">
      <formula>NOT(ISERROR(SEARCH("Deferred",V127)))</formula>
    </cfRule>
    <cfRule type="containsText" dxfId="3951" priority="3" operator="containsText" text="Completion date within reasonable tolerance">
      <formula>NOT(ISERROR(SEARCH("Completion date within reasonable tolerance",V127)))</formula>
    </cfRule>
    <cfRule type="containsText" dxfId="3950" priority="4" operator="containsText" text="completed significantly after target deadline">
      <formula>NOT(ISERROR(SEARCH("completed significantly after target deadline",V127)))</formula>
    </cfRule>
    <cfRule type="containsText" dxfId="3949" priority="5" operator="containsText" text="Off target">
      <formula>NOT(ISERROR(SEARCH("Off target",V127)))</formula>
    </cfRule>
    <cfRule type="containsText" dxfId="3948" priority="6" operator="containsText" text="Target partially met">
      <formula>NOT(ISERROR(SEARCH("Target partially met",V127)))</formula>
    </cfRule>
    <cfRule type="containsText" dxfId="3947" priority="7" operator="containsText" text="Numerical outturn within 10% tolerance">
      <formula>NOT(ISERROR(SEARCH("Numerical outturn within 10% tolerance",V127)))</formula>
    </cfRule>
    <cfRule type="containsText" dxfId="3946" priority="8" operator="containsText" text="Numerical outturn within 5% Tolerance">
      <formula>NOT(ISERROR(SEARCH("Numerical outturn within 5% Tolerance",V127)))</formula>
    </cfRule>
    <cfRule type="containsText" dxfId="3945" priority="9" operator="containsText" text="Fully Achieved">
      <formula>NOT(ISERROR(SEARCH("Fully Achieved",V127)))</formula>
    </cfRule>
    <cfRule type="containsText" dxfId="3944" priority="10" operator="containsText" text="Update Not Provided">
      <formula>NOT(ISERROR(SEARCH("Update Not Provided",V127)))</formula>
    </cfRule>
    <cfRule type="containsText" dxfId="3943" priority="11" operator="containsText" text="Deferred">
      <formula>NOT(ISERROR(SEARCH("Deferred",V127)))</formula>
    </cfRule>
    <cfRule type="containsText" dxfId="3942" priority="12" operator="containsText" text="Update Not Provided">
      <formula>NOT(ISERROR(SEARCH("Update Not Provided",V127)))</formula>
    </cfRule>
    <cfRule type="containsText" dxfId="3941" priority="13" operator="containsText" text="Not Yet Due">
      <formula>NOT(ISERROR(SEARCH("Not Yet Due",V127)))</formula>
    </cfRule>
    <cfRule type="containsText" dxfId="3940" priority="14" operator="containsText" text="Deleted">
      <formula>NOT(ISERROR(SEARCH("Deleted",V127)))</formula>
    </cfRule>
    <cfRule type="containsText" dxfId="3939" priority="15" operator="containsText" text="Completed Behind Schedule">
      <formula>NOT(ISERROR(SEARCH("Completed Behind Schedule",V127)))</formula>
    </cfRule>
    <cfRule type="containsText" dxfId="3938" priority="16" operator="containsText" text="Off Target">
      <formula>NOT(ISERROR(SEARCH("Off Target",V127)))</formula>
    </cfRule>
    <cfRule type="containsText" dxfId="3937" priority="17" operator="containsText" text="In Danger of Falling Behind Target">
      <formula>NOT(ISERROR(SEARCH("In Danger of Falling Behind Target",V127)))</formula>
    </cfRule>
    <cfRule type="containsText" dxfId="3936" priority="18" operator="containsText" text="Fully Achieved">
      <formula>NOT(ISERROR(SEARCH("Fully Achieved",V127)))</formula>
    </cfRule>
    <cfRule type="containsText" dxfId="3935" priority="19" operator="containsText" text="On track to be achieved">
      <formula>NOT(ISERROR(SEARCH("On track to be achieved",V127)))</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26 V128: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52</v>
      </c>
      <c r="C1" s="92"/>
    </row>
    <row r="2" spans="1:46" s="94" customFormat="1" ht="63">
      <c r="A2" s="133" t="s">
        <v>71</v>
      </c>
      <c r="B2" s="133" t="s">
        <v>0</v>
      </c>
      <c r="C2" s="133" t="s">
        <v>1</v>
      </c>
      <c r="D2" s="134" t="s">
        <v>72</v>
      </c>
      <c r="E2" s="134" t="s">
        <v>73</v>
      </c>
      <c r="F2" s="134" t="s">
        <v>74</v>
      </c>
      <c r="G2" s="134" t="s">
        <v>75</v>
      </c>
      <c r="H2" s="134" t="s">
        <v>76</v>
      </c>
      <c r="I2" s="134" t="s">
        <v>77</v>
      </c>
      <c r="J2" s="134" t="s">
        <v>78</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80</v>
      </c>
    </row>
    <row r="4" spans="1:46" ht="99.75" customHeight="1" thickTop="1" thickBot="1">
      <c r="A4" s="96" t="str">
        <f>'1. All Data'!B3</f>
        <v>EHW24</v>
      </c>
      <c r="B4" s="128" t="str">
        <f>'1. All Data'!C3</f>
        <v xml:space="preserve">Housing Strategy Initiatives: Update on Improvements to the Housing Register </v>
      </c>
      <c r="C4" s="129" t="str">
        <f>'1. All Data'!D3</f>
        <v>Produce an update report and next steps for revised Housing Register and Allocations Service Contract</v>
      </c>
      <c r="D4" s="125" t="str">
        <f>'1. All Data'!H3</f>
        <v>Not Yet Due</v>
      </c>
      <c r="E4" s="98"/>
      <c r="F4" s="126" t="str">
        <f>'1. All Data'!M3</f>
        <v>On Track to be Achieved</v>
      </c>
      <c r="G4" s="98"/>
      <c r="H4" s="127" t="str">
        <f>'1. All Data'!R3</f>
        <v>Fully Achieved</v>
      </c>
      <c r="I4" s="98"/>
      <c r="J4" s="127" t="str">
        <f>'1. All Data'!V3</f>
        <v>Fully Achieved</v>
      </c>
      <c r="O4" s="100" t="s">
        <v>82</v>
      </c>
      <c r="Y4" s="98" t="s">
        <v>81</v>
      </c>
    </row>
    <row r="5" spans="1:46" ht="99.75" customHeight="1" thickTop="1" thickBot="1">
      <c r="A5" s="96" t="str">
        <f>'1. All Data'!B4</f>
        <v>EHW25</v>
      </c>
      <c r="B5" s="128" t="str">
        <f>'1. All Data'!C4</f>
        <v>Housing Strategy Initiatives: Proactively reducing the number of empty homes in the borough</v>
      </c>
      <c r="C5" s="129" t="str">
        <f>'1. All Data'!D4</f>
        <v>Performance report identifying the reduction in empty homes</v>
      </c>
      <c r="D5" s="125" t="str">
        <f>'1. All Data'!H4</f>
        <v>Not Yet Due</v>
      </c>
      <c r="E5" s="98"/>
      <c r="F5" s="126" t="str">
        <f>'1. All Data'!M4</f>
        <v>Not Yet Due</v>
      </c>
      <c r="G5" s="98"/>
      <c r="H5" s="127" t="str">
        <f>'1. All Data'!R4</f>
        <v>On Track to be Achieved</v>
      </c>
      <c r="I5" s="98"/>
      <c r="J5" s="127" t="str">
        <f>'1. All Data'!V4</f>
        <v>Fully Achieved</v>
      </c>
      <c r="O5" s="100" t="s">
        <v>83</v>
      </c>
      <c r="T5" s="102"/>
      <c r="Y5" s="103" t="s">
        <v>84</v>
      </c>
    </row>
    <row r="6" spans="1:46" ht="88.8" thickTop="1" thickBot="1">
      <c r="A6" s="96" t="str">
        <f>'1. All Data'!B5</f>
        <v>EHW26</v>
      </c>
      <c r="B6" s="128" t="str">
        <f>'1. All Data'!C5</f>
        <v>Delivering Better Services to Support Homelessness</v>
      </c>
      <c r="C6" s="129" t="str">
        <f>'1. All Data'!D5</f>
        <v>Develop the approach for the delivery of the new Rough Sleepers Outreach Service</v>
      </c>
      <c r="D6" s="125" t="str">
        <f>'1. All Data'!H5</f>
        <v>On Track to be Achieved</v>
      </c>
      <c r="E6" s="98"/>
      <c r="F6" s="126" t="str">
        <f>'1. All Data'!M5</f>
        <v>On Track to be Achieved</v>
      </c>
      <c r="G6" s="98"/>
      <c r="H6" s="127" t="str">
        <f>'1. All Data'!R5</f>
        <v>On Track to be Achieved</v>
      </c>
      <c r="I6" s="98"/>
      <c r="J6" s="127" t="str">
        <f>'1. All Data'!V5</f>
        <v>Fully Achieved</v>
      </c>
      <c r="O6" s="104" t="s">
        <v>79</v>
      </c>
      <c r="T6" s="105" t="s">
        <v>84</v>
      </c>
    </row>
    <row r="7" spans="1:46" ht="99.75" customHeight="1" thickTop="1">
      <c r="A7" s="96" t="str">
        <f>'1. All Data'!B6</f>
        <v>EHW27</v>
      </c>
      <c r="B7" s="128" t="str">
        <f>'1. All Data'!C6</f>
        <v>Delivering Better Services to Support Homelessness</v>
      </c>
      <c r="C7" s="129" t="str">
        <f>'1. All Data'!D6</f>
        <v>Average time from appointment to initial decision for homeless applicants of 3 days</v>
      </c>
      <c r="D7" s="125" t="str">
        <f>'1. All Data'!H6</f>
        <v>On Track to be Achieved</v>
      </c>
      <c r="E7" s="98"/>
      <c r="F7" s="126" t="str">
        <f>'1. All Data'!M6</f>
        <v>On Track to be Achieved</v>
      </c>
      <c r="G7" s="98"/>
      <c r="H7" s="127" t="str">
        <f>'1. All Data'!R6</f>
        <v>On Track to be Achieved</v>
      </c>
      <c r="I7" s="98"/>
      <c r="J7" s="127" t="str">
        <f>'1. All Data'!V6</f>
        <v>Fully Achieved</v>
      </c>
      <c r="T7" s="105" t="s">
        <v>85</v>
      </c>
    </row>
    <row r="8" spans="1:46" ht="99.75" customHeight="1">
      <c r="A8" s="96" t="str">
        <f>'1. All Data'!B7</f>
        <v>EHW28</v>
      </c>
      <c r="B8" s="128" t="str">
        <f>'1. All Data'!C7</f>
        <v>Delivering Better Services to Support Homelessness</v>
      </c>
      <c r="C8" s="129" t="str">
        <f>'1. All Data'!D7</f>
        <v>Maintain ‘Key to Key’ Void Turnaround to an average of 6 working days</v>
      </c>
      <c r="D8" s="125" t="str">
        <f>'1. All Data'!H7</f>
        <v>On Track to be Achieved</v>
      </c>
      <c r="E8" s="98"/>
      <c r="F8" s="126" t="str">
        <f>'1. All Data'!M7</f>
        <v>On Track to be Achieved</v>
      </c>
      <c r="G8" s="98"/>
      <c r="H8" s="127" t="str">
        <f>'1. All Data'!R7</f>
        <v>On Track to be Achieved</v>
      </c>
      <c r="I8" s="98"/>
      <c r="J8" s="127" t="str">
        <f>'1. All Data'!V7</f>
        <v>Fully Achieved</v>
      </c>
      <c r="T8" s="105" t="s">
        <v>81</v>
      </c>
    </row>
    <row r="9" spans="1:46" ht="99.75" customHeight="1">
      <c r="A9" s="96" t="str">
        <f>'1. All Data'!B8</f>
        <v>EHW29</v>
      </c>
      <c r="B9" s="128" t="str">
        <f>'1. All Data'!C8</f>
        <v>Delivering Better Services to Support Homelessness</v>
      </c>
      <c r="C9" s="129" t="str">
        <f>'1. All Data'!D8</f>
        <v>Carryout relevant procurement and service redesign, following the outcome of RSI 5</v>
      </c>
      <c r="D9" s="125" t="str">
        <f>'1. All Data'!H8</f>
        <v>Not Yet Due</v>
      </c>
      <c r="E9" s="97"/>
      <c r="F9" s="126" t="str">
        <f>'1. All Data'!M8</f>
        <v>Fully Achieved</v>
      </c>
      <c r="G9" s="98"/>
      <c r="H9" s="127" t="str">
        <f>'1. All Data'!R8</f>
        <v>Fully Achieved</v>
      </c>
      <c r="I9" s="98"/>
      <c r="J9" s="127" t="str">
        <f>'1. All Data'!V8</f>
        <v>Fully Achieved</v>
      </c>
    </row>
    <row r="10" spans="1:46" ht="99.75" customHeight="1">
      <c r="A10" s="96" t="str">
        <f>'1. All Data'!B9</f>
        <v>CR06</v>
      </c>
      <c r="B10" s="128" t="str">
        <f>'1. All Data'!C9</f>
        <v>Understanding the position in relation to Town Centre recovery</v>
      </c>
      <c r="C10" s="129" t="str">
        <f>'1. All Data'!D9</f>
        <v>Develop a range of data that monitors and tracks information on footfall and car park usage in our High Streets</v>
      </c>
      <c r="D10" s="125" t="str">
        <f>'1. All Data'!H9</f>
        <v>Fully Achieved</v>
      </c>
      <c r="E10" s="97"/>
      <c r="F10" s="126" t="str">
        <f>'1. All Data'!M9</f>
        <v>Fully Achieved</v>
      </c>
      <c r="G10" s="98"/>
      <c r="H10" s="127" t="str">
        <f>'1. All Data'!R9</f>
        <v>Fully Achieved</v>
      </c>
      <c r="I10" s="98"/>
      <c r="J10" s="127" t="str">
        <f>'1. All Data'!V9</f>
        <v>Fully Achieved</v>
      </c>
    </row>
    <row r="11" spans="1:46" ht="99.75" customHeight="1">
      <c r="A11" s="96" t="str">
        <f>'1. All Data'!B10</f>
        <v>EHW11</v>
      </c>
      <c r="B11" s="128" t="str">
        <f>'1. All Data'!C10</f>
        <v>Brewhouse and Town Hall Service</v>
      </c>
      <c r="C11" s="129" t="str">
        <f>'1. All Data'!D10</f>
        <v>Deliver a programme of 6 Outdoor events to take place across the Boroughs parks and green spaces during summer 2022 including 1 ‘flagship’ outdoor theatre event</v>
      </c>
      <c r="D11" s="125" t="str">
        <f>'1. All Data'!H10</f>
        <v>On Track to be Achieved</v>
      </c>
      <c r="E11" s="97"/>
      <c r="F11" s="126" t="str">
        <f>'1. All Data'!M10</f>
        <v>Fully Achieved</v>
      </c>
      <c r="G11" s="98"/>
      <c r="H11" s="127" t="str">
        <f>'1. All Data'!R10</f>
        <v>Fully Achieved</v>
      </c>
      <c r="I11" s="98"/>
      <c r="J11" s="127" t="str">
        <f>'1. All Data'!V10</f>
        <v>Fully Achieved</v>
      </c>
    </row>
    <row r="12" spans="1:46" ht="99.75" customHeight="1">
      <c r="A12" s="96" t="str">
        <f>'1. All Data'!B11</f>
        <v>EHW12</v>
      </c>
      <c r="B12" s="128" t="str">
        <f>'1. All Data'!C11</f>
        <v>Brewhouse and Town Hall Service</v>
      </c>
      <c r="C12" s="129" t="str">
        <f>'1. All Data'!D11</f>
        <v>Develop a number of new partnerships including the delivery of a series of arts events that will take place across the Jubilee Weekend; including the launch of the Big Burton Carousel Art Trail</v>
      </c>
      <c r="D12" s="125" t="str">
        <f>'1. All Data'!H11</f>
        <v>On Track to be Achieved</v>
      </c>
      <c r="E12" s="98"/>
      <c r="F12" s="126" t="str">
        <f>'1. All Data'!M11</f>
        <v>On Track to be Achieved</v>
      </c>
      <c r="G12" s="98"/>
      <c r="H12" s="127" t="str">
        <f>'1. All Data'!R11</f>
        <v>Fully Achieved</v>
      </c>
      <c r="I12" s="105"/>
      <c r="J12" s="127" t="str">
        <f>'1. All Data'!V11</f>
        <v>Fully Achieved</v>
      </c>
    </row>
    <row r="13" spans="1:46" ht="99.75" customHeight="1">
      <c r="A13" s="96" t="str">
        <f>'1. All Data'!B12</f>
        <v>EHW13</v>
      </c>
      <c r="B13" s="128" t="str">
        <f>'1. All Data'!C12</f>
        <v>Brewhouse and Town Hall Service</v>
      </c>
      <c r="C13" s="129" t="str">
        <f>'1. All Data'!D12</f>
        <v>Support the delivery of the Burton Ale Trail</v>
      </c>
      <c r="D13" s="125" t="str">
        <f>'1. All Data'!H12</f>
        <v>On Track to be Achieved</v>
      </c>
      <c r="E13" s="98"/>
      <c r="F13" s="126" t="str">
        <f>'1. All Data'!M12</f>
        <v>Fully Achieved</v>
      </c>
      <c r="G13" s="98"/>
      <c r="H13" s="127" t="str">
        <f>'1. All Data'!R12</f>
        <v>Fully Achieved</v>
      </c>
      <c r="I13" s="98"/>
      <c r="J13" s="127" t="str">
        <f>'1. All Data'!V12</f>
        <v>Fully Achieved</v>
      </c>
    </row>
    <row r="14" spans="1:46" ht="99.75" customHeight="1">
      <c r="A14" s="96" t="str">
        <f>'1. All Data'!B13</f>
        <v>EHW14</v>
      </c>
      <c r="B14" s="128" t="str">
        <f>'1. All Data'!C13</f>
        <v>Brewhouse and Town Hall Service</v>
      </c>
      <c r="C14" s="129" t="str">
        <f>'1. All Data'!D13</f>
        <v>Continue to build our digital presence in support of the professional live theatre and entertainment programme, including 4 professional live programmed events at Burton Town Hall</v>
      </c>
      <c r="D14" s="125" t="str">
        <f>'1. All Data'!H13</f>
        <v>On Track to be Achieved</v>
      </c>
      <c r="E14" s="98"/>
      <c r="F14" s="126" t="str">
        <f>'1. All Data'!M13</f>
        <v>On Track to be Achieved</v>
      </c>
      <c r="G14" s="98"/>
      <c r="H14" s="127" t="str">
        <f>'1. All Data'!R13</f>
        <v>On Track to be Achieved</v>
      </c>
      <c r="I14" s="98"/>
      <c r="J14" s="127" t="str">
        <f>'1. All Data'!V13</f>
        <v>Fully Achieved</v>
      </c>
    </row>
    <row r="15" spans="1:46" ht="99.75" customHeight="1">
      <c r="A15" s="96" t="str">
        <f>'1. All Data'!B14</f>
        <v>CR01</v>
      </c>
      <c r="B15" s="128" t="str">
        <f>'1. All Data'!C14</f>
        <v>Moving Beyond Communication</v>
      </c>
      <c r="C15" s="129" t="str">
        <f>'1. All Data'!D14</f>
        <v>Conduct a Residents’ Survey</v>
      </c>
      <c r="D15" s="125" t="str">
        <f>'1. All Data'!H14</f>
        <v>On Track to be Achieved</v>
      </c>
      <c r="E15" s="98"/>
      <c r="F15" s="126" t="str">
        <f>'1. All Data'!M14</f>
        <v>Fully Achieved</v>
      </c>
      <c r="G15" s="98"/>
      <c r="H15" s="127" t="str">
        <f>'1. All Data'!R14</f>
        <v>Fully Achieved</v>
      </c>
      <c r="I15" s="98"/>
      <c r="J15" s="127" t="str">
        <f>'1. All Data'!V14</f>
        <v>Fully Achieved</v>
      </c>
    </row>
    <row r="16" spans="1:46" ht="99.75" customHeight="1">
      <c r="A16" s="96" t="str">
        <f>'1. All Data'!B15</f>
        <v>CR02</v>
      </c>
      <c r="B16" s="128" t="str">
        <f>'1. All Data'!C15</f>
        <v>Moving Beyond Communication</v>
      </c>
      <c r="C16" s="129" t="str">
        <f>'1. All Data'!D15</f>
        <v>Prepare our Annual Communications Plan</v>
      </c>
      <c r="D16" s="125" t="str">
        <f>'1. All Data'!H15</f>
        <v>Fully Achieved</v>
      </c>
      <c r="E16" s="98"/>
      <c r="F16" s="126" t="str">
        <f>'1. All Data'!M15</f>
        <v>Fully Achieved</v>
      </c>
      <c r="G16" s="98"/>
      <c r="H16" s="127" t="str">
        <f>'1. All Data'!R15</f>
        <v>Fully Achieved</v>
      </c>
      <c r="I16" s="98"/>
      <c r="J16" s="127" t="str">
        <f>'1. All Data'!V15</f>
        <v>Fully Achieved</v>
      </c>
    </row>
    <row r="17" spans="1:10" ht="99.75" customHeight="1">
      <c r="A17" s="96" t="str">
        <f>'1. All Data'!B16</f>
        <v>CR03</v>
      </c>
      <c r="B17" s="128" t="str">
        <f>'1. All Data'!C16</f>
        <v>Moving Beyond Communication</v>
      </c>
      <c r="C17" s="129" t="str">
        <f>'1. All Data'!D16</f>
        <v xml:space="preserve">Carry out  a review of the Communications, Engagement and Consultation Strategy </v>
      </c>
      <c r="D17" s="125" t="str">
        <f>'1. All Data'!H16</f>
        <v>Not Yet Due</v>
      </c>
      <c r="E17" s="98"/>
      <c r="F17" s="126" t="str">
        <f>'1. All Data'!M16</f>
        <v>Not Yet Due</v>
      </c>
      <c r="G17" s="98"/>
      <c r="H17" s="127" t="str">
        <f>'1. All Data'!R16</f>
        <v>Deferred</v>
      </c>
      <c r="I17" s="98"/>
      <c r="J17" s="127" t="str">
        <f>'1. All Data'!V16</f>
        <v>Deferred</v>
      </c>
    </row>
    <row r="18" spans="1:10" ht="99.75" customHeight="1">
      <c r="A18" s="96" t="str">
        <f>'1. All Data'!B17</f>
        <v>VFM08</v>
      </c>
      <c r="B18" s="128" t="str">
        <f>'1. All Data'!C17</f>
        <v xml:space="preserve">Progressing to Digital Maturity </v>
      </c>
      <c r="C18" s="129" t="str">
        <f>'1. All Data'!D17</f>
        <v>Upgrade the Council website and go live with new version</v>
      </c>
      <c r="D18" s="125" t="str">
        <f>'1. All Data'!H17</f>
        <v>On Track to be Achieved</v>
      </c>
      <c r="E18" s="98"/>
      <c r="F18" s="126" t="str">
        <f>'1. All Data'!M17</f>
        <v>In Danger of Falling Behind Target</v>
      </c>
      <c r="G18" s="98"/>
      <c r="H18" s="127" t="str">
        <f>'1. All Data'!R17</f>
        <v>Off Target</v>
      </c>
      <c r="I18" s="98"/>
      <c r="J18" s="127" t="str">
        <f>'1. All Data'!V17</f>
        <v>Off Target</v>
      </c>
    </row>
    <row r="19" spans="1:10" ht="99.75" customHeight="1">
      <c r="A19" s="96" t="str">
        <f>'1. All Data'!B18</f>
        <v>VFM09</v>
      </c>
      <c r="B19" s="128" t="str">
        <f>'1. All Data'!C18</f>
        <v xml:space="preserve">Progressing to Digital Maturity </v>
      </c>
      <c r="C19" s="129" t="str">
        <f>'1. All Data'!D18</f>
        <v>Feasibility study regarding an Elected Member intranet</v>
      </c>
      <c r="D19" s="125" t="str">
        <f>'1. All Data'!H18</f>
        <v>Fully Achieved</v>
      </c>
      <c r="E19" s="97"/>
      <c r="F19" s="126" t="str">
        <f>'1. All Data'!M18</f>
        <v>Fully Achieved</v>
      </c>
      <c r="G19" s="98"/>
      <c r="H19" s="127" t="str">
        <f>'1. All Data'!R18</f>
        <v>Fully Achieved</v>
      </c>
      <c r="I19" s="98"/>
      <c r="J19" s="127" t="str">
        <f>'1. All Data'!V18</f>
        <v>Fully Achieved</v>
      </c>
    </row>
    <row r="20" spans="1:10" ht="99.75" customHeight="1">
      <c r="A20" s="96" t="str">
        <f>'1. All Data'!B19</f>
        <v>VFM10</v>
      </c>
      <c r="B20" s="128" t="str">
        <f>'1. All Data'!C19</f>
        <v xml:space="preserve">Progressing to Digital Maturity </v>
      </c>
      <c r="C20" s="129" t="str">
        <f>'1. All Data'!D19</f>
        <v>Options appraisal on use of chat-bot and live chat options</v>
      </c>
      <c r="D20" s="125" t="str">
        <f>'1. All Data'!H19</f>
        <v>Fully Achieved</v>
      </c>
      <c r="E20" s="97"/>
      <c r="F20" s="126" t="str">
        <f>'1. All Data'!M19</f>
        <v>Fully Achieved</v>
      </c>
      <c r="G20" s="98"/>
      <c r="H20" s="127" t="str">
        <f>'1. All Data'!R19</f>
        <v>Fully Achieved</v>
      </c>
      <c r="I20" s="98"/>
      <c r="J20" s="127" t="str">
        <f>'1. All Data'!V19</f>
        <v>Fully Achieved</v>
      </c>
    </row>
    <row r="21" spans="1:10" ht="99.75" customHeight="1">
      <c r="A21" s="96" t="str">
        <f>'1. All Data'!B20</f>
        <v>VFM11</v>
      </c>
      <c r="B21" s="128" t="str">
        <f>'1. All Data'!C20</f>
        <v xml:space="preserve">Progressing to Digital Maturity </v>
      </c>
      <c r="C21" s="129" t="str">
        <f>'1. All Data'!D20</f>
        <v>Map based reporting options appraisal</v>
      </c>
      <c r="D21" s="125" t="str">
        <f>'1. All Data'!H20</f>
        <v>Not Yet Due</v>
      </c>
      <c r="E21" s="98"/>
      <c r="F21" s="126" t="str">
        <f>'1. All Data'!M20</f>
        <v>Fully Achieved</v>
      </c>
      <c r="G21" s="98"/>
      <c r="H21" s="127" t="str">
        <f>'1. All Data'!R20</f>
        <v>Fully Achieved</v>
      </c>
      <c r="I21" s="98"/>
      <c r="J21" s="127" t="str">
        <f>'1. All Data'!V20</f>
        <v>Fully Achieved</v>
      </c>
    </row>
    <row r="22" spans="1:10" ht="99.75" customHeight="1">
      <c r="A22" s="96" t="str">
        <f>'1. All Data'!B21</f>
        <v>VFM12</v>
      </c>
      <c r="B22" s="128" t="str">
        <f>'1. All Data'!C21</f>
        <v xml:space="preserve">Progressing to Digital Maturity </v>
      </c>
      <c r="C22" s="129" t="str">
        <f>'1. All Data'!D21</f>
        <v>Council ‘app’ options appraisal</v>
      </c>
      <c r="D22" s="125" t="str">
        <f>'1. All Data'!H21</f>
        <v>Not Yet Due</v>
      </c>
      <c r="E22" s="98"/>
      <c r="F22" s="126" t="str">
        <f>'1. All Data'!M21</f>
        <v>Not Yet Due</v>
      </c>
      <c r="G22" s="98"/>
      <c r="H22" s="127" t="str">
        <f>'1. All Data'!R21</f>
        <v>Fully Achieved</v>
      </c>
      <c r="I22" s="98"/>
      <c r="J22" s="127" t="str">
        <f>'1. All Data'!V21</f>
        <v>Fully Achieved</v>
      </c>
    </row>
    <row r="23" spans="1:10" ht="99.75" customHeight="1">
      <c r="A23" s="96" t="str">
        <f>'1. All Data'!B22</f>
        <v>VFM16</v>
      </c>
      <c r="B23" s="128" t="str">
        <f>'1. All Data'!C22</f>
        <v>ICT, HR and selective licensing Business Support</v>
      </c>
      <c r="C23" s="129" t="str">
        <f>'1. All Data'!D22</f>
        <v>Continue with and review strategic support to OWBC: Provide health-check on service</v>
      </c>
      <c r="D23" s="125" t="str">
        <f>'1. All Data'!H22</f>
        <v>On Track to be Achieved</v>
      </c>
      <c r="E23" s="98"/>
      <c r="F23" s="126" t="str">
        <f>'1. All Data'!M22</f>
        <v>On Track to be Achieved</v>
      </c>
      <c r="G23" s="98"/>
      <c r="H23" s="127" t="str">
        <f>'1. All Data'!R22</f>
        <v>Fully Achieved</v>
      </c>
      <c r="I23" s="98"/>
      <c r="J23" s="127" t="str">
        <f>'1. All Data'!V22</f>
        <v>Fully Achieved</v>
      </c>
    </row>
    <row r="24" spans="1:10" ht="99.75" customHeight="1">
      <c r="A24" s="96" t="str">
        <f>'1. All Data'!B23</f>
        <v>CR04</v>
      </c>
      <c r="B24" s="128" t="str">
        <f>'1. All Data'!C23</f>
        <v>Local approach to Strategic Procurement</v>
      </c>
      <c r="C24" s="129" t="str">
        <f>'1. All Data'!D23</f>
        <v>Review procurement policy to maximise opportunities for local businesses</v>
      </c>
      <c r="D24" s="125" t="str">
        <f>'1. All Data'!H23</f>
        <v>Not Yet Due</v>
      </c>
      <c r="E24" s="98"/>
      <c r="F24" s="126" t="str">
        <f>'1. All Data'!M23</f>
        <v>On Track to be Achieved</v>
      </c>
      <c r="G24" s="98"/>
      <c r="H24" s="127" t="str">
        <f>'1. All Data'!R23</f>
        <v>Fully Achieved</v>
      </c>
      <c r="I24" s="98"/>
      <c r="J24" s="127" t="str">
        <f>'1. All Data'!V23</f>
        <v>Fully Achieved</v>
      </c>
    </row>
    <row r="25" spans="1:10" ht="99.75" customHeight="1">
      <c r="A25" s="96" t="str">
        <f>'1. All Data'!B24</f>
        <v>CR09</v>
      </c>
      <c r="B25" s="128" t="str">
        <f>'1. All Data'!C24</f>
        <v xml:space="preserve">Supporting Sports and Leisure Delivery Partners </v>
      </c>
      <c r="C25" s="129" t="str">
        <f>'1. All Data'!D24</f>
        <v>Identify and respond to appropriate opportunities to support the Birmingham 2022 Commonwealth Games-including the Queen’s Baton Relay and supporting cultural activities</v>
      </c>
      <c r="D25" s="125" t="str">
        <f>'1. All Data'!H24</f>
        <v>On Track to be Achieved</v>
      </c>
      <c r="E25" s="98"/>
      <c r="F25" s="126" t="str">
        <f>'1. All Data'!M24</f>
        <v>Fully Achieved</v>
      </c>
      <c r="G25" s="98"/>
      <c r="H25" s="127" t="str">
        <f>'1. All Data'!R24</f>
        <v>Fully Achieved</v>
      </c>
      <c r="I25" s="98"/>
      <c r="J25" s="127" t="str">
        <f>'1. All Data'!V24</f>
        <v>Fully Achieved</v>
      </c>
    </row>
    <row r="26" spans="1:10" ht="99.75" customHeight="1">
      <c r="A26" s="96" t="str">
        <f>'1. All Data'!B25</f>
        <v>CR10</v>
      </c>
      <c r="B26" s="128" t="str">
        <f>'1. All Data'!C25</f>
        <v xml:space="preserve">Supporting Sports and Leisure Delivery Partners </v>
      </c>
      <c r="C26" s="129" t="str">
        <f>'1. All Data'!D25</f>
        <v>Support partners in progressing the Uttoxeter Sports Hub including receipt of six-monthly progress report from partners and exploring opportunities for financial assistance</v>
      </c>
      <c r="D26" s="125" t="str">
        <f>'1. All Data'!H25</f>
        <v>Not Yet Due</v>
      </c>
      <c r="E26" s="98"/>
      <c r="F26" s="126" t="str">
        <f>'1. All Data'!M25</f>
        <v>On Track to be Achieved</v>
      </c>
      <c r="G26" s="105"/>
      <c r="H26" s="127" t="str">
        <f>'1. All Data'!R25</f>
        <v>On Track to be Achieved</v>
      </c>
      <c r="I26" s="98"/>
      <c r="J26" s="127" t="str">
        <f>'1. All Data'!V25</f>
        <v>Fully Achieved</v>
      </c>
    </row>
    <row r="27" spans="1:10" ht="99.75" customHeight="1">
      <c r="A27" s="96" t="str">
        <f>'1. All Data'!B26</f>
        <v>CR19</v>
      </c>
      <c r="B27" s="128" t="str">
        <f>'1. All Data'!C26</f>
        <v>Developing Healthy Lifestyles</v>
      </c>
      <c r="C27" s="129" t="str">
        <f>'1. All Data'!D26</f>
        <v>Working with Better Health Staffordshire, the Council will support the development of this programme and report progress on a quarterly basis</v>
      </c>
      <c r="D27" s="125" t="str">
        <f>'1. All Data'!H26</f>
        <v>On Track to be Achieved</v>
      </c>
      <c r="E27" s="98"/>
      <c r="F27" s="126" t="str">
        <f>'1. All Data'!M26</f>
        <v>On Track to be Achieved</v>
      </c>
      <c r="G27" s="98"/>
      <c r="H27" s="127" t="str">
        <f>'1. All Data'!R26</f>
        <v>On Track to be Achieved</v>
      </c>
      <c r="I27" s="98"/>
      <c r="J27" s="127" t="str">
        <f>'1. All Data'!V26</f>
        <v>Fully Achieved</v>
      </c>
    </row>
    <row r="28" spans="1:10" ht="99.75" customHeight="1">
      <c r="A28" s="96" t="str">
        <f>'1. All Data'!B27</f>
        <v>EHW30</v>
      </c>
      <c r="B28" s="128" t="str">
        <f>'1. All Data'!C27</f>
        <v xml:space="preserve">Supporting Sports and Leisure Delivery Partners </v>
      </c>
      <c r="C28" s="129" t="str">
        <f>'1. All Data'!D27</f>
        <v>Investigate opportunities to establish an enhanced Play Day event in conjunction with Everyone Active</v>
      </c>
      <c r="D28" s="125" t="str">
        <f>'1. All Data'!H27</f>
        <v>On Track to be Achieved</v>
      </c>
      <c r="E28" s="97"/>
      <c r="F28" s="126" t="str">
        <f>'1. All Data'!M27</f>
        <v>Fully Achieved</v>
      </c>
      <c r="G28" s="98"/>
      <c r="H28" s="127" t="str">
        <f>'1. All Data'!R27</f>
        <v>Fully Achieved</v>
      </c>
      <c r="I28" s="98"/>
      <c r="J28" s="127" t="str">
        <f>'1. All Data'!V27</f>
        <v>Fully Achieved</v>
      </c>
    </row>
    <row r="29" spans="1:10" ht="99.75" customHeight="1">
      <c r="A29" s="96" t="str">
        <f>'1. All Data'!B28</f>
        <v>VFM32</v>
      </c>
      <c r="B29" s="128" t="str">
        <f>'1. All Data'!C28</f>
        <v>Maintain Robust Mechanisms for Contract Managing the Leisure Service Arrangements</v>
      </c>
      <c r="C29" s="129" t="str">
        <f>'1. All Data'!D28</f>
        <v>Report on the performance of the Leisure Operator on a quarterly basis</v>
      </c>
      <c r="D29" s="125" t="str">
        <f>'1. All Data'!H28</f>
        <v>On Track to be Achieved</v>
      </c>
      <c r="E29" s="98"/>
      <c r="F29" s="126" t="str">
        <f>'1. All Data'!M28</f>
        <v>On Track to be Achieved</v>
      </c>
      <c r="G29" s="106"/>
      <c r="H29" s="127" t="str">
        <f>'1. All Data'!R28</f>
        <v>On Track to be Achieved</v>
      </c>
      <c r="I29" s="98"/>
      <c r="J29" s="127" t="str">
        <f>'1. All Data'!V28</f>
        <v>Fully Achieved</v>
      </c>
    </row>
    <row r="30" spans="1:10" ht="99.75" customHeight="1">
      <c r="A30" s="96" t="str">
        <f>'1. All Data'!B29</f>
        <v>VFM33</v>
      </c>
      <c r="B30" s="128" t="str">
        <f>'1. All Data'!C29</f>
        <v>Maintain High Standard Sports and Leisure Facilities</v>
      </c>
      <c r="C30" s="129" t="str">
        <f>'1. All Data'!D29</f>
        <v>Work with Everyone Active to develop an improvement plan for the outlying pitch changing facilities</v>
      </c>
      <c r="D30" s="125" t="str">
        <f>'1. All Data'!H29</f>
        <v>On Track to be Achieved</v>
      </c>
      <c r="E30" s="98"/>
      <c r="F30" s="126" t="str">
        <f>'1. All Data'!M29</f>
        <v>Fully Achieved</v>
      </c>
      <c r="G30" s="98"/>
      <c r="H30" s="127" t="str">
        <f>'1. All Data'!R29</f>
        <v>Fully Achieved</v>
      </c>
      <c r="I30" s="98"/>
      <c r="J30" s="127" t="str">
        <f>'1. All Data'!V29</f>
        <v>Fully Achieved</v>
      </c>
    </row>
    <row r="31" spans="1:10" ht="99.75" customHeight="1">
      <c r="A31" s="96" t="str">
        <f>'1. All Data'!B30</f>
        <v>VFM05</v>
      </c>
      <c r="B31" s="128" t="str">
        <f>'1. All Data'!C30</f>
        <v>Optimising our services and assets</v>
      </c>
      <c r="C31" s="129" t="str">
        <f>'1. All Data'!D30</f>
        <v>Carry out a review of our land and property investments</v>
      </c>
      <c r="D31" s="125" t="str">
        <f>'1. All Data'!H30</f>
        <v>Not Yet Due</v>
      </c>
      <c r="E31" s="98"/>
      <c r="F31" s="126" t="str">
        <f>'1. All Data'!M30</f>
        <v>Not Yet Due</v>
      </c>
      <c r="G31" s="98"/>
      <c r="H31" s="127" t="str">
        <f>'1. All Data'!R30</f>
        <v>Fully Achieved</v>
      </c>
      <c r="I31" s="98"/>
      <c r="J31" s="127" t="str">
        <f>'1. All Data'!V30</f>
        <v>Fully Achieved</v>
      </c>
    </row>
    <row r="32" spans="1:10" ht="99.75" customHeight="1">
      <c r="A32" s="96" t="str">
        <f>'1. All Data'!B31</f>
        <v>VFM07</v>
      </c>
      <c r="B32" s="128" t="str">
        <f>'1. All Data'!C31</f>
        <v>Annual review of the constitution</v>
      </c>
      <c r="C32" s="129" t="str">
        <f>'1. All Data'!D31</f>
        <v>Members of the constitution cross-party working group to meet to establish changes to the constitution</v>
      </c>
      <c r="D32" s="125" t="str">
        <f>'1. All Data'!H31</f>
        <v>On Track to be Achieved</v>
      </c>
      <c r="E32" s="97"/>
      <c r="F32" s="126" t="str">
        <f>'1. All Data'!M31</f>
        <v>On Track to be Achieved</v>
      </c>
      <c r="G32" s="98"/>
      <c r="H32" s="127" t="str">
        <f>'1. All Data'!R31</f>
        <v>On Track to be Achieved</v>
      </c>
      <c r="I32" s="98"/>
      <c r="J32" s="127" t="str">
        <f>'1. All Data'!V31</f>
        <v>Fully Achieved</v>
      </c>
    </row>
    <row r="33" spans="1:10" ht="99.75" customHeight="1">
      <c r="A33" s="96" t="str">
        <f>'1. All Data'!B32</f>
        <v>CR25</v>
      </c>
      <c r="B33" s="128" t="str">
        <f>'1. All Data'!C32</f>
        <v>Deliver transformational regeneration for Burton upon Trent working in partnership with the Burton Town Deal Board</v>
      </c>
      <c r="C33" s="129" t="str">
        <f>'1. All Data'!D32</f>
        <v>Continue to consider the acquisition of the Molson Coors High Street campus</v>
      </c>
      <c r="D33" s="125" t="str">
        <f>'1. All Data'!H32</f>
        <v>On Track to be Achieved</v>
      </c>
      <c r="E33" s="98"/>
      <c r="F33" s="126" t="str">
        <f>'1. All Data'!M32</f>
        <v>Fully Achieved</v>
      </c>
      <c r="G33" s="98"/>
      <c r="H33" s="127" t="str">
        <f>'1. All Data'!R32</f>
        <v>Fully Achieved</v>
      </c>
      <c r="I33" s="98"/>
      <c r="J33" s="127" t="str">
        <f>'1. All Data'!V32</f>
        <v>Fully Achieved</v>
      </c>
    </row>
    <row r="34" spans="1:10" ht="99.75" customHeight="1">
      <c r="A34" s="96" t="str">
        <f>'1. All Data'!B33</f>
        <v>CR26</v>
      </c>
      <c r="B34" s="128" t="str">
        <f>'1. All Data'!C33</f>
        <v>Deliver transformational regeneration for Burton upon Trent working in partnership with the Burton Town Deal Board</v>
      </c>
      <c r="C34" s="129" t="str">
        <f>'1. All Data'!D33</f>
        <v>Complete the review of the Regional Learning Hub (Project C) business case and agree next steps</v>
      </c>
      <c r="D34" s="125" t="str">
        <f>'1. All Data'!H33</f>
        <v>Off Target</v>
      </c>
      <c r="E34" s="98"/>
      <c r="F34" s="126" t="str">
        <f>'1. All Data'!M33</f>
        <v>Off Target</v>
      </c>
      <c r="G34" s="98"/>
      <c r="H34" s="127" t="str">
        <f>'1. All Data'!R33</f>
        <v>Off Target</v>
      </c>
      <c r="I34" s="98"/>
      <c r="J34" s="127" t="str">
        <f>'1. All Data'!V33</f>
        <v>Off Target</v>
      </c>
    </row>
    <row r="35" spans="1:10" ht="99.75" customHeight="1">
      <c r="A35" s="96" t="str">
        <f>'1. All Data'!B34</f>
        <v>CR27</v>
      </c>
      <c r="B35" s="128" t="str">
        <f>'1. All Data'!C34</f>
        <v>Support the regeneration of Uttoxeter through the Uttoxeter Masterplan</v>
      </c>
      <c r="C35" s="129" t="str">
        <f>'1. All Data'!D34</f>
        <v>In partnership with SCC, complete the bus and parking strategy for Uttoxeter, incorporating cycling routes</v>
      </c>
      <c r="D35" s="125" t="str">
        <f>'1. All Data'!H34</f>
        <v>On Track to be Achieved</v>
      </c>
      <c r="E35" s="97"/>
      <c r="F35" s="126" t="str">
        <f>'1. All Data'!M34</f>
        <v>On Track to be Achieved</v>
      </c>
      <c r="G35" s="98"/>
      <c r="H35" s="127" t="str">
        <f>'1. All Data'!R34</f>
        <v>Fully Achieved</v>
      </c>
      <c r="I35" s="98"/>
      <c r="J35" s="127" t="str">
        <f>'1. All Data'!V34</f>
        <v>Fully Achieved</v>
      </c>
    </row>
    <row r="36" spans="1:10" ht="99.75" customHeight="1">
      <c r="A36" s="96" t="str">
        <f>'1. All Data'!B35</f>
        <v>CR28</v>
      </c>
      <c r="B36" s="128" t="str">
        <f>'1. All Data'!C35</f>
        <v>Support the regeneration of Uttoxeter through the Uttoxeter Masterplan</v>
      </c>
      <c r="C36" s="129" t="str">
        <f>'1. All Data'!D35</f>
        <v xml:space="preserve">Progress a Compulsory Purchase Order of the Maltings Precinct </v>
      </c>
      <c r="D36" s="125" t="str">
        <f>'1. All Data'!H35</f>
        <v>On Track to be Achieved</v>
      </c>
      <c r="E36" s="98"/>
      <c r="F36" s="126" t="str">
        <f>'1. All Data'!M35</f>
        <v>Fully Achieved</v>
      </c>
      <c r="G36" s="98"/>
      <c r="H36" s="127" t="str">
        <f>'1. All Data'!R35</f>
        <v>Fully Achieved</v>
      </c>
      <c r="I36" s="98"/>
      <c r="J36" s="127" t="str">
        <f>'1. All Data'!V35</f>
        <v>Fully Achieved</v>
      </c>
    </row>
    <row r="37" spans="1:10" ht="99.75" customHeight="1">
      <c r="A37" s="96" t="str">
        <f>'1. All Data'!B36</f>
        <v>CR29</v>
      </c>
      <c r="B37" s="128" t="str">
        <f>'1. All Data'!C36</f>
        <v>Support the regeneration of Uttoxeter through the Uttoxeter Masterplan</v>
      </c>
      <c r="C37" s="129" t="str">
        <f>'1. All Data'!D36</f>
        <v>Conduct further engagement with residents on proposals for regenerating the Maltings</v>
      </c>
      <c r="D37" s="125" t="str">
        <f>'1. All Data'!H36</f>
        <v>Not Yet Due</v>
      </c>
      <c r="E37" s="97"/>
      <c r="F37" s="126" t="str">
        <f>'1. All Data'!M36</f>
        <v>On Track to be Achieved</v>
      </c>
      <c r="G37" s="98"/>
      <c r="H37" s="127" t="str">
        <f>'1. All Data'!R36</f>
        <v>On Track to be Achieved</v>
      </c>
      <c r="I37" s="98"/>
      <c r="J37" s="127" t="str">
        <f>'1. All Data'!V36</f>
        <v>Fully Achieved</v>
      </c>
    </row>
    <row r="38" spans="1:10" ht="99.75" customHeight="1">
      <c r="A38" s="96" t="str">
        <f>'1. All Data'!B37</f>
        <v>CR30</v>
      </c>
      <c r="B38" s="128" t="str">
        <f>'1. All Data'!C37</f>
        <v>Improve the Washlands as a regional attraction</v>
      </c>
      <c r="C38" s="129" t="str">
        <f>'1. All Data'!D37</f>
        <v>Complete the delivery of the Washlands Enhancement Project</v>
      </c>
      <c r="D38" s="125" t="str">
        <f>'1. All Data'!H37</f>
        <v>Off Target</v>
      </c>
      <c r="E38" s="98"/>
      <c r="F38" s="126" t="str">
        <f>'1. All Data'!M37</f>
        <v>Off Target</v>
      </c>
      <c r="G38" s="106"/>
      <c r="H38" s="127" t="str">
        <f>'1. All Data'!R37</f>
        <v>Off Target</v>
      </c>
      <c r="I38" s="98"/>
      <c r="J38" s="127" t="str">
        <f>'1. All Data'!V37</f>
        <v>Off Target</v>
      </c>
    </row>
    <row r="39" spans="1:10" ht="99.75" customHeight="1">
      <c r="A39" s="96" t="str">
        <f>'1. All Data'!B38</f>
        <v>CR31</v>
      </c>
      <c r="B39" s="128" t="str">
        <f>'1. All Data'!C38</f>
        <v>Improve the Washlands as a regional attraction</v>
      </c>
      <c r="C39" s="129" t="str">
        <f>'1. All Data'!D38</f>
        <v>Work with key stakeholders to create a plan for the new Washlands Visitor Centre</v>
      </c>
      <c r="D39" s="125" t="str">
        <f>'1. All Data'!H38</f>
        <v>Not Yet Due</v>
      </c>
      <c r="E39" s="97"/>
      <c r="F39" s="126" t="str">
        <f>'1. All Data'!M38</f>
        <v>On Track to be Achieved</v>
      </c>
      <c r="G39" s="106"/>
      <c r="H39" s="127" t="str">
        <f>'1. All Data'!R38</f>
        <v>On Track to be Achieved</v>
      </c>
      <c r="I39" s="98"/>
      <c r="J39" s="127" t="str">
        <f>'1. All Data'!V38</f>
        <v>Fully Achieved</v>
      </c>
    </row>
    <row r="40" spans="1:10" ht="99.75" customHeight="1">
      <c r="A40" s="96" t="str">
        <f>'1. All Data'!B39</f>
        <v>CR32</v>
      </c>
      <c r="B40" s="128" t="str">
        <f>'1. All Data'!C39</f>
        <v>Support economic growth in East Staffordshire</v>
      </c>
      <c r="C40" s="129" t="str">
        <f>'1. All Data'!D39</f>
        <v>Administer a second round of the Business Springboard Boost grant throughout the year</v>
      </c>
      <c r="D40" s="125" t="str">
        <f>'1. All Data'!H39</f>
        <v>On Track to be Achieved</v>
      </c>
      <c r="E40" s="98"/>
      <c r="F40" s="126" t="str">
        <f>'1. All Data'!M39</f>
        <v>On Track to be Achieved</v>
      </c>
      <c r="G40" s="98"/>
      <c r="H40" s="127" t="str">
        <f>'1. All Data'!R39</f>
        <v>On Track to be Achieved</v>
      </c>
      <c r="I40" s="98"/>
      <c r="J40" s="127" t="str">
        <f>'1. All Data'!V39</f>
        <v>Fully Achieved</v>
      </c>
    </row>
    <row r="41" spans="1:10" ht="99.75" customHeight="1">
      <c r="A41" s="96" t="str">
        <f>'1. All Data'!B40</f>
        <v>CR34</v>
      </c>
      <c r="B41" s="128" t="str">
        <f>'1. All Data'!C40</f>
        <v>Support economic growth in East Staffordshire</v>
      </c>
      <c r="C41" s="129" t="str">
        <f>'1. All Data'!D40</f>
        <v>Provide six monthly reporting on the marketing of Burton as a place to live and invest in</v>
      </c>
      <c r="D41" s="125" t="str">
        <f>'1. All Data'!H40</f>
        <v>On Track to be Achieved</v>
      </c>
      <c r="E41" s="98"/>
      <c r="F41" s="126" t="str">
        <f>'1. All Data'!M40</f>
        <v>On Track to be Achieved</v>
      </c>
      <c r="G41" s="98"/>
      <c r="H41" s="127" t="str">
        <f>'1. All Data'!R40</f>
        <v>On Track to be Achieved</v>
      </c>
      <c r="I41" s="98"/>
      <c r="J41" s="127" t="str">
        <f>'1. All Data'!V40</f>
        <v>Fully Achieved</v>
      </c>
    </row>
    <row r="42" spans="1:10" ht="99.75" customHeight="1">
      <c r="A42" s="96" t="str">
        <f>'1. All Data'!B41</f>
        <v>CR35</v>
      </c>
      <c r="B42" s="128" t="str">
        <f>'1. All Data'!C41</f>
        <v>Support economic growth in East Staffordshire</v>
      </c>
      <c r="C42" s="129" t="str">
        <f>'1. All Data'!D41</f>
        <v>Hold 6 engagement events with retail and hospitality businesses in towns and local centres within East Staffordshire</v>
      </c>
      <c r="D42" s="125" t="str">
        <f>'1. All Data'!H41</f>
        <v>On Track to be Achieved</v>
      </c>
      <c r="E42" s="97"/>
      <c r="F42" s="126" t="str">
        <f>'1. All Data'!M41</f>
        <v>On Track to be Achieved</v>
      </c>
      <c r="G42" s="106"/>
      <c r="H42" s="127" t="str">
        <f>'1. All Data'!R41</f>
        <v>On Track to be Achieved</v>
      </c>
      <c r="I42" s="106"/>
      <c r="J42" s="127" t="str">
        <f>'1. All Data'!V41</f>
        <v>Fully Achieved</v>
      </c>
    </row>
    <row r="43" spans="1:10" ht="99.75" customHeight="1">
      <c r="A43" s="96" t="str">
        <f>'1. All Data'!B42</f>
        <v>CR36</v>
      </c>
      <c r="B43" s="128" t="str">
        <f>'1. All Data'!C42</f>
        <v>Support economic growth in East Staffordshire</v>
      </c>
      <c r="C43" s="129" t="str">
        <f>'1. All Data'!D42</f>
        <v>Commission a detailed feasibility study for a Business Improvement District in Uttoxeter</v>
      </c>
      <c r="D43" s="125" t="str">
        <f>'1. All Data'!H42</f>
        <v>Not Yet Due</v>
      </c>
      <c r="E43" s="97"/>
      <c r="F43" s="126" t="str">
        <f>'1. All Data'!M42</f>
        <v>Fully Achieved</v>
      </c>
      <c r="G43" s="98"/>
      <c r="H43" s="127" t="str">
        <f>'1. All Data'!R42</f>
        <v>Fully Achieved</v>
      </c>
      <c r="I43" s="98"/>
      <c r="J43" s="127" t="str">
        <f>'1. All Data'!V42</f>
        <v>Fully Achieved</v>
      </c>
    </row>
    <row r="44" spans="1:10" ht="99.75" customHeight="1">
      <c r="A44" s="96" t="str">
        <f>'1. All Data'!B43</f>
        <v>VFM13</v>
      </c>
      <c r="B44" s="128" t="str">
        <f>'1. All Data'!C43</f>
        <v>Set the MTFS for 2022/23 onwards</v>
      </c>
      <c r="C44" s="129" t="str">
        <f>'1. All Data'!D43</f>
        <v>Set Budget for Council Approval</v>
      </c>
      <c r="D44" s="125" t="str">
        <f>'1. All Data'!H43</f>
        <v>Not Yet Due</v>
      </c>
      <c r="E44" s="97"/>
      <c r="F44" s="126" t="str">
        <f>'1. All Data'!M43</f>
        <v>On Track to be Achieved</v>
      </c>
      <c r="G44" s="98"/>
      <c r="H44" s="127" t="str">
        <f>'1. All Data'!R43</f>
        <v>On Track to be Achieved</v>
      </c>
      <c r="I44" s="98"/>
      <c r="J44" s="127" t="str">
        <f>'1. All Data'!V43</f>
        <v>Fully Achieved</v>
      </c>
    </row>
    <row r="45" spans="1:10" ht="99.75" customHeight="1">
      <c r="A45" s="96" t="str">
        <f>'1. All Data'!B44</f>
        <v>VFM14</v>
      </c>
      <c r="B45" s="128" t="str">
        <f>'1. All Data'!C44</f>
        <v xml:space="preserve">Having an approved Statement of Accounts </v>
      </c>
      <c r="C45" s="129" t="str">
        <f>'1. All Data'!D44</f>
        <v xml:space="preserve">Submit Statement of Accounts to Audit Committee by the earlier Statutory Deadline </v>
      </c>
      <c r="D45" s="125" t="str">
        <f>'1. All Data'!H44</f>
        <v>On Track to be Achieved</v>
      </c>
      <c r="E45" s="98"/>
      <c r="F45" s="126" t="str">
        <f>'1. All Data'!M44</f>
        <v>On Track to be Achieved</v>
      </c>
      <c r="G45" s="98"/>
      <c r="H45" s="127" t="str">
        <f>'1. All Data'!R44</f>
        <v>Off Target</v>
      </c>
      <c r="I45" s="98"/>
      <c r="J45" s="127" t="str">
        <f>'1. All Data'!V44</f>
        <v>Off Target</v>
      </c>
    </row>
    <row r="46" spans="1:10" ht="99.75" customHeight="1">
      <c r="A46" s="96" t="str">
        <f>'1. All Data'!B46</f>
        <v>EHW01</v>
      </c>
      <c r="B46" s="128" t="str">
        <f>'1. All Data'!C46</f>
        <v>Licensing and Enforcement Activities – ASB</v>
      </c>
      <c r="C46" s="129" t="str">
        <f>'1. All Data'!D46</f>
        <v>Review and update the Anti-Social Behaviour (ASB) procedure</v>
      </c>
      <c r="D46" s="125" t="str">
        <f>'1. All Data'!H46</f>
        <v>On Track to be Achieved</v>
      </c>
      <c r="E46" s="98"/>
      <c r="F46" s="126" t="str">
        <f>'1. All Data'!M46</f>
        <v>On Track to be Achieved</v>
      </c>
      <c r="G46" s="98"/>
      <c r="H46" s="127" t="str">
        <f>'1. All Data'!R46</f>
        <v>On Track to be Achieved</v>
      </c>
      <c r="I46" s="98"/>
      <c r="J46" s="127" t="str">
        <f>'1. All Data'!V46</f>
        <v>Fully Achieved</v>
      </c>
    </row>
    <row r="47" spans="1:10" ht="99.75" customHeight="1">
      <c r="A47" s="96" t="str">
        <f>'1. All Data'!B47</f>
        <v>EHW02</v>
      </c>
      <c r="B47" s="128" t="str">
        <f>'1. All Data'!C47</f>
        <v>Licensing and Enforcement Activities - ASB</v>
      </c>
      <c r="C47" s="129" t="str">
        <f>'1. All Data'!D47</f>
        <v>Continue to address ASB in the Borough through the establishment of an officer and partner group. Seek to increase the issuances of Fixed Penalty Notices by 10% on pre-pandemic performance (from 59)</v>
      </c>
      <c r="D47" s="125" t="str">
        <f>'1. All Data'!H47</f>
        <v>On Track to be Achieved</v>
      </c>
      <c r="E47" s="98"/>
      <c r="F47" s="126" t="str">
        <f>'1. All Data'!M47</f>
        <v>On Track to be Achieved</v>
      </c>
      <c r="G47" s="98"/>
      <c r="H47" s="127" t="str">
        <f>'1. All Data'!R47</f>
        <v>On Track to be Achieved</v>
      </c>
      <c r="I47" s="98"/>
      <c r="J47" s="127" t="str">
        <f>'1. All Data'!V47</f>
        <v>Fully Achieved</v>
      </c>
    </row>
    <row r="48" spans="1:10" ht="99.75" customHeight="1">
      <c r="A48" s="96" t="str">
        <f>'1. All Data'!B48</f>
        <v>EHW03</v>
      </c>
      <c r="B48" s="128" t="str">
        <f>'1. All Data'!C48</f>
        <v>Licensing and Enforcement Activities-Taxi Trade</v>
      </c>
      <c r="C48" s="129" t="str">
        <f>'1. All Data'!D48</f>
        <v>Undertake a planned programme of enforcement activity (6) to ensure compliance with the current policies and standards</v>
      </c>
      <c r="D48" s="125" t="str">
        <f>'1. All Data'!H48</f>
        <v>On Track to be Achieved</v>
      </c>
      <c r="E48" s="98"/>
      <c r="F48" s="126" t="str">
        <f>'1. All Data'!M48</f>
        <v>On Track to be Achieved</v>
      </c>
      <c r="G48" s="98"/>
      <c r="H48" s="127" t="str">
        <f>'1. All Data'!R48</f>
        <v>On Track to be Achieved</v>
      </c>
      <c r="I48" s="98"/>
      <c r="J48" s="127" t="str">
        <f>'1. All Data'!V48</f>
        <v>Fully Achieved</v>
      </c>
    </row>
    <row r="49" spans="1:47" ht="99.75" customHeight="1">
      <c r="A49" s="96" t="str">
        <f>'1. All Data'!B49</f>
        <v>EHW04</v>
      </c>
      <c r="B49" s="128" t="str">
        <f>'1. All Data'!C49</f>
        <v>Licensing and Enforcement Activities-Taxi Trade</v>
      </c>
      <c r="C49" s="129" t="str">
        <f>'1. All Data'!D49</f>
        <v>Work with the County Council to confirm taxi rank provision in Burton upon Trent and Uttoxeter</v>
      </c>
      <c r="D49" s="125" t="str">
        <f>'1. All Data'!H49</f>
        <v>On Track to be Achieved</v>
      </c>
      <c r="E49" s="98"/>
      <c r="F49" s="126" t="str">
        <f>'1. All Data'!M49</f>
        <v>Fully Achieved</v>
      </c>
      <c r="G49" s="98"/>
      <c r="H49" s="127" t="str">
        <f>'1. All Data'!R49</f>
        <v>Fully Achieved</v>
      </c>
      <c r="I49" s="98"/>
      <c r="J49" s="127" t="str">
        <f>'1. All Data'!V49</f>
        <v>Fully Achieved</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t="str">
        <f>'1. All Data'!R50</f>
        <v>On Track to be Achieved</v>
      </c>
      <c r="I50" s="106"/>
      <c r="J50" s="127" t="str">
        <f>'1. All Data'!V50</f>
        <v>Fully Achieved</v>
      </c>
    </row>
    <row r="51" spans="1:47" ht="99.75" customHeight="1">
      <c r="A51" s="96" t="str">
        <f>'1. All Data'!B51</f>
        <v>VFM17</v>
      </c>
      <c r="B51" s="128" t="str">
        <f>'1. All Data'!C51</f>
        <v>Licensing and Enforcement Activities - CCTV</v>
      </c>
      <c r="C51" s="129" t="str">
        <f>'1. All Data'!D51</f>
        <v>Renew the CCTV contracts for monitoring and maintenance of fixed site CCTV cameras and procure a new ‘fleet’ of fixed site digital CCTV cameras and infrastructure</v>
      </c>
      <c r="D51" s="125" t="str">
        <f>'1. All Data'!H51</f>
        <v>On Track to be Achieved</v>
      </c>
      <c r="E51" s="97"/>
      <c r="F51" s="126" t="str">
        <f>'1. All Data'!M51</f>
        <v>On Track to be Achieved</v>
      </c>
      <c r="G51" s="98"/>
      <c r="H51" s="127" t="str">
        <f>'1. All Data'!R51</f>
        <v>On Track to be Achieved</v>
      </c>
      <c r="I51" s="98"/>
      <c r="J51" s="127" t="str">
        <f>'1. All Data'!V51</f>
        <v>Fully Achieved</v>
      </c>
    </row>
    <row r="52" spans="1:47" ht="99.75" customHeight="1">
      <c r="A52" s="96" t="str">
        <f>'1. All Data'!B52</f>
        <v>VFM18</v>
      </c>
      <c r="B52" s="128" t="str">
        <f>'1. All Data'!C52</f>
        <v>Licensing and Enforcement Activities - CCTV</v>
      </c>
      <c r="C52" s="129" t="str">
        <f>'1. All Data'!D52</f>
        <v>Monitor the effectiveness of the mobile CCTV provision including the number of camera deployments. Report to Cabinet</v>
      </c>
      <c r="D52" s="125" t="str">
        <f>'1. All Data'!H52</f>
        <v>On Track to be Achieved</v>
      </c>
      <c r="E52" s="97"/>
      <c r="F52" s="126" t="str">
        <f>'1. All Data'!M52</f>
        <v>On Track to be Achieved</v>
      </c>
      <c r="G52" s="98"/>
      <c r="H52" s="127" t="str">
        <f>'1. All Data'!R52</f>
        <v>On Track to be Achieved</v>
      </c>
      <c r="I52" s="98"/>
      <c r="J52" s="127" t="str">
        <f>'1. All Data'!V52</f>
        <v>Fully Achieved</v>
      </c>
    </row>
    <row r="53" spans="1:47" ht="99.75" customHeight="1">
      <c r="A53" s="96" t="str">
        <f>'1. All Data'!B55</f>
        <v>CR08</v>
      </c>
      <c r="B53" s="128" t="str">
        <f>'1. All Data'!C55</f>
        <v>Partnership and Community initiatives</v>
      </c>
      <c r="C53" s="129" t="str">
        <f>'1. All Data'!D55</f>
        <v>Establish a Voluntary Sector Forum</v>
      </c>
      <c r="D53" s="125" t="str">
        <f>'1. All Data'!H55</f>
        <v>Not Yet Due</v>
      </c>
      <c r="E53" s="98"/>
      <c r="F53" s="126" t="str">
        <f>'1. All Data'!M55</f>
        <v>Fully Achieved</v>
      </c>
      <c r="G53" s="98"/>
      <c r="H53" s="127" t="str">
        <f>'1. All Data'!R55</f>
        <v>Fully Achieved</v>
      </c>
      <c r="I53" s="98"/>
      <c r="J53" s="127" t="str">
        <f>'1. All Data'!V55</f>
        <v>Fully Achieved</v>
      </c>
    </row>
    <row r="54" spans="1:47" ht="87.6">
      <c r="A54" s="96" t="str">
        <f>'1. All Data'!B56</f>
        <v>CR11</v>
      </c>
      <c r="B54" s="128" t="str">
        <f>'1. All Data'!C56</f>
        <v>Developing Tourism within the Borough</v>
      </c>
      <c r="C54" s="129" t="str">
        <f>'1. All Data'!D56</f>
        <v>Provide the second year evaluation of the Tourism Strategy</v>
      </c>
      <c r="D54" s="125" t="str">
        <f>'1. All Data'!H56</f>
        <v>Not Yet Due</v>
      </c>
      <c r="E54" s="97"/>
      <c r="F54" s="126" t="str">
        <f>'1. All Data'!M56</f>
        <v>On Track to be Achieved</v>
      </c>
      <c r="G54" s="106"/>
      <c r="H54" s="127" t="str">
        <f>'1. All Data'!R56</f>
        <v>Fully Achieved</v>
      </c>
      <c r="I54" s="98"/>
      <c r="J54" s="127" t="str">
        <f>'1. All Data'!V56</f>
        <v>Fully Achieved</v>
      </c>
    </row>
    <row r="55" spans="1:47" ht="99.75" customHeight="1">
      <c r="A55" s="96" t="str">
        <f>'1. All Data'!B57</f>
        <v>CR13</v>
      </c>
      <c r="B55" s="128" t="str">
        <f>'1. All Data'!C57</f>
        <v>Developing Tourism within the Borough</v>
      </c>
      <c r="C55" s="129" t="str">
        <f>'1. All Data'!D57</f>
        <v>Develop a dedicated tourism website and tourism branding to help create an identity for the Borough</v>
      </c>
      <c r="D55" s="125" t="str">
        <f>'1. All Data'!H57</f>
        <v>Not Yet Due</v>
      </c>
      <c r="E55" s="98"/>
      <c r="F55" s="126" t="str">
        <f>'1. All Data'!M57</f>
        <v>Not Yet Due</v>
      </c>
      <c r="G55" s="98"/>
      <c r="H55" s="127" t="str">
        <f>'1. All Data'!R57</f>
        <v>Not Yet Due</v>
      </c>
      <c r="I55" s="98"/>
      <c r="J55" s="127" t="str">
        <f>'1. All Data'!V57</f>
        <v>Fully Achieved</v>
      </c>
    </row>
    <row r="56" spans="1:47" ht="99.75" customHeight="1">
      <c r="A56" s="96" t="str">
        <f>'1. All Data'!B58</f>
        <v>CR14</v>
      </c>
      <c r="B56" s="128" t="str">
        <f>'1. All Data'!C58</f>
        <v>Developing Tourism within the Borough</v>
      </c>
      <c r="C56" s="129" t="str">
        <f>'1. All Data'!D58</f>
        <v>Launch an East Staffordshire Tourism Partnership bringing together local business to share ideas and develop this aspect of the economy</v>
      </c>
      <c r="D56" s="125" t="str">
        <f>'1. All Data'!H58</f>
        <v>Fully Achieved</v>
      </c>
      <c r="E56" s="98"/>
      <c r="F56" s="126" t="str">
        <f>'1. All Data'!M58</f>
        <v>Fully Achieved</v>
      </c>
      <c r="G56" s="98"/>
      <c r="H56" s="127" t="str">
        <f>'1. All Data'!R58</f>
        <v>Fully Achieved</v>
      </c>
      <c r="I56" s="98"/>
      <c r="J56" s="127" t="str">
        <f>'1. All Data'!V58</f>
        <v>Fully Achieved</v>
      </c>
      <c r="AU56" s="99"/>
    </row>
    <row r="57" spans="1:47" s="112" customFormat="1" ht="87.6">
      <c r="A57" s="96" t="str">
        <f>'1. All Data'!B59</f>
        <v>CR15</v>
      </c>
      <c r="B57" s="128" t="str">
        <f>'1. All Data'!C59</f>
        <v>Cemetery Service Initiatives</v>
      </c>
      <c r="C57" s="129" t="str">
        <f>'1. All Data'!D59</f>
        <v>Provide an enhanced digital presence for the Cemetery</v>
      </c>
      <c r="D57" s="125" t="str">
        <f>'1. All Data'!H59</f>
        <v>On Track to be Achieved</v>
      </c>
      <c r="E57" s="97"/>
      <c r="F57" s="126" t="str">
        <f>'1. All Data'!M59</f>
        <v>Fully Achieved</v>
      </c>
      <c r="G57" s="98"/>
      <c r="H57" s="127" t="str">
        <f>'1. All Data'!R59</f>
        <v>Fully Achieved</v>
      </c>
      <c r="I57" s="98"/>
      <c r="J57" s="127" t="str">
        <f>'1. All Data'!V59</f>
        <v>Fully Achieved</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CR18</v>
      </c>
      <c r="B58" s="128" t="str">
        <f>'1. All Data'!C62</f>
        <v>Market Hall Development Initiatives</v>
      </c>
      <c r="C58" s="129" t="str">
        <f>'1. All Data'!D62</f>
        <v>Review a sustainable use for the future of the Market Hall</v>
      </c>
      <c r="D58" s="125" t="str">
        <f>'1. All Data'!H62</f>
        <v>On Track to be Achieved</v>
      </c>
      <c r="E58" s="98"/>
      <c r="F58" s="126" t="str">
        <f>'1. All Data'!M62</f>
        <v>On Track to be Achieved</v>
      </c>
      <c r="G58" s="98"/>
      <c r="H58" s="127" t="str">
        <f>'1. All Data'!R62</f>
        <v>Fully Achieved</v>
      </c>
      <c r="I58" s="98"/>
      <c r="J58" s="127" t="str">
        <f>'1. All Data'!V62</f>
        <v>Fully Achieved</v>
      </c>
    </row>
    <row r="59" spans="1:47" ht="99.75" customHeight="1">
      <c r="A59" s="96" t="str">
        <f>'1. All Data'!B63</f>
        <v>CR33</v>
      </c>
      <c r="B59" s="128" t="str">
        <f>'1. All Data'!C63</f>
        <v>Support economic growth in East Staffordshire</v>
      </c>
      <c r="C59" s="129" t="str">
        <f>'1. All Data'!D63</f>
        <v>Design and launch a Local Regeneration Grant Fund for a period of 12 months</v>
      </c>
      <c r="D59" s="125" t="str">
        <f>'1. All Data'!H63</f>
        <v>Fully Achieved</v>
      </c>
      <c r="E59" s="97"/>
      <c r="F59" s="126" t="str">
        <f>'1. All Data'!M63</f>
        <v>Fully Achieved</v>
      </c>
      <c r="G59" s="98"/>
      <c r="H59" s="127" t="str">
        <f>'1. All Data'!R63</f>
        <v>Fully Achieved</v>
      </c>
      <c r="I59" s="98"/>
      <c r="J59" s="127" t="str">
        <f>'1. All Data'!V63</f>
        <v>Fully Achieved</v>
      </c>
    </row>
    <row r="60" spans="1:47" ht="99.75" customHeight="1">
      <c r="A60" s="96" t="str">
        <f>'1. All Data'!B64</f>
        <v>EHW05</v>
      </c>
      <c r="B60" s="128" t="str">
        <f>'1. All Data'!C64</f>
        <v>Partnership and Community initiatives</v>
      </c>
      <c r="C60" s="129" t="str">
        <f>'1. All Data'!D64</f>
        <v>Revise the Domestic Abuse strategy to reflect changes in legislation and emerging definitions</v>
      </c>
      <c r="D60" s="125" t="str">
        <f>'1. All Data'!H64</f>
        <v>Fully Achieved</v>
      </c>
      <c r="E60" s="98"/>
      <c r="F60" s="126" t="str">
        <f>'1. All Data'!M64</f>
        <v>Fully Achieved</v>
      </c>
      <c r="G60" s="113"/>
      <c r="H60" s="127" t="str">
        <f>'1. All Data'!R64</f>
        <v>Fully Achieved</v>
      </c>
      <c r="I60" s="113"/>
      <c r="J60" s="127" t="str">
        <f>'1. All Data'!V64</f>
        <v>Fully Achieved</v>
      </c>
    </row>
    <row r="61" spans="1:47" s="117" customFormat="1" ht="69.75" customHeight="1">
      <c r="A61" s="96" t="str">
        <f>'1. All Data'!B65</f>
        <v>EHW32</v>
      </c>
      <c r="B61" s="128" t="str">
        <f>'1. All Data'!C65</f>
        <v xml:space="preserve">Open Spaces Initiatives </v>
      </c>
      <c r="C61" s="129" t="str">
        <f>'1. All Data'!D65</f>
        <v>Complete a second year review of the Parks Development Plan</v>
      </c>
      <c r="D61" s="125" t="str">
        <f>'1. All Data'!H65</f>
        <v>Not Yet Due</v>
      </c>
      <c r="E61" s="97"/>
      <c r="F61" s="126" t="str">
        <f>'1. All Data'!M65</f>
        <v>Not Yet Due</v>
      </c>
      <c r="G61" s="115"/>
      <c r="H61" s="127" t="str">
        <f>'1. All Data'!R65</f>
        <v>On Track to be Achieved</v>
      </c>
      <c r="I61" s="115"/>
      <c r="J61" s="127" t="str">
        <f>'1. All Data'!V65</f>
        <v>Fully Achieved</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EHW33</v>
      </c>
      <c r="B62" s="128" t="str">
        <f>'1. All Data'!C66</f>
        <v>Open Spaces Initiatives</v>
      </c>
      <c r="C62" s="129" t="str">
        <f>'1. All Data'!D66</f>
        <v>Deliver the national “In Bloom” entry for Burton aiming to achieve a Silver gilt award at national level and a minimum of three golds at the regional “In Bloom” awards</v>
      </c>
      <c r="D62" s="125" t="str">
        <f>'1. All Data'!H66</f>
        <v>Not Yet Due</v>
      </c>
      <c r="E62" s="98"/>
      <c r="F62" s="126" t="str">
        <f>'1. All Data'!M66</f>
        <v>Fully Achieved</v>
      </c>
      <c r="G62" s="98"/>
      <c r="H62" s="127" t="str">
        <f>'1. All Data'!R66</f>
        <v>Fully Achieved</v>
      </c>
      <c r="I62" s="98"/>
      <c r="J62" s="127" t="str">
        <f>'1. All Data'!V66</f>
        <v>Fully Achieved</v>
      </c>
    </row>
    <row r="63" spans="1:47" ht="99.75" customHeight="1">
      <c r="A63" s="96" t="str">
        <f>'1. All Data'!B67</f>
        <v>EHW34</v>
      </c>
      <c r="B63" s="128" t="str">
        <f>'1. All Data'!C67</f>
        <v>Open Spaces Initiatives</v>
      </c>
      <c r="C63" s="129" t="str">
        <f>'1. All Data'!D67</f>
        <v>Sustain current scores for “It’s Your Neighbourhood Parks” entries-13 Gold awards, 7 Silver Gilt Awards and 2 Silver Awards and expand the number of entries by two</v>
      </c>
      <c r="D63" s="125" t="str">
        <f>'1. All Data'!H67</f>
        <v>Not Yet Due</v>
      </c>
      <c r="E63" s="98"/>
      <c r="F63" s="126" t="str">
        <f>'1. All Data'!M67</f>
        <v>Fully Achieved</v>
      </c>
      <c r="G63" s="98"/>
      <c r="H63" s="127" t="str">
        <f>'1. All Data'!R67</f>
        <v>Fully Achieved</v>
      </c>
      <c r="I63" s="98"/>
      <c r="J63" s="127" t="str">
        <f>'1. All Data'!V67</f>
        <v>Fully Achieved</v>
      </c>
    </row>
    <row r="64" spans="1:47" ht="99.75" customHeight="1">
      <c r="A64" s="96" t="str">
        <f>'1. All Data'!B68</f>
        <v>EHW35</v>
      </c>
      <c r="B64" s="128" t="str">
        <f>'1. All Data'!C68</f>
        <v>Open Spaces Initiatives</v>
      </c>
      <c r="C64" s="129" t="str">
        <f>'1. All Data'!D68</f>
        <v>Undertake a review of the play equipment provision within East Staffordshire</v>
      </c>
      <c r="D64" s="125" t="str">
        <f>'1. All Data'!H68</f>
        <v>Fully Achieved</v>
      </c>
      <c r="E64" s="98"/>
      <c r="F64" s="126" t="str">
        <f>'1. All Data'!M68</f>
        <v>Fully Achieved</v>
      </c>
      <c r="G64" s="98"/>
      <c r="H64" s="127" t="str">
        <f>'1. All Data'!R68</f>
        <v>Fully Achieved</v>
      </c>
      <c r="I64" s="98"/>
      <c r="J64" s="127" t="str">
        <f>'1. All Data'!V68</f>
        <v>Fully Achieved</v>
      </c>
    </row>
    <row r="65" spans="1:10" ht="99.75" customHeight="1">
      <c r="A65" s="96" t="str">
        <f>'1. All Data'!B69</f>
        <v>EHW36</v>
      </c>
      <c r="B65" s="128" t="str">
        <f>'1. All Data'!C69</f>
        <v>Open Spaces Initiatives</v>
      </c>
      <c r="C65" s="129" t="str">
        <f>'1. All Data'!D69</f>
        <v>Implement a project to address the issue of dog fouling through the provision of dog fouling bags on parks across the Borough</v>
      </c>
      <c r="D65" s="125" t="str">
        <f>'1. All Data'!H69</f>
        <v>On Track to be Achieved</v>
      </c>
      <c r="E65" s="98"/>
      <c r="F65" s="126" t="str">
        <f>'1. All Data'!M69</f>
        <v>Fully Achieved</v>
      </c>
      <c r="G65" s="98"/>
      <c r="H65" s="127" t="str">
        <f>'1. All Data'!R69</f>
        <v>Fully Achieved</v>
      </c>
      <c r="I65" s="98"/>
      <c r="J65" s="127" t="str">
        <f>'1. All Data'!V69</f>
        <v>Fully Achieved</v>
      </c>
    </row>
    <row r="66" spans="1:10" ht="99.75" customHeight="1">
      <c r="A66" s="96" t="str">
        <f>'1. All Data'!B70</f>
        <v>EHW37</v>
      </c>
      <c r="B66" s="128" t="str">
        <f>'1. All Data'!C70</f>
        <v>Open Spaces Initiatives</v>
      </c>
      <c r="C66" s="129" t="str">
        <f>'1. All Data'!D70</f>
        <v>Develop proposals to upgrade the amenities at Branston Water Park</v>
      </c>
      <c r="D66" s="125" t="str">
        <f>'1. All Data'!H70</f>
        <v>On Track to be Achieved</v>
      </c>
      <c r="E66" s="98"/>
      <c r="F66" s="126" t="str">
        <f>'1. All Data'!M70</f>
        <v>On Track to be Achieved</v>
      </c>
      <c r="G66" s="98"/>
      <c r="H66" s="127" t="str">
        <f>'1. All Data'!R70</f>
        <v>Fully Achieved</v>
      </c>
      <c r="I66" s="98"/>
      <c r="J66" s="127" t="str">
        <f>'1. All Data'!V70</f>
        <v>Fully Achieved</v>
      </c>
    </row>
    <row r="67" spans="1:10" ht="99.75" customHeight="1">
      <c r="A67" s="96" t="str">
        <f>'1. All Data'!B71</f>
        <v>EHW38</v>
      </c>
      <c r="B67" s="128" t="str">
        <f>'1. All Data'!C71</f>
        <v>Open Spaces Initiatives</v>
      </c>
      <c r="C67" s="129" t="str">
        <f>'1. All Data'!D71</f>
        <v>Review and update the Council’s Tree Policy to provide guidance on increased levels of tree planting resulting from initiatives relating to the Climate Change emergency</v>
      </c>
      <c r="D67" s="125" t="str">
        <f>'1. All Data'!H71</f>
        <v>Not Yet Due</v>
      </c>
      <c r="E67" s="98"/>
      <c r="F67" s="126" t="str">
        <f>'1. All Data'!M71</f>
        <v>Not Yet Due</v>
      </c>
      <c r="G67" s="98"/>
      <c r="H67" s="127" t="str">
        <f>'1. All Data'!R71</f>
        <v>On Track to be Achieved</v>
      </c>
      <c r="I67" s="98"/>
      <c r="J67" s="127" t="str">
        <f>'1. All Data'!V71</f>
        <v>Fully Achieved</v>
      </c>
    </row>
    <row r="68" spans="1:10" ht="99.75" customHeight="1">
      <c r="A68" s="96" t="str">
        <f>'1. All Data'!B72</f>
        <v>VFM19</v>
      </c>
      <c r="B68" s="128" t="str">
        <f>'1. All Data'!C72</f>
        <v>Car Parking related initiatives</v>
      </c>
      <c r="C68" s="129" t="str">
        <f>'1. All Data'!D72</f>
        <v>Initiate a rolling programme of condition surveys across Council car parks. Year 1 to include Central Area (Coopers) and Trinity Road</v>
      </c>
      <c r="D68" s="125" t="str">
        <f>'1. All Data'!H72</f>
        <v>Not Yet Due</v>
      </c>
      <c r="E68" s="98"/>
      <c r="F68" s="126" t="str">
        <f>'1. All Data'!M72</f>
        <v>Fully Achieved</v>
      </c>
      <c r="G68" s="98"/>
      <c r="H68" s="127" t="str">
        <f>'1. All Data'!R72</f>
        <v>Fully Achieved</v>
      </c>
      <c r="I68" s="98"/>
      <c r="J68" s="127" t="str">
        <f>'1. All Data'!V72</f>
        <v>Fully Achieved</v>
      </c>
    </row>
    <row r="69" spans="1:10" ht="99.75" customHeight="1">
      <c r="A69" s="96" t="str">
        <f>'1. All Data'!B73</f>
        <v>VFM35</v>
      </c>
      <c r="B69" s="128" t="str">
        <f>'1. All Data'!C73</f>
        <v>Open Spaces Initiatives</v>
      </c>
      <c r="C69" s="129" t="str">
        <f>'1. All Data'!D73</f>
        <v>Provide a six monthly Grounds Maintenance contract performance report for April – September</v>
      </c>
      <c r="D69" s="125" t="str">
        <f>'1. All Data'!H73</f>
        <v>Not Yet Due</v>
      </c>
      <c r="E69" s="98"/>
      <c r="F69" s="126" t="str">
        <f>'1. All Data'!M73</f>
        <v>On Track to be Achieved</v>
      </c>
      <c r="G69" s="106"/>
      <c r="H69" s="127" t="str">
        <f>'1. All Data'!R73</f>
        <v>Fully Achieved</v>
      </c>
      <c r="I69" s="106"/>
      <c r="J69" s="127" t="str">
        <f>'1. All Data'!V73</f>
        <v>Fully Achieved</v>
      </c>
    </row>
    <row r="70" spans="1:10" ht="99.75" customHeight="1">
      <c r="A70" s="96" t="str">
        <f>'1. All Data'!B74</f>
        <v>VFM36</v>
      </c>
      <c r="B70" s="128" t="str">
        <f>'1. All Data'!C74</f>
        <v xml:space="preserve">Facilities initiatives </v>
      </c>
      <c r="C70" s="129" t="str">
        <f>'1. All Data'!D74</f>
        <v>Commence a rolling programme of building condition surveys focusing on three buildings i.e. Town Hall and Cemetery estate in 2022/23</v>
      </c>
      <c r="D70" s="125" t="str">
        <f>'1. All Data'!H74</f>
        <v>Not Yet Due</v>
      </c>
      <c r="E70" s="98"/>
      <c r="F70" s="126" t="str">
        <f>'1. All Data'!M74</f>
        <v>Fully Achieved</v>
      </c>
      <c r="G70" s="106"/>
      <c r="H70" s="127" t="str">
        <f>'1. All Data'!R74</f>
        <v>Fully Achieved</v>
      </c>
      <c r="I70" s="106"/>
      <c r="J70" s="127" t="str">
        <f>'1. All Data'!V74</f>
        <v>Fully Achieved</v>
      </c>
    </row>
    <row r="71" spans="1:10" ht="99.75" customHeight="1">
      <c r="A71" s="96" t="str">
        <f>'1. All Data'!B75</f>
        <v>VFM37</v>
      </c>
      <c r="B71" s="128" t="str">
        <f>'1. All Data'!C75</f>
        <v>Cemetery Service Initiatives</v>
      </c>
      <c r="C71" s="129" t="str">
        <f>'1. All Data'!D75</f>
        <v>Review the existing Cemetery fees and charges</v>
      </c>
      <c r="D71" s="125" t="str">
        <f>'1. All Data'!H75</f>
        <v>On Track to be Achieved</v>
      </c>
      <c r="E71" s="98"/>
      <c r="F71" s="126" t="str">
        <f>'1. All Data'!M75</f>
        <v>Fully Achieved</v>
      </c>
      <c r="G71" s="106"/>
      <c r="H71" s="127" t="str">
        <f>'1. All Data'!R75</f>
        <v>Fully Achieved</v>
      </c>
      <c r="I71" s="106"/>
      <c r="J71" s="127" t="str">
        <f>'1. All Data'!V75</f>
        <v>Fully Achieved</v>
      </c>
    </row>
    <row r="72" spans="1:10" ht="99.75" customHeight="1">
      <c r="A72" s="96" t="str">
        <f>'1. All Data'!B76</f>
        <v>CR23a</v>
      </c>
      <c r="B72" s="128" t="str">
        <f>'1. All Data'!C76</f>
        <v>Keeping Members informed on Planning Matters</v>
      </c>
      <c r="C72" s="129" t="str">
        <f>'1. All Data'!D76</f>
        <v>9 * Planning Committee Member training sessions</v>
      </c>
      <c r="D72" s="125" t="str">
        <f>'1. All Data'!H76</f>
        <v>On Track to be Achieved</v>
      </c>
      <c r="E72" s="97"/>
      <c r="F72" s="126" t="str">
        <f>'1. All Data'!M76</f>
        <v>On Track to be Achieved</v>
      </c>
      <c r="G72" s="98"/>
      <c r="H72" s="127" t="str">
        <f>'1. All Data'!R76</f>
        <v>On Track to be Achieved</v>
      </c>
      <c r="I72" s="98"/>
      <c r="J72" s="127" t="str">
        <f>'1. All Data'!V76</f>
        <v>Fully Achieved</v>
      </c>
    </row>
    <row r="73" spans="1:10" ht="99.75" customHeight="1">
      <c r="A73" s="96" t="str">
        <f>'1. All Data'!B77</f>
        <v>CR23b</v>
      </c>
      <c r="B73" s="128" t="str">
        <f>'1. All Data'!C77</f>
        <v>Keeping Members informed on Planning Matters</v>
      </c>
      <c r="C73" s="129" t="str">
        <f>'1. All Data'!D77</f>
        <v>2 * All Member briefing sessions</v>
      </c>
      <c r="D73" s="125" t="str">
        <f>'1. All Data'!H77</f>
        <v>Not Yet Due</v>
      </c>
      <c r="E73" s="98"/>
      <c r="F73" s="126" t="str">
        <f>'1. All Data'!M77</f>
        <v>On Track to be Achieved</v>
      </c>
      <c r="G73" s="98"/>
      <c r="H73" s="127" t="str">
        <f>'1. All Data'!R77</f>
        <v>On Track to be Achieved</v>
      </c>
      <c r="I73" s="98"/>
      <c r="J73" s="127" t="str">
        <f>'1. All Data'!V77</f>
        <v>Fully Achieved</v>
      </c>
    </row>
    <row r="74" spans="1:10" ht="99.75" customHeight="1">
      <c r="A74" s="96" t="str">
        <f>'1. All Data'!B79</f>
        <v>CR37</v>
      </c>
      <c r="B74" s="128" t="str">
        <f>'1. All Data'!C79</f>
        <v>Deliver SMARTER Planning Services</v>
      </c>
      <c r="C74" s="129" t="str">
        <f>'1. All Data'!D79</f>
        <v>Develop Planning Service Review with project scope and timescales</v>
      </c>
      <c r="D74" s="125" t="str">
        <f>'1. All Data'!H79</f>
        <v>On Track to be Achieved</v>
      </c>
      <c r="E74" s="98"/>
      <c r="F74" s="126" t="str">
        <f>'1. All Data'!M79</f>
        <v>On Track to be Achieved</v>
      </c>
      <c r="G74" s="106"/>
      <c r="H74" s="127" t="str">
        <f>'1. All Data'!R79</f>
        <v>Fully Achieved</v>
      </c>
      <c r="I74" s="98"/>
      <c r="J74" s="127" t="str">
        <f>'1. All Data'!V79</f>
        <v>Fully Achieved</v>
      </c>
    </row>
    <row r="75" spans="1:10" ht="99.75" customHeight="1">
      <c r="A75" s="96" t="str">
        <f>'1. All Data'!B82</f>
        <v>EHW40</v>
      </c>
      <c r="B75" s="128" t="str">
        <f>'1. All Data'!C82</f>
        <v>New &amp; Refreshed Planning Policies</v>
      </c>
      <c r="C75" s="129" t="str">
        <f>'1. All Data'!D82</f>
        <v>Finalise Biodiversity Guidance</v>
      </c>
      <c r="D75" s="125" t="str">
        <f>'1. All Data'!H82</f>
        <v>On Track to be Achieved</v>
      </c>
      <c r="E75" s="98"/>
      <c r="F75" s="126" t="str">
        <f>'1. All Data'!M82</f>
        <v>On Track to be Achieved</v>
      </c>
      <c r="G75" s="98"/>
      <c r="H75" s="127" t="str">
        <f>'1. All Data'!R82</f>
        <v>Fully Achieved</v>
      </c>
      <c r="I75" s="98"/>
      <c r="J75" s="127" t="str">
        <f>'1. All Data'!V82</f>
        <v>Fully Achieved</v>
      </c>
    </row>
    <row r="76" spans="1:10" ht="99.75" customHeight="1">
      <c r="A76" s="96" t="str">
        <f>'1. All Data'!B84</f>
        <v>EHW42</v>
      </c>
      <c r="B76" s="128" t="str">
        <f>'1. All Data'!C84</f>
        <v>New &amp; Refreshed Planning Policies</v>
      </c>
      <c r="C76" s="129" t="str">
        <f>'1. All Data'!D84</f>
        <v>Report considering the merits of an ARTICLE 4 (Retail/Residential) in the town centre</v>
      </c>
      <c r="D76" s="125" t="str">
        <f>'1. All Data'!H84</f>
        <v>Fully Achieved</v>
      </c>
      <c r="E76" s="98"/>
      <c r="F76" s="126" t="str">
        <f>'1. All Data'!M84</f>
        <v>Fully Achieved</v>
      </c>
      <c r="G76" s="98"/>
      <c r="H76" s="127" t="str">
        <f>'1. All Data'!R84</f>
        <v>Fully Achieved</v>
      </c>
      <c r="I76" s="98"/>
      <c r="J76" s="127" t="str">
        <f>'1. All Data'!V84</f>
        <v>Fully Achieved</v>
      </c>
    </row>
    <row r="77" spans="1:10" ht="87.6">
      <c r="A77" s="96" t="str">
        <f>'1. All Data'!B85</f>
        <v>EHW43</v>
      </c>
      <c r="B77" s="128" t="str">
        <f>'1. All Data'!C85</f>
        <v>Monitor Performance of the Local Plan</v>
      </c>
      <c r="C77" s="129" t="str">
        <f>'1. All Data'!D85</f>
        <v>Complete the annual review of the Local Plan</v>
      </c>
      <c r="D77" s="125" t="str">
        <f>'1. All Data'!H85</f>
        <v>On Track to be Achieved</v>
      </c>
      <c r="E77" s="97"/>
      <c r="F77" s="126" t="str">
        <f>'1. All Data'!M85</f>
        <v>On Track to be Achieved</v>
      </c>
      <c r="G77" s="98"/>
      <c r="H77" s="127" t="str">
        <f>'1. All Data'!R85</f>
        <v>Fully Achieved</v>
      </c>
      <c r="I77" s="98"/>
      <c r="J77" s="127" t="str">
        <f>'1. All Data'!V85</f>
        <v>Fully Achieved</v>
      </c>
    </row>
    <row r="78" spans="1:10" ht="99.75" customHeight="1">
      <c r="A78" s="96" t="str">
        <f>'1. All Data'!B88</f>
        <v>VFM34</v>
      </c>
      <c r="B78" s="128" t="str">
        <f>'1. All Data'!C88</f>
        <v>Improve Awareness of Council Services, Venues and Initiatives</v>
      </c>
      <c r="C78" s="129" t="str">
        <f>'1. All Data'!D88</f>
        <v>Develop marketing plans for each service area and achieve 85% completion of 22/23 marketing targets</v>
      </c>
      <c r="D78" s="125" t="str">
        <f>'1. All Data'!H88</f>
        <v>On Track to be Achieved</v>
      </c>
      <c r="E78" s="97"/>
      <c r="F78" s="126" t="str">
        <f>'1. All Data'!M88</f>
        <v>On Track to be Achieved</v>
      </c>
      <c r="G78" s="105"/>
      <c r="H78" s="127" t="str">
        <f>'1. All Data'!R88</f>
        <v>On Track to be Achieved</v>
      </c>
      <c r="I78" s="105"/>
      <c r="J78" s="127" t="str">
        <f>'1. All Data'!V88</f>
        <v>Fully Achieved</v>
      </c>
    </row>
    <row r="79" spans="1:10" ht="99.75" customHeight="1">
      <c r="A79" s="96" t="str">
        <f>'1. All Data'!B89</f>
        <v>EHW15a</v>
      </c>
      <c r="B79" s="128" t="str">
        <f>'1. All Data'!C89</f>
        <v>Maintain Performance For Street Cleansing</v>
      </c>
      <c r="C79" s="129" t="str">
        <f>'1. All Data'!D89</f>
        <v>Litter
0% (using NI195 survey methodology)</v>
      </c>
      <c r="D79" s="125" t="str">
        <f>'1. All Data'!H89</f>
        <v>Not Yet Due</v>
      </c>
      <c r="E79" s="97"/>
      <c r="F79" s="126" t="str">
        <f>'1. All Data'!M89</f>
        <v>On Track to be Achieved</v>
      </c>
      <c r="G79" s="98"/>
      <c r="H79" s="127" t="str">
        <f>'1. All Data'!R89</f>
        <v>On Track to be Achieved</v>
      </c>
      <c r="I79" s="98"/>
      <c r="J79" s="127" t="str">
        <f>'1. All Data'!V89</f>
        <v>Fully Achieved</v>
      </c>
    </row>
    <row r="80" spans="1:10" ht="99.75" customHeight="1">
      <c r="A80" s="96" t="str">
        <f>'1. All Data'!B90</f>
        <v>EHW15b</v>
      </c>
      <c r="B80" s="128" t="str">
        <f>'1. All Data'!C90</f>
        <v>Maintain Performance For Street Cleansing</v>
      </c>
      <c r="C80" s="129" t="str">
        <f>'1. All Data'!D90</f>
        <v>Detritus
0% (using NI195 survey methodology)</v>
      </c>
      <c r="D80" s="125" t="str">
        <f>'1. All Data'!H90</f>
        <v>Not Yet Due</v>
      </c>
      <c r="E80" s="98"/>
      <c r="F80" s="126" t="str">
        <f>'1. All Data'!M90</f>
        <v>On Track to be Achieved</v>
      </c>
      <c r="G80" s="98"/>
      <c r="H80" s="127" t="str">
        <f>'1. All Data'!R90</f>
        <v>On Track to be Achieved</v>
      </c>
      <c r="I80" s="98"/>
      <c r="J80" s="127" t="str">
        <f>'1. All Data'!V90</f>
        <v>Fully Achieved</v>
      </c>
    </row>
    <row r="81" spans="1:46" ht="99.75" customHeight="1">
      <c r="A81" s="96" t="str">
        <f>'1. All Data'!B91</f>
        <v>EHW15c</v>
      </c>
      <c r="B81" s="128" t="str">
        <f>'1. All Data'!C91</f>
        <v>Maintain Performance For Street Cleansing</v>
      </c>
      <c r="C81" s="129" t="str">
        <f>'1. All Data'!D91</f>
        <v>Graffiti
0% (using NI195 survey methodology)</v>
      </c>
      <c r="D81" s="125" t="str">
        <f>'1. All Data'!H91</f>
        <v>Not Yet Due</v>
      </c>
      <c r="E81" s="98"/>
      <c r="F81" s="126" t="str">
        <f>'1. All Data'!M91</f>
        <v>On Track to be Achieved</v>
      </c>
      <c r="G81" s="98"/>
      <c r="H81" s="127" t="str">
        <f>'1. All Data'!R91</f>
        <v>On Track to be Achieved</v>
      </c>
      <c r="I81" s="98"/>
      <c r="J81" s="127" t="str">
        <f>'1. All Data'!V91</f>
        <v>Fully Achieved</v>
      </c>
    </row>
    <row r="82" spans="1:46" s="112" customFormat="1" ht="87.6">
      <c r="A82" s="96" t="str">
        <f>'1. All Data'!B92</f>
        <v>EHW15d</v>
      </c>
      <c r="B82" s="128" t="str">
        <f>'1. All Data'!C92</f>
        <v>Maintain Performance For Street Cleansing</v>
      </c>
      <c r="C82" s="129" t="str">
        <f>'1. All Data'!D92</f>
        <v>Fly-posting
0% (using NI195 survey methodology)</v>
      </c>
      <c r="D82" s="125" t="str">
        <f>'1. All Data'!H92</f>
        <v>Not Yet Due</v>
      </c>
      <c r="E82" s="97"/>
      <c r="F82" s="126" t="str">
        <f>'1. All Data'!M92</f>
        <v>On Track to be Achieved</v>
      </c>
      <c r="G82" s="98"/>
      <c r="H82" s="127" t="str">
        <f>'1. All Data'!R92</f>
        <v>On Track to be Achieved</v>
      </c>
      <c r="I82" s="98"/>
      <c r="J82" s="127" t="str">
        <f>'1. All Data'!V92</f>
        <v>Fully Achieved</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EHW16</v>
      </c>
      <c r="B83" s="128" t="str">
        <f>'1. All Data'!C93</f>
        <v xml:space="preserve">Maintain Performance On Recycling </v>
      </c>
      <c r="C83" s="129" t="str">
        <f>'1. All Data'!D93</f>
        <v>Household Waste Recycled and Composted: Upper Quartile</v>
      </c>
      <c r="D83" s="125" t="str">
        <f>'1. All Data'!H93</f>
        <v>On Track to be Achieved</v>
      </c>
      <c r="E83" s="98"/>
      <c r="F83" s="126" t="str">
        <f>'1. All Data'!M93</f>
        <v>On Track to be Achieved</v>
      </c>
      <c r="G83" s="122"/>
      <c r="H83" s="127" t="str">
        <f>'1. All Data'!R93</f>
        <v>On Track to be Achieved</v>
      </c>
      <c r="I83" s="122"/>
      <c r="J83" s="127" t="str">
        <f>'1. All Data'!V93</f>
        <v>Off Target</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EHW17</v>
      </c>
      <c r="B84" s="128" t="str">
        <f>'1. All Data'!C94</f>
        <v xml:space="preserve">Improve Performance On Waste Reduction </v>
      </c>
      <c r="C84" s="129" t="str">
        <f>'1. All Data'!D94</f>
        <v>Residual Household Waste Per Household: Upper Quartile.</v>
      </c>
      <c r="D84" s="125" t="str">
        <f>'1. All Data'!H94</f>
        <v>On Track to be Achieved</v>
      </c>
      <c r="E84" s="97"/>
      <c r="F84" s="126" t="str">
        <f>'1. All Data'!M94</f>
        <v>On Track to be Achieved</v>
      </c>
      <c r="G84" s="98"/>
      <c r="H84" s="127" t="str">
        <f>'1. All Data'!R94</f>
        <v>On Track to be Achieved</v>
      </c>
      <c r="I84" s="98"/>
      <c r="J84" s="127" t="str">
        <f>'1. All Data'!V94</f>
        <v>Off Target</v>
      </c>
    </row>
    <row r="85" spans="1:46" ht="99.75" customHeight="1">
      <c r="A85" s="96" t="str">
        <f>'1. All Data'!B95</f>
        <v>EHW18</v>
      </c>
      <c r="B85" s="128" t="str">
        <f>'1. All Data'!C95</f>
        <v>Minimise The Number Of Missed Bin Collections</v>
      </c>
      <c r="C85" s="129" t="str">
        <f>'1. All Data'!D95</f>
        <v xml:space="preserve">Number Of Missed Bin Collections: Achieve 99.97% successful bin collections across the Borough </v>
      </c>
      <c r="D85" s="125" t="str">
        <f>'1. All Data'!H95</f>
        <v>On Track to be Achieved</v>
      </c>
      <c r="E85" s="97"/>
      <c r="F85" s="126" t="str">
        <f>'1. All Data'!M95</f>
        <v>On Track to be Achieved</v>
      </c>
      <c r="G85" s="98"/>
      <c r="H85" s="127" t="str">
        <f>'1. All Data'!R95</f>
        <v>On Track to be Achieved</v>
      </c>
      <c r="I85" s="98"/>
      <c r="J85" s="127" t="str">
        <f>'1. All Data'!V95</f>
        <v>Fully Achieved</v>
      </c>
    </row>
    <row r="86" spans="1:46" ht="99.75" customHeight="1">
      <c r="A86" s="96" t="str">
        <f>'1. All Data'!B96</f>
        <v>EHW19</v>
      </c>
      <c r="B86" s="128" t="str">
        <f>'1. All Data'!C96</f>
        <v>Improving Recycling Performance</v>
      </c>
      <c r="C86" s="129" t="str">
        <f>'1. All Data'!D96</f>
        <v>Go live with new fibre-separate dry recycling service</v>
      </c>
      <c r="D86" s="125" t="str">
        <f>'1. All Data'!H96</f>
        <v>Fully Achieved</v>
      </c>
      <c r="E86" s="97"/>
      <c r="F86" s="126" t="str">
        <f>'1. All Data'!M96</f>
        <v>Fully Achieved</v>
      </c>
      <c r="G86" s="106"/>
      <c r="H86" s="127" t="str">
        <f>'1. All Data'!R96</f>
        <v>Fully Achieved</v>
      </c>
      <c r="I86" s="98"/>
      <c r="J86" s="127" t="str">
        <f>'1. All Data'!V96</f>
        <v>Fully Achieved</v>
      </c>
    </row>
    <row r="87" spans="1:46" ht="99.75" customHeight="1">
      <c r="A87" s="96" t="str">
        <f>'1. All Data'!B97</f>
        <v>EHW20</v>
      </c>
      <c r="B87" s="128" t="str">
        <f>'1. All Data'!C97</f>
        <v>Improving Recycling Performance</v>
      </c>
      <c r="C87" s="129" t="str">
        <f>'1. All Data'!D97</f>
        <v>Initiate new recycling communication campaign</v>
      </c>
      <c r="D87" s="125" t="str">
        <f>'1. All Data'!H97</f>
        <v>On Track to be Achieved</v>
      </c>
      <c r="E87" s="97"/>
      <c r="F87" s="126" t="str">
        <f>'1. All Data'!M97</f>
        <v>Fully Achieved</v>
      </c>
      <c r="G87" s="98"/>
      <c r="H87" s="127" t="str">
        <f>'1. All Data'!R97</f>
        <v>Fully Achieved</v>
      </c>
      <c r="I87" s="98"/>
      <c r="J87" s="127" t="str">
        <f>'1. All Data'!V97</f>
        <v>Fully Achieved</v>
      </c>
    </row>
    <row r="88" spans="1:46" ht="99.75" customHeight="1">
      <c r="A88" s="96" t="str">
        <f>'1. All Data'!B98</f>
        <v>EHW21</v>
      </c>
      <c r="B88" s="128" t="str">
        <f>'1. All Data'!C98</f>
        <v>Further Development of SMARTER working  (Waste Collection &amp; Street Cleaning)</v>
      </c>
      <c r="C88" s="129" t="str">
        <f>'1. All Data'!D98</f>
        <v>Performance Report on progress and next steps with the potential of a shared service</v>
      </c>
      <c r="D88" s="125" t="str">
        <f>'1. All Data'!H98</f>
        <v>Not Yet Due</v>
      </c>
      <c r="E88" s="97"/>
      <c r="F88" s="126" t="str">
        <f>'1. All Data'!M98</f>
        <v>On Track to be Achieved</v>
      </c>
      <c r="G88" s="98"/>
      <c r="H88" s="127" t="str">
        <f>'1. All Data'!R98</f>
        <v>On Track to be Achieved</v>
      </c>
      <c r="I88" s="98"/>
      <c r="J88" s="127" t="str">
        <f>'1. All Data'!V98</f>
        <v>Fully Achieved</v>
      </c>
    </row>
    <row r="89" spans="1:46" ht="99.75" customHeight="1">
      <c r="A89" s="96" t="str">
        <f>'1. All Data'!B99</f>
        <v>EHW22</v>
      </c>
      <c r="B89" s="128" t="str">
        <f>'1. All Data'!C99</f>
        <v>Further Development of SMARTER working  (Waste Collection &amp; Street Cleaning)</v>
      </c>
      <c r="C89" s="129" t="str">
        <f>'1. All Data'!D99</f>
        <v xml:space="preserve">Conduct a trial with a ‘greener’ waste-collection vehicle </v>
      </c>
      <c r="D89" s="125" t="str">
        <f>'1. All Data'!H99</f>
        <v>On Track to be Achieved</v>
      </c>
      <c r="E89" s="98"/>
      <c r="F89" s="126" t="str">
        <f>'1. All Data'!M99</f>
        <v>Not Yet Due</v>
      </c>
      <c r="G89" s="98"/>
      <c r="H89" s="127" t="str">
        <f>'1. All Data'!R99</f>
        <v>On Track to be Achieved</v>
      </c>
      <c r="I89" s="98"/>
      <c r="J89" s="127" t="str">
        <f>'1. All Data'!V99</f>
        <v>Fully Achieved</v>
      </c>
    </row>
    <row r="90" spans="1:46" ht="99.75" customHeight="1">
      <c r="A90" s="96" t="str">
        <f>'1. All Data'!B101</f>
        <v>EHW07</v>
      </c>
      <c r="B90" s="128" t="str">
        <f>'1. All Data'!C101</f>
        <v>Climate Change Initiatives</v>
      </c>
      <c r="C90" s="129" t="str">
        <f>'1. All Data'!D101</f>
        <v>Provide an interim report on ‘in year’ progress on the Climate Change Action Plan</v>
      </c>
      <c r="D90" s="125" t="str">
        <f>'1. All Data'!H101</f>
        <v>On Track to be Achieved</v>
      </c>
      <c r="E90" s="97"/>
      <c r="F90" s="126" t="str">
        <f>'1. All Data'!M101</f>
        <v>On Track to be Achieved</v>
      </c>
      <c r="G90" s="98"/>
      <c r="H90" s="127" t="str">
        <f>'1. All Data'!R101</f>
        <v>Fully Achieved</v>
      </c>
      <c r="I90" s="98"/>
      <c r="J90" s="127" t="str">
        <f>'1. All Data'!V101</f>
        <v>Fully Achieved</v>
      </c>
    </row>
    <row r="91" spans="1:46" ht="99.75" customHeight="1">
      <c r="A91" s="96" t="str">
        <f>'1. All Data'!B102</f>
        <v>EHW08</v>
      </c>
      <c r="B91" s="128" t="str">
        <f>'1. All Data'!C102</f>
        <v>Climate Change Initiatives</v>
      </c>
      <c r="C91" s="129" t="str">
        <f>'1. All Data'!D102</f>
        <v>Undertake a number of Climate Change initiatives as outlined in the Action Plan for 2022/23. Including developing an electric vehicle (EV) strategy for East Staffordshire and the delivery of 3 EV charging points in Burton</v>
      </c>
      <c r="D91" s="125" t="str">
        <f>'1. All Data'!H102</f>
        <v>On Track to be Achieved</v>
      </c>
      <c r="E91" s="98"/>
      <c r="F91" s="126" t="str">
        <f>'1. All Data'!M102</f>
        <v>On Track to be Achieved</v>
      </c>
      <c r="G91" s="98"/>
      <c r="H91" s="127" t="str">
        <f>'1. All Data'!R102</f>
        <v>On Track to be Achieved</v>
      </c>
      <c r="I91" s="98"/>
      <c r="J91" s="127" t="str">
        <f>'1. All Data'!V102</f>
        <v>Fully Achieved</v>
      </c>
    </row>
    <row r="92" spans="1:46" ht="99.75" customHeight="1">
      <c r="A92" s="96" t="str">
        <f>'1. All Data'!B103</f>
        <v>EHW09</v>
      </c>
      <c r="B92" s="128" t="str">
        <f>'1. All Data'!C103</f>
        <v>Disabled Facilities Grant Review</v>
      </c>
      <c r="C92" s="129" t="str">
        <f>'1. All Data'!D103</f>
        <v>Complete an Annual Review of the Disabled Facilities Grant Service, improving service delivery timescales from ‘enquiry to completion’ by 10% on 20/21 performance</v>
      </c>
      <c r="D92" s="125" t="str">
        <f>'1. All Data'!H103</f>
        <v>On Track to be Achieved</v>
      </c>
      <c r="E92" s="97"/>
      <c r="F92" s="126" t="str">
        <f>'1. All Data'!M103</f>
        <v>On Track to be Achieved</v>
      </c>
      <c r="G92" s="98"/>
      <c r="H92" s="127" t="str">
        <f>'1. All Data'!R103</f>
        <v>Fully Achieved</v>
      </c>
      <c r="I92" s="98"/>
      <c r="J92" s="127" t="str">
        <f>'1. All Data'!V103</f>
        <v>Fully Achieved</v>
      </c>
    </row>
    <row r="93" spans="1:46" ht="99.75" customHeight="1">
      <c r="A93" s="96" t="str">
        <f>'1. All Data'!B104</f>
        <v>EHW10</v>
      </c>
      <c r="B93" s="128" t="str">
        <f>'1. All Data'!C104</f>
        <v xml:space="preserve">Environmental Health – Covid-19  Compliance </v>
      </c>
      <c r="C93" s="129" t="str">
        <f>'1. All Data'!D104</f>
        <v>Working in partnership with Staffordshire County Council, continue to review and manage Covid-19 outbreaks in high risk settings along with the monitoring of compliance</v>
      </c>
      <c r="D93" s="125" t="str">
        <f>'1. All Data'!H104</f>
        <v>On Track to be Achieved</v>
      </c>
      <c r="E93" s="97"/>
      <c r="F93" s="126" t="str">
        <f>'1. All Data'!M104</f>
        <v>On Track to be Achieved</v>
      </c>
      <c r="G93" s="98"/>
      <c r="H93" s="127" t="str">
        <f>'1. All Data'!R104</f>
        <v>On Track to be Achieved</v>
      </c>
      <c r="I93" s="98"/>
      <c r="J93" s="127" t="str">
        <f>'1. All Data'!V104</f>
        <v>Fully Achieved</v>
      </c>
    </row>
    <row r="94" spans="1:46" ht="99.75" customHeight="1">
      <c r="A94" s="96" t="str">
        <f>'1. All Data'!B105</f>
        <v>VFM20</v>
      </c>
      <c r="B94" s="128" t="str">
        <f>'1. All Data'!C105</f>
        <v>Development of the Selective Licensing Scheme</v>
      </c>
      <c r="C94" s="129" t="str">
        <f>'1. All Data'!D105</f>
        <v>Provide a fifth year report on the current Selective Licensing Scheme</v>
      </c>
      <c r="D94" s="125" t="str">
        <f>'1. All Data'!H105</f>
        <v>Not Yet Due</v>
      </c>
      <c r="E94" s="97"/>
      <c r="F94" s="126" t="str">
        <f>'1. All Data'!M105</f>
        <v>On Track to be Achieved</v>
      </c>
      <c r="G94" s="98"/>
      <c r="H94" s="127" t="str">
        <f>'1. All Data'!R105</f>
        <v>Fully Achieved</v>
      </c>
      <c r="I94" s="98"/>
      <c r="J94" s="127" t="str">
        <f>'1. All Data'!V105</f>
        <v>Fully Achieved</v>
      </c>
    </row>
    <row r="95" spans="1:46" ht="99.75" customHeight="1">
      <c r="A95" s="96" t="str">
        <f>'1. All Data'!B106</f>
        <v>VFM21</v>
      </c>
      <c r="B95" s="128" t="str">
        <f>'1. All Data'!C106</f>
        <v>Development of the Selective Licensing Scheme</v>
      </c>
      <c r="C95" s="129" t="str">
        <f>'1. All Data'!D106</f>
        <v>Subject to consultation consider the re-designation of the pilot Selective Licensing Scheme pilot in Anglesey ward</v>
      </c>
      <c r="D95" s="125" t="str">
        <f>'1. All Data'!H106</f>
        <v>On Track to be Achieved</v>
      </c>
      <c r="E95" s="97"/>
      <c r="F95" s="126" t="str">
        <f>'1. All Data'!M106</f>
        <v>Fully Achieved</v>
      </c>
      <c r="G95" s="98"/>
      <c r="H95" s="127" t="str">
        <f>'1. All Data'!R106</f>
        <v>Fully Achieved</v>
      </c>
      <c r="I95" s="98"/>
      <c r="J95" s="127" t="str">
        <f>'1. All Data'!V106</f>
        <v>Fully Achieved</v>
      </c>
    </row>
    <row r="96" spans="1:46" ht="99.75" customHeight="1">
      <c r="A96" s="96" t="str">
        <f>'1. All Data'!B107</f>
        <v>VFM22</v>
      </c>
      <c r="B96" s="128" t="str">
        <f>'1. All Data'!C107</f>
        <v>Development of the Selective Licensing Scheme</v>
      </c>
      <c r="C96" s="129" t="str">
        <f>'1. All Data'!D107</f>
        <v>Subject to consultation, consider the designation of a new Selective Licensing Scheme. Potential areas to include; Goodman Street, Waterloo Street, Uxbridge Street, Shobnall Road and Branston Road</v>
      </c>
      <c r="D96" s="125" t="str">
        <f>'1. All Data'!H107</f>
        <v>On Track to be Achieved</v>
      </c>
      <c r="E96" s="98"/>
      <c r="F96" s="126" t="str">
        <f>'1. All Data'!M107</f>
        <v>Fully Achieved</v>
      </c>
      <c r="G96" s="98"/>
      <c r="H96" s="127" t="str">
        <f>'1. All Data'!R107</f>
        <v>Fully Achieved</v>
      </c>
      <c r="I96" s="98"/>
      <c r="J96" s="127" t="str">
        <f>'1. All Data'!V107</f>
        <v>Fully Achieved</v>
      </c>
    </row>
    <row r="97" spans="1:10" ht="99.75" customHeight="1">
      <c r="A97" s="96" t="str">
        <f>'1. All Data'!B108</f>
        <v>VFM04</v>
      </c>
      <c r="B97" s="128" t="str">
        <f>'1. All Data'!C108</f>
        <v>Optimising our services and assets</v>
      </c>
      <c r="C97" s="129" t="str">
        <f>'1. All Data'!D108</f>
        <v>Carry out an options appraisal of potential shared services</v>
      </c>
      <c r="D97" s="125" t="str">
        <f>'1. All Data'!H108</f>
        <v>Not Yet Due</v>
      </c>
      <c r="E97" s="98"/>
      <c r="F97" s="126" t="str">
        <f>'1. All Data'!M108</f>
        <v>Not Yet Due</v>
      </c>
      <c r="G97" s="98"/>
      <c r="H97" s="127" t="str">
        <f>'1. All Data'!R108</f>
        <v>On Track to be Achieved</v>
      </c>
      <c r="I97" s="98"/>
      <c r="J97" s="127" t="str">
        <f>'1. All Data'!V108</f>
        <v>Fully Achieved</v>
      </c>
    </row>
    <row r="98" spans="1:10" ht="99.75" customHeight="1">
      <c r="A98" s="96" t="str">
        <f>'1. All Data'!B109</f>
        <v>VFM06</v>
      </c>
      <c r="B98" s="128" t="str">
        <f>'1. All Data'!C109</f>
        <v>Working in partnership with the County Council and other districts</v>
      </c>
      <c r="C98" s="129" t="str">
        <f>'1. All Data'!D109</f>
        <v>Receive an update on the ‘single front door’ policy so that residents across Staffordshire gain an improved experience interacting with local government</v>
      </c>
      <c r="D98" s="125" t="str">
        <f>'1. All Data'!H109</f>
        <v>Not Yet Due</v>
      </c>
      <c r="E98" s="97"/>
      <c r="F98" s="126" t="str">
        <f>'1. All Data'!M109</f>
        <v>On Track to be Achieved</v>
      </c>
      <c r="G98" s="106"/>
      <c r="H98" s="127" t="str">
        <f>'1. All Data'!R109</f>
        <v>On Track to be Achieved</v>
      </c>
      <c r="I98" s="98"/>
      <c r="J98" s="127" t="str">
        <f>'1. All Data'!V109</f>
        <v>Fully Achieved</v>
      </c>
    </row>
    <row r="99" spans="1:10" ht="99.75" customHeight="1">
      <c r="A99" s="96" t="str">
        <f>'1. All Data'!B110</f>
        <v>CR20a</v>
      </c>
      <c r="B99" s="128" t="str">
        <f>'1. All Data'!C110</f>
        <v>Major Planning Applications Determined Within 13 Weeks</v>
      </c>
      <c r="C99" s="129" t="str">
        <f>'1. All Data'!D110</f>
        <v>Top Quartile as measured against relevant DLUHC figures</v>
      </c>
      <c r="D99" s="125" t="str">
        <f>'1. All Data'!H110</f>
        <v>On Track to be Achieved</v>
      </c>
      <c r="E99" s="98"/>
      <c r="F99" s="126" t="str">
        <f>'1. All Data'!M110</f>
        <v>On Track to be Achieved</v>
      </c>
      <c r="G99" s="105"/>
      <c r="H99" s="127" t="str">
        <f>'1. All Data'!R110</f>
        <v>On Track to be Achieved</v>
      </c>
      <c r="I99" s="98"/>
      <c r="J99" s="127" t="str">
        <f>'1. All Data'!V110</f>
        <v>Fully Achieved</v>
      </c>
    </row>
    <row r="100" spans="1:10" ht="99.75" customHeight="1">
      <c r="A100" s="96" t="str">
        <f>'1. All Data'!B111</f>
        <v>CR20b</v>
      </c>
      <c r="B100" s="128" t="str">
        <f>'1. All Data'!C111</f>
        <v>Minor Planning Applications Determined Within 8 Weeks</v>
      </c>
      <c r="C100" s="129" t="str">
        <f>'1. All Data'!D111</f>
        <v>Top Quartile as measured against relevant DLUHC figures</v>
      </c>
      <c r="D100" s="125" t="str">
        <f>'1. All Data'!H111</f>
        <v>On Track to be Achieved</v>
      </c>
      <c r="E100" s="98"/>
      <c r="F100" s="126" t="str">
        <f>'1. All Data'!M111</f>
        <v>On Track to be Achieved</v>
      </c>
      <c r="G100" s="98"/>
      <c r="H100" s="127" t="str">
        <f>'1. All Data'!R111</f>
        <v>On Track to be Achieved</v>
      </c>
      <c r="I100" s="98"/>
      <c r="J100" s="127" t="str">
        <f>'1. All Data'!V111</f>
        <v>Fully Achieved</v>
      </c>
    </row>
    <row r="101" spans="1:10" ht="99.75" customHeight="1">
      <c r="A101" s="96" t="str">
        <f>'1. All Data'!B112</f>
        <v>CR20c</v>
      </c>
      <c r="B101" s="128" t="str">
        <f>'1. All Data'!C112</f>
        <v>Other Planning Applications Determined in 8 Weeks</v>
      </c>
      <c r="C101" s="129" t="str">
        <f>'1. All Data'!D112</f>
        <v>Top Quartile as measured against relevant DLUHC figures</v>
      </c>
      <c r="D101" s="125" t="str">
        <f>'1. All Data'!H112</f>
        <v>On Track to be Achieved</v>
      </c>
      <c r="E101" s="98"/>
      <c r="F101" s="126" t="str">
        <f>'1. All Data'!M112</f>
        <v>On Track to be Achieved</v>
      </c>
      <c r="G101" s="98"/>
      <c r="H101" s="127" t="str">
        <f>'1. All Data'!R112</f>
        <v>On Track to be Achieved</v>
      </c>
      <c r="I101" s="98"/>
      <c r="J101" s="127" t="str">
        <f>'1. All Data'!V112</f>
        <v>Fully Achieved</v>
      </c>
    </row>
    <row r="102" spans="1:10" ht="99.75" customHeight="1">
      <c r="A102" s="96" t="str">
        <f>'1. All Data'!B113</f>
        <v>CR21</v>
      </c>
      <c r="B102" s="128" t="str">
        <f>'1. All Data'!C113</f>
        <v>Maintain Qualitative Performance with Planning Application Determination</v>
      </c>
      <c r="C102" s="129" t="str">
        <f>'1. All Data'!D113</f>
        <v>The proportion of decisions on major applications that are subsequently overturned at appeal is not to exceed 0.5%</v>
      </c>
      <c r="D102" s="125" t="str">
        <f>'1. All Data'!H113</f>
        <v>Not Yet Due</v>
      </c>
      <c r="E102" s="97"/>
      <c r="F102" s="126" t="str">
        <f>'1. All Data'!M113</f>
        <v>Not Yet Due</v>
      </c>
      <c r="G102" s="98"/>
      <c r="H102" s="127" t="str">
        <f>'1. All Data'!R113</f>
        <v>Not Yet Due</v>
      </c>
      <c r="I102" s="98"/>
      <c r="J102" s="127" t="str">
        <f>'1. All Data'!V113</f>
        <v>Fully Achieved</v>
      </c>
    </row>
    <row r="103" spans="1:10" ht="99.75" customHeight="1">
      <c r="A103" s="96" t="str">
        <f>'1. All Data'!B114</f>
        <v>CR22</v>
      </c>
      <c r="B103" s="128" t="str">
        <f>'1. All Data'!C114</f>
        <v>Maintain Qualitative Performance with Planning Application Determination</v>
      </c>
      <c r="C103" s="129" t="str">
        <f>'1. All Data'!D114</f>
        <v>Implement an approach for collating customer feedback post decision notice</v>
      </c>
      <c r="D103" s="125" t="str">
        <f>'1. All Data'!H114</f>
        <v>Fully Achieved</v>
      </c>
      <c r="E103" s="97"/>
      <c r="F103" s="126" t="str">
        <f>'1. All Data'!M114</f>
        <v>Fully Achieved</v>
      </c>
      <c r="G103" s="98"/>
      <c r="H103" s="127" t="str">
        <f>'1. All Data'!R114</f>
        <v>Fully Achieved</v>
      </c>
      <c r="I103" s="98"/>
      <c r="J103" s="127" t="str">
        <f>'1. All Data'!V114</f>
        <v>Fully Achieved</v>
      </c>
    </row>
    <row r="104" spans="1:10" ht="99.75" customHeight="1">
      <c r="A104" s="96" t="str">
        <f>'1. All Data'!B115</f>
        <v>CR39</v>
      </c>
      <c r="B104" s="128" t="str">
        <f>'1. All Data'!C115</f>
        <v>SMARTER Planning Services</v>
      </c>
      <c r="C104" s="129" t="str">
        <f>'1. All Data'!D115</f>
        <v>Update report to Strategic Digital Group on Assure Migration progress</v>
      </c>
      <c r="D104" s="125" t="str">
        <f>'1. All Data'!H115</f>
        <v>Not Yet Due</v>
      </c>
      <c r="E104" s="98"/>
      <c r="F104" s="126" t="str">
        <f>'1. All Data'!M115</f>
        <v>Not Yet Due</v>
      </c>
      <c r="G104" s="98"/>
      <c r="H104" s="127" t="str">
        <f>'1. All Data'!R115</f>
        <v>Not Yet Due</v>
      </c>
      <c r="I104" s="98"/>
      <c r="J104" s="127" t="str">
        <f>'1. All Data'!V115</f>
        <v>Fully Achieved</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463</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C5" sqref="C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464</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ij2fuMimDtZRXRIQSDyJ2vQjlCExncNidCoUpseldc6FfhNWOzBF3vkKl1T7IurYR9y+/OObC2ARqUHARlO1AA==" saltValue="beBr9R43tBhLpGnfJKvzp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2" sqref="B2:H1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465</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Priority'!Q5+'2a. % By Priority'!Q6</f>
        <v>118</v>
      </c>
      <c r="D5" s="46">
        <f>'2a. % By Priority'!U5</f>
        <v>0.95934959349593496</v>
      </c>
      <c r="E5" s="47">
        <f>'2a. % By Priority'!Q7</f>
        <v>0</v>
      </c>
      <c r="F5" s="37">
        <f>'2a. % By Priority'!U7</f>
        <v>0</v>
      </c>
      <c r="G5" s="57">
        <f>'2a. % By Priority'!Q10+'2a. % By Priority'!Q11</f>
        <v>5</v>
      </c>
      <c r="H5" s="58">
        <f>'2a. % By Priority'!U10</f>
        <v>4.065040650406504E-2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34</v>
      </c>
      <c r="D7" s="46">
        <f>'2a. % By Priority'!U59</f>
        <v>0.94444444444444442</v>
      </c>
      <c r="E7" s="53">
        <f>'2a. % By Priority'!Q61</f>
        <v>0</v>
      </c>
      <c r="F7" s="37">
        <f>'2a. % By Priority'!U61</f>
        <v>0</v>
      </c>
      <c r="G7" s="57">
        <f>'2a. % By Priority'!Q64+'2a. % By Priority'!Q65</f>
        <v>2</v>
      </c>
      <c r="H7" s="58">
        <f>'2a. % By Priority'!U64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Priority'!Q41+'2a. % By Priority'!Q42</f>
        <v>46</v>
      </c>
      <c r="D8" s="46">
        <f>'2a. % By Priority'!U41</f>
        <v>1</v>
      </c>
      <c r="E8" s="53">
        <f>'2a. % By Priority'!Q43</f>
        <v>0</v>
      </c>
      <c r="F8" s="37">
        <f>'2a. % By Priority'!U43</f>
        <v>0</v>
      </c>
      <c r="G8" s="57">
        <f>'2a. % By Priority'!Q46+'2a. % By Priority'!Q47</f>
        <v>0</v>
      </c>
      <c r="H8" s="58">
        <f>'2a. % By Priority'!U46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38</v>
      </c>
      <c r="D9" s="46">
        <f>'2a. % By Priority'!U23</f>
        <v>0.92682926829268297</v>
      </c>
      <c r="E9" s="53">
        <f>'2a. % By Priority'!Q25</f>
        <v>0</v>
      </c>
      <c r="F9" s="37">
        <f>'2a. % By Priority'!U25</f>
        <v>0</v>
      </c>
      <c r="G9" s="57">
        <f>'2a. % By Priority'!Q28+'2a. % By Priority'!Q29</f>
        <v>3</v>
      </c>
      <c r="H9" s="58">
        <f>'2a. % By Priority'!U28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Portfolio'!Q5+'3a. % by Portfolio'!Q6</f>
        <v>30</v>
      </c>
      <c r="D11" s="62">
        <f>'3a. % by Portfolio'!U5</f>
        <v>0.90909090909090906</v>
      </c>
      <c r="E11" s="63">
        <f>'3a. % by Portfolio'!Q7</f>
        <v>0</v>
      </c>
      <c r="F11" s="64">
        <f>'3a. % by Portfolio'!U7</f>
        <v>0</v>
      </c>
      <c r="G11" s="65">
        <f>'3a. % by Portfolio'!Q10+'3a. % by Portfolio'!Q11</f>
        <v>3</v>
      </c>
      <c r="H11" s="66">
        <f>'3a. % by Portfolio'!U10</f>
        <v>9.0909090909090912E-2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Portfolio'!Q24+'3a. % by Portfolio'!Q25</f>
        <v>19</v>
      </c>
      <c r="D12" s="62">
        <f>'3a. % by Portfolio'!U24</f>
        <v>1</v>
      </c>
      <c r="E12" s="67">
        <f>'3a. % by Portfolio'!Q26</f>
        <v>0</v>
      </c>
      <c r="F12" s="64">
        <f>'3a. % by Portfolio'!U26</f>
        <v>0</v>
      </c>
      <c r="G12" s="65">
        <f>'3a. % by Portfolio'!Q29+'3a. % by Portfolio'!Q30</f>
        <v>0</v>
      </c>
      <c r="H12" s="66">
        <f>'3a. % by Portfolio'!U29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Portfolio'!Q42+'3a. % by Portfolio'!Q43</f>
        <v>33</v>
      </c>
      <c r="D13" s="62">
        <f>'3a. % by Portfolio'!U42</f>
        <v>1</v>
      </c>
      <c r="E13" s="67">
        <f>'3a. % by Portfolio'!Q44</f>
        <v>0</v>
      </c>
      <c r="F13" s="64">
        <f>'3a. % by Portfolio'!U44</f>
        <v>0</v>
      </c>
      <c r="G13" s="65">
        <f>'3a. % by Portfolio'!Q47+'3a. % by Portfolio'!Q48</f>
        <v>0</v>
      </c>
      <c r="H13" s="66">
        <f>'3a. % by Portfolio'!U47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Portfolio'!Q60+'3a. % by Portfolio'!Q61</f>
        <v>26</v>
      </c>
      <c r="D14" s="62">
        <f>'3a. % by Portfolio'!U60</f>
        <v>1</v>
      </c>
      <c r="E14" s="67">
        <f>'3a. % by Portfolio'!Q62</f>
        <v>0</v>
      </c>
      <c r="F14" s="64">
        <f>'3a. % by Portfolio'!U62</f>
        <v>0</v>
      </c>
      <c r="G14" s="65">
        <f>'3a. % by Portfolio'!Q65+'3a. % by Portfolio'!Q66</f>
        <v>0</v>
      </c>
      <c r="H14" s="66">
        <f>'3a. % by Portfolio'!U65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Portfolio'!Q78+'3a. % by Portfolio'!Q79</f>
        <v>10</v>
      </c>
      <c r="D15" s="62">
        <f>'3a. % by Portfolio'!U78</f>
        <v>0.83333333333333337</v>
      </c>
      <c r="E15" s="67">
        <f>'3a. % by Portfolio'!Q80</f>
        <v>0</v>
      </c>
      <c r="F15" s="64">
        <f>'3a. % by Portfolio'!U80</f>
        <v>0</v>
      </c>
      <c r="G15" s="65">
        <f>'3a. % by Portfolio'!Q83+'3a. % by Portfolio'!Q84</f>
        <v>2</v>
      </c>
      <c r="H15" s="66">
        <f>'3a. % by Portfolio'!U83</f>
        <v>0.16666666666666666</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70" zoomScaleNormal="70" workbookViewId="0">
      <selection activeCell="B2" sqref="B2:H16"/>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278</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Priority'!X5+'2a. % By Priority'!X6</f>
        <v>120</v>
      </c>
      <c r="D5" s="46">
        <f>'2a. % By Priority'!AB5</f>
        <v>0.9375</v>
      </c>
      <c r="E5" s="47">
        <f>'2a. % By Priority'!X7+'2a. % By Priority'!X8+'2a. % By Priority'!X9</f>
        <v>1</v>
      </c>
      <c r="F5" s="37">
        <f>'2a. % By Priority'!AB7</f>
        <v>7.8125E-3</v>
      </c>
      <c r="G5" s="57">
        <f>'2a. % By Priority'!X10+'2a. % By Priority'!X11</f>
        <v>7</v>
      </c>
      <c r="H5" s="58">
        <f>'2a. % By Priority'!AB10</f>
        <v>5.46875E-2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38</v>
      </c>
      <c r="D7" s="46">
        <f>'2a. % By Priority'!AB59</f>
        <v>0.92682926829268297</v>
      </c>
      <c r="E7" s="53">
        <f>'2a. % By Priority'!X61+'2a. % By Priority'!X62+'2a. % By Priority'!X63</f>
        <v>1</v>
      </c>
      <c r="F7" s="37">
        <f>'2a. % By Priority'!AB61</f>
        <v>2.4390243902439025E-2</v>
      </c>
      <c r="G7" s="57">
        <f>'2a. % By Priority'!X64+'2a. % By Priority'!X65</f>
        <v>2</v>
      </c>
      <c r="H7" s="58">
        <f>'2a. % By Priority'!AB64</f>
        <v>4.878048780487805E-2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Priority'!X41+'2a. % By Priority'!X42</f>
        <v>44</v>
      </c>
      <c r="D8" s="46">
        <f>SUM('2a. % By Priority'!AB41:AB42)</f>
        <v>0.95652173913043481</v>
      </c>
      <c r="E8" s="53">
        <f>'2a. % By Priority'!X43+'2a. % By Priority'!X44+'2a. % By Priority'!X45</f>
        <v>0</v>
      </c>
      <c r="F8" s="37">
        <f>'2a. % By Priority'!AB43</f>
        <v>0</v>
      </c>
      <c r="G8" s="57">
        <f>'2a. % By Priority'!X46+'2a. % By Priority'!X47</f>
        <v>2</v>
      </c>
      <c r="H8" s="58">
        <f>'2a. % By Priority'!AB46</f>
        <v>4.3478260869565216E-2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38</v>
      </c>
      <c r="D9" s="46">
        <f>'2a. % By Priority'!AB23</f>
        <v>0.92682926829268297</v>
      </c>
      <c r="E9" s="53">
        <f>'2a. % By Priority'!X25+'2a. % By Priority'!X26+'2a. % By Priority'!X27</f>
        <v>0</v>
      </c>
      <c r="F9" s="37">
        <f>'2a. % By Priority'!AB25</f>
        <v>0</v>
      </c>
      <c r="G9" s="57">
        <f>'2a. % By Priority'!X28+'2a. % By Priority'!X29</f>
        <v>3</v>
      </c>
      <c r="H9" s="58">
        <f>'2a. % By Priority'!AB28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45">
        <f>'3a. % by Portfolio'!X5+'3a. % by Portfolio'!X6</f>
        <v>20</v>
      </c>
      <c r="D11" s="46">
        <f>'3a. % by Portfolio'!AB5</f>
        <v>0.90909090909090906</v>
      </c>
      <c r="E11" s="53">
        <f>SUM('3a. % by Portfolio'!X7:X9)</f>
        <v>1</v>
      </c>
      <c r="F11" s="37">
        <f>'3a. % by Portfolio'!AB7</f>
        <v>4.5454545454545456E-2</v>
      </c>
      <c r="G11" s="57">
        <f>'3a. % by Portfolio'!X10+'3a. % by Portfolio'!X11</f>
        <v>1</v>
      </c>
      <c r="H11" s="58">
        <f>'3a. % by Portfolio'!AB10</f>
        <v>4.5454545454545456E-2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45">
        <f>'3a. % by Portfolio'!X24+'3a. % by Portfolio'!X25</f>
        <v>19</v>
      </c>
      <c r="D12" s="46">
        <f>'3a. % by Portfolio'!AB24</f>
        <v>1</v>
      </c>
      <c r="E12" s="144">
        <f>'3a. % by Portfolio'!X26+'3a. % by Portfolio'!X27+'3a. % by Portfolio'!X28</f>
        <v>0</v>
      </c>
      <c r="F12" s="37">
        <f>'3a. % by Portfolio'!AB26</f>
        <v>0</v>
      </c>
      <c r="G12" s="57">
        <f>'3a. % by Portfolio'!X29+'3a. % by Portfolio'!X30</f>
        <v>0</v>
      </c>
      <c r="H12" s="58">
        <f>'3a. % by Portfolio'!AB29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45">
        <f>'3a. % by Portfolio'!X42+'3a. % by Portfolio'!X43</f>
        <v>35</v>
      </c>
      <c r="D13" s="46">
        <f>'3a. % by Portfolio'!AB42</f>
        <v>1</v>
      </c>
      <c r="E13" s="144">
        <f>'3a. % by Portfolio'!X44+'3a. % by Portfolio'!X45+'3a. % by Portfolio'!X46</f>
        <v>0</v>
      </c>
      <c r="F13" s="37">
        <f>'3a. % by Portfolio'!AB44</f>
        <v>0</v>
      </c>
      <c r="G13" s="57">
        <f>'3a. % by Portfolio'!X47+'3a. % by Portfolio'!X48</f>
        <v>0</v>
      </c>
      <c r="H13" s="58">
        <f>'3a. % by Portfolio'!AB47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45">
        <f>'3a. % by Portfolio'!X60+'3a. % by Portfolio'!X61</f>
        <v>24</v>
      </c>
      <c r="D14" s="46">
        <f>'3a. % by Portfolio'!AB60</f>
        <v>0.92307692307692313</v>
      </c>
      <c r="E14" s="144">
        <f>'3a. % by Portfolio'!X62+'3a. % by Portfolio'!X63+'3a. % by Portfolio'!X64</f>
        <v>0</v>
      </c>
      <c r="F14" s="37">
        <f>'3a. % by Portfolio'!AB62</f>
        <v>0</v>
      </c>
      <c r="G14" s="57">
        <f>'3a. % by Portfolio'!X65+'3a. % by Portfolio'!X66</f>
        <v>2</v>
      </c>
      <c r="H14" s="58">
        <f>'3a. % by Portfolio'!AB65</f>
        <v>7.6923076923076927E-2</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45">
        <f>'3a. % by Portfolio'!X78+'3a. % by Portfolio'!X79</f>
        <v>9</v>
      </c>
      <c r="D15" s="46">
        <f>'3a. % by Portfolio'!AB78</f>
        <v>0.81818181818181823</v>
      </c>
      <c r="E15" s="144">
        <f>'3a. % by Portfolio'!X80+'3a. % by Portfolio'!X81+'3a. % by Portfolio'!X82</f>
        <v>0</v>
      </c>
      <c r="F15" s="37">
        <f>'3a. % by Portfolio'!AB80</f>
        <v>0</v>
      </c>
      <c r="G15" s="57">
        <f>'3a. % by Portfolio'!X83+'3a. % by Portfolio'!X84</f>
        <v>2</v>
      </c>
      <c r="H15" s="58">
        <f>'3a. % by Portfolio'!AB83</f>
        <v>0.18181818181818182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36" thickTop="1" thickBot="1">
      <c r="B16" s="60" t="s">
        <v>811</v>
      </c>
      <c r="C16" s="45">
        <f>'3a. % by Portfolio'!X96+'3a. % by Portfolio'!X97</f>
        <v>13</v>
      </c>
      <c r="D16" s="46">
        <f>'3a. % by Portfolio'!AB96</f>
        <v>0.8666666666666667</v>
      </c>
      <c r="E16" s="144">
        <f>'3a. % by Portfolio'!X98+'3a. % by Portfolio'!X99+'3a. % by Portfolio'!X100</f>
        <v>0</v>
      </c>
      <c r="F16" s="37">
        <f>'3a. % by Portfolio'!AB98</f>
        <v>0</v>
      </c>
      <c r="G16" s="57">
        <f>'3a. % by Portfolio'!X101+'3a. % by Portfolio'!X102</f>
        <v>2</v>
      </c>
      <c r="H16" s="58">
        <f>'3a. % by Portfolio'!AB101</f>
        <v>0.13333333333333333</v>
      </c>
    </row>
    <row r="17" spans="4:4" s="31" customFormat="1" ht="15" thickTop="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fygmQUnyTk91DVaxHzHzRLB4+O/OAVAwKnYaHuIAvmqxRqwb2iT0OZIoI5lMwJEZES8iIiKm/kSdPXsAS/3Rxw==" saltValue="ihGV05wpOWTfun5pAxEml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topLeftCell="V1" zoomScale="80" zoomScaleNormal="80" workbookViewId="0">
      <selection activeCell="W3" sqref="W3:AB17"/>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customWidth="1"/>
    <col min="23" max="23" width="55.44140625" style="156" customWidth="1"/>
    <col min="24" max="24" width="14.5546875" style="156" customWidth="1"/>
    <col min="25" max="27" width="17.33203125" style="156" customWidth="1"/>
    <col min="28" max="28" width="17.33203125" style="183" customWidth="1"/>
    <col min="29" max="29" width="1.6640625" style="159" customWidth="1"/>
    <col min="30" max="30" width="12" style="159" customWidth="1"/>
    <col min="31" max="32" width="9.33203125" style="159" customWidth="1"/>
    <col min="33" max="16384" width="9.33203125" style="159"/>
  </cols>
  <sheetData>
    <row r="1" spans="2:31" s="153" customFormat="1" ht="21">
      <c r="B1" s="145" t="s">
        <v>468</v>
      </c>
      <c r="C1" s="146"/>
      <c r="D1" s="147"/>
      <c r="E1" s="147"/>
      <c r="F1" s="147"/>
      <c r="G1" s="147"/>
      <c r="H1" s="148"/>
      <c r="I1" s="145" t="s">
        <v>469</v>
      </c>
      <c r="J1" s="146"/>
      <c r="K1" s="147"/>
      <c r="L1" s="147"/>
      <c r="M1" s="147"/>
      <c r="N1" s="147"/>
      <c r="O1" s="148"/>
      <c r="P1" s="149" t="s">
        <v>470</v>
      </c>
      <c r="Q1" s="146"/>
      <c r="R1" s="147"/>
      <c r="S1" s="147"/>
      <c r="T1" s="147"/>
      <c r="U1" s="147"/>
      <c r="V1" s="148"/>
      <c r="W1" s="150" t="s">
        <v>471</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43</v>
      </c>
      <c r="C3" s="161"/>
      <c r="D3" s="161"/>
      <c r="E3" s="161"/>
      <c r="F3" s="161"/>
      <c r="G3" s="162"/>
      <c r="I3" s="160" t="s">
        <v>43</v>
      </c>
      <c r="J3" s="161"/>
      <c r="K3" s="161"/>
      <c r="L3" s="161"/>
      <c r="M3" s="161"/>
      <c r="N3" s="162"/>
      <c r="P3" s="160" t="s">
        <v>43</v>
      </c>
      <c r="Q3" s="161"/>
      <c r="R3" s="161"/>
      <c r="S3" s="161"/>
      <c r="T3" s="161"/>
      <c r="U3" s="162"/>
      <c r="W3" s="163" t="s">
        <v>43</v>
      </c>
      <c r="X3" s="164"/>
      <c r="Y3" s="164"/>
      <c r="Z3" s="164"/>
      <c r="AA3" s="164"/>
      <c r="AB3" s="165"/>
    </row>
    <row r="4" spans="2:31" s="156" customFormat="1" ht="39" customHeight="1">
      <c r="B4" s="166" t="s">
        <v>44</v>
      </c>
      <c r="C4" s="166" t="s">
        <v>45</v>
      </c>
      <c r="D4" s="166" t="s">
        <v>46</v>
      </c>
      <c r="E4" s="166" t="s">
        <v>47</v>
      </c>
      <c r="F4" s="166" t="s">
        <v>48</v>
      </c>
      <c r="G4" s="166" t="s">
        <v>49</v>
      </c>
      <c r="I4" s="166" t="s">
        <v>44</v>
      </c>
      <c r="J4" s="166" t="s">
        <v>45</v>
      </c>
      <c r="K4" s="166" t="s">
        <v>46</v>
      </c>
      <c r="L4" s="166" t="s">
        <v>47</v>
      </c>
      <c r="M4" s="166" t="s">
        <v>48</v>
      </c>
      <c r="N4" s="166" t="s">
        <v>49</v>
      </c>
      <c r="P4" s="166" t="s">
        <v>44</v>
      </c>
      <c r="Q4" s="166" t="s">
        <v>45</v>
      </c>
      <c r="R4" s="166" t="s">
        <v>46</v>
      </c>
      <c r="S4" s="166" t="s">
        <v>47</v>
      </c>
      <c r="T4" s="166" t="s">
        <v>48</v>
      </c>
      <c r="U4" s="166" t="s">
        <v>49</v>
      </c>
      <c r="W4" s="166" t="s">
        <v>44</v>
      </c>
      <c r="X4" s="166" t="s">
        <v>45</v>
      </c>
      <c r="Y4" s="166" t="s">
        <v>46</v>
      </c>
      <c r="Z4" s="166" t="s">
        <v>47</v>
      </c>
      <c r="AA4" s="166" t="s">
        <v>48</v>
      </c>
      <c r="AB4" s="166" t="s">
        <v>49</v>
      </c>
    </row>
    <row r="5" spans="2:31" ht="30.75" customHeight="1">
      <c r="B5" s="232" t="s">
        <v>50</v>
      </c>
      <c r="C5" s="169">
        <f>COUNTIF('1. All Data'!$H$3:$H$131,"Fully Achieved")</f>
        <v>11</v>
      </c>
      <c r="D5" s="170">
        <f>C5/C16</f>
        <v>8.5271317829457363E-2</v>
      </c>
      <c r="E5" s="374">
        <f>D5+D6</f>
        <v>0.66666666666666674</v>
      </c>
      <c r="F5" s="170">
        <f>C5/C17</f>
        <v>0.125</v>
      </c>
      <c r="G5" s="389">
        <f>F5+F6</f>
        <v>0.97727272727272729</v>
      </c>
      <c r="I5" s="232" t="s">
        <v>50</v>
      </c>
      <c r="J5" s="169">
        <f>COUNTIF('1. All Data'!$M$3:$M$133,"Fully Achieved")</f>
        <v>40</v>
      </c>
      <c r="K5" s="170">
        <f>J5/J16</f>
        <v>0.31007751937984496</v>
      </c>
      <c r="L5" s="374">
        <f>K5+K6</f>
        <v>0.8527131782945736</v>
      </c>
      <c r="M5" s="170">
        <f>J5/J17</f>
        <v>0.34782608695652173</v>
      </c>
      <c r="N5" s="389">
        <f>M5+M6</f>
        <v>0.95652173913043481</v>
      </c>
      <c r="P5" s="232" t="s">
        <v>50</v>
      </c>
      <c r="Q5" s="169">
        <f>COUNTIF('1. All Data'!$R$3:$R$131,"Fully Achieved")</f>
        <v>58</v>
      </c>
      <c r="R5" s="170">
        <f>Q5/Q16</f>
        <v>0.44961240310077522</v>
      </c>
      <c r="S5" s="374">
        <f>R5+R6</f>
        <v>0.91472868217054271</v>
      </c>
      <c r="T5" s="170">
        <f>Q5/Q17</f>
        <v>0.47154471544715448</v>
      </c>
      <c r="U5" s="389">
        <f>T5+T6</f>
        <v>0.95934959349593496</v>
      </c>
      <c r="W5" s="232" t="s">
        <v>50</v>
      </c>
      <c r="X5" s="169">
        <f>COUNTIF('1. All Data'!$V$3:$V$131,"Fully Achieved")</f>
        <v>115</v>
      </c>
      <c r="Y5" s="170">
        <f t="shared" ref="Y5:Y15" si="0">X5/$X$16</f>
        <v>0.89147286821705429</v>
      </c>
      <c r="Z5" s="374">
        <f>SUM(Y5:Y6)</f>
        <v>0.93023255813953487</v>
      </c>
      <c r="AA5" s="170">
        <f t="shared" ref="AA5:AA11" si="1">X5/$X$17</f>
        <v>0.8984375</v>
      </c>
      <c r="AB5" s="389">
        <f>AA5+AA6</f>
        <v>0.9375</v>
      </c>
      <c r="AD5" s="389">
        <f>AB5</f>
        <v>0.9375</v>
      </c>
    </row>
    <row r="6" spans="2:31" ht="30.75" customHeight="1">
      <c r="B6" s="232" t="s">
        <v>34</v>
      </c>
      <c r="C6" s="169">
        <f>COUNTIF('1. All Data'!$H$3:$H$131,"On Track to be Achieved")</f>
        <v>75</v>
      </c>
      <c r="D6" s="170">
        <f>C6/C16</f>
        <v>0.58139534883720934</v>
      </c>
      <c r="E6" s="374"/>
      <c r="F6" s="170">
        <f>C6/C17</f>
        <v>0.85227272727272729</v>
      </c>
      <c r="G6" s="389"/>
      <c r="I6" s="232" t="s">
        <v>34</v>
      </c>
      <c r="J6" s="169">
        <f>COUNTIF('1. All Data'!$M$3:$M$133,"On Track to be Achieved")</f>
        <v>70</v>
      </c>
      <c r="K6" s="170">
        <f>J6/J16</f>
        <v>0.54263565891472865</v>
      </c>
      <c r="L6" s="374"/>
      <c r="M6" s="170">
        <f>J6/J17</f>
        <v>0.60869565217391308</v>
      </c>
      <c r="N6" s="389"/>
      <c r="P6" s="232" t="s">
        <v>34</v>
      </c>
      <c r="Q6" s="169">
        <f>COUNTIF('1. All Data'!$R$3:$R$131,"On Track to be Achieved")</f>
        <v>60</v>
      </c>
      <c r="R6" s="170">
        <f>Q6/Q16</f>
        <v>0.46511627906976744</v>
      </c>
      <c r="S6" s="374"/>
      <c r="T6" s="170">
        <f>Q6/Q17</f>
        <v>0.48780487804878048</v>
      </c>
      <c r="U6" s="389"/>
      <c r="W6" s="232" t="s">
        <v>26</v>
      </c>
      <c r="X6" s="169">
        <f>COUNTIF('1. All Data'!$V$3:$V$131,"Numerical Outturn Within 5% Tolerance")</f>
        <v>5</v>
      </c>
      <c r="Y6" s="170">
        <f t="shared" si="0"/>
        <v>3.875968992248062E-2</v>
      </c>
      <c r="Z6" s="374"/>
      <c r="AA6" s="170">
        <f t="shared" si="1"/>
        <v>3.90625E-2</v>
      </c>
      <c r="AB6" s="389"/>
      <c r="AD6" s="389"/>
    </row>
    <row r="7" spans="2:31" ht="18.75" customHeight="1">
      <c r="B7" s="377" t="s">
        <v>35</v>
      </c>
      <c r="C7" s="380">
        <f>COUNTIF('1. All Data'!$H$3:$H$131,"In Danger of Falling Behind Target")</f>
        <v>0</v>
      </c>
      <c r="D7" s="383">
        <f>C7/C16</f>
        <v>0</v>
      </c>
      <c r="E7" s="383">
        <f>D7</f>
        <v>0</v>
      </c>
      <c r="F7" s="383">
        <f>C7/C17</f>
        <v>0</v>
      </c>
      <c r="G7" s="386">
        <f>F7</f>
        <v>0</v>
      </c>
      <c r="I7" s="377" t="s">
        <v>35</v>
      </c>
      <c r="J7" s="380">
        <f>COUNTIF('1. All Data'!$M$3:$M$133,"In Danger of Falling Behind Target")</f>
        <v>3</v>
      </c>
      <c r="K7" s="383">
        <f>J7/J16</f>
        <v>2.3255813953488372E-2</v>
      </c>
      <c r="L7" s="383">
        <f>K7</f>
        <v>2.3255813953488372E-2</v>
      </c>
      <c r="M7" s="383">
        <f>J7/J17</f>
        <v>2.6086956521739129E-2</v>
      </c>
      <c r="N7" s="386">
        <f>M7</f>
        <v>2.6086956521739129E-2</v>
      </c>
      <c r="P7" s="377" t="s">
        <v>35</v>
      </c>
      <c r="Q7" s="380">
        <f>COUNTIF('1. All Data'!$R$3:$R$131,"In Danger of Falling Behind Target")</f>
        <v>0</v>
      </c>
      <c r="R7" s="383">
        <f>Q7/Q16</f>
        <v>0</v>
      </c>
      <c r="S7" s="383">
        <f>R7</f>
        <v>0</v>
      </c>
      <c r="T7" s="383">
        <f>Q7/Q17</f>
        <v>0</v>
      </c>
      <c r="U7" s="386">
        <f>T7</f>
        <v>0</v>
      </c>
      <c r="W7" s="171" t="s">
        <v>27</v>
      </c>
      <c r="X7" s="172">
        <f>COUNTIF('1. All Data'!$V$3:$V$131,"Numerical Outturn Within 10% Tolerance")</f>
        <v>0</v>
      </c>
      <c r="Y7" s="170">
        <f t="shared" si="0"/>
        <v>0</v>
      </c>
      <c r="Z7" s="374">
        <f>SUM(Y7:Y9)</f>
        <v>7.7519379844961239E-3</v>
      </c>
      <c r="AA7" s="170">
        <f t="shared" si="1"/>
        <v>0</v>
      </c>
      <c r="AB7" s="375">
        <f>SUM(AA7:AA9)</f>
        <v>7.8125E-3</v>
      </c>
      <c r="AD7" s="392">
        <f>SUM(AB7:AB11)</f>
        <v>6.25E-2</v>
      </c>
    </row>
    <row r="8" spans="2:31" ht="19.5" customHeight="1">
      <c r="B8" s="378"/>
      <c r="C8" s="381"/>
      <c r="D8" s="384"/>
      <c r="E8" s="384"/>
      <c r="F8" s="384"/>
      <c r="G8" s="387"/>
      <c r="I8" s="378"/>
      <c r="J8" s="381"/>
      <c r="K8" s="384"/>
      <c r="L8" s="384"/>
      <c r="M8" s="384"/>
      <c r="N8" s="387"/>
      <c r="P8" s="378"/>
      <c r="Q8" s="381"/>
      <c r="R8" s="384"/>
      <c r="S8" s="384"/>
      <c r="T8" s="384"/>
      <c r="U8" s="387"/>
      <c r="W8" s="171" t="s">
        <v>28</v>
      </c>
      <c r="X8" s="172">
        <f>COUNTIF('1. All Data'!$V$3:$V$131,"Target Partially Met")</f>
        <v>1</v>
      </c>
      <c r="Y8" s="170">
        <f t="shared" si="0"/>
        <v>7.7519379844961239E-3</v>
      </c>
      <c r="Z8" s="374"/>
      <c r="AA8" s="170">
        <f t="shared" si="1"/>
        <v>7.8125E-3</v>
      </c>
      <c r="AB8" s="375"/>
      <c r="AD8" s="393"/>
    </row>
    <row r="9" spans="2:31" ht="19.5" customHeight="1">
      <c r="B9" s="379"/>
      <c r="C9" s="382"/>
      <c r="D9" s="385"/>
      <c r="E9" s="385"/>
      <c r="F9" s="385"/>
      <c r="G9" s="388"/>
      <c r="I9" s="379"/>
      <c r="J9" s="382"/>
      <c r="K9" s="385"/>
      <c r="L9" s="385"/>
      <c r="M9" s="385"/>
      <c r="N9" s="388"/>
      <c r="P9" s="379"/>
      <c r="Q9" s="382"/>
      <c r="R9" s="385"/>
      <c r="S9" s="385"/>
      <c r="T9" s="385"/>
      <c r="U9" s="388"/>
      <c r="W9" s="171" t="s">
        <v>31</v>
      </c>
      <c r="X9" s="172">
        <f>COUNTIF('1. All Data'!$V$3:$V$131,"Completion Date Within Reasonable Tolerance")</f>
        <v>0</v>
      </c>
      <c r="Y9" s="170">
        <f t="shared" si="0"/>
        <v>0</v>
      </c>
      <c r="Z9" s="374"/>
      <c r="AA9" s="170">
        <f t="shared" si="1"/>
        <v>0</v>
      </c>
      <c r="AB9" s="375"/>
      <c r="AD9" s="393"/>
    </row>
    <row r="10" spans="2:31" ht="29.25" customHeight="1">
      <c r="B10" s="173" t="s">
        <v>36</v>
      </c>
      <c r="C10" s="169">
        <f>COUNTIF('1. All Data'!H3:H131,"completed behind schedule")</f>
        <v>0</v>
      </c>
      <c r="D10" s="170">
        <f>C10/C16</f>
        <v>0</v>
      </c>
      <c r="E10" s="374">
        <f>D10+D11</f>
        <v>1.5503875968992248E-2</v>
      </c>
      <c r="F10" s="170">
        <f>C10/C17</f>
        <v>0</v>
      </c>
      <c r="G10" s="376">
        <f>F10+F11</f>
        <v>2.2727272727272728E-2</v>
      </c>
      <c r="I10" s="173" t="s">
        <v>36</v>
      </c>
      <c r="J10" s="169">
        <f>COUNTIF('1. All Data'!M3:M133,"Completed Behind Schedule")</f>
        <v>0</v>
      </c>
      <c r="K10" s="170">
        <f>J10/J16</f>
        <v>0</v>
      </c>
      <c r="L10" s="374">
        <f>K10+K11</f>
        <v>1.5503875968992248E-2</v>
      </c>
      <c r="M10" s="170">
        <f>J10/J17</f>
        <v>0</v>
      </c>
      <c r="N10" s="376">
        <f>M10+M11</f>
        <v>1.7391304347826087E-2</v>
      </c>
      <c r="P10" s="173" t="s">
        <v>36</v>
      </c>
      <c r="Q10" s="169">
        <f>COUNTIF('1. All Data'!R3:R131,"completed behind schedule")</f>
        <v>0</v>
      </c>
      <c r="R10" s="170">
        <f>Q10/Q16</f>
        <v>0</v>
      </c>
      <c r="S10" s="374">
        <f>R10+R11</f>
        <v>3.875968992248062E-2</v>
      </c>
      <c r="T10" s="170">
        <f>Q10/Q17</f>
        <v>0</v>
      </c>
      <c r="U10" s="376">
        <f>T10+T11</f>
        <v>4.065040650406504E-2</v>
      </c>
      <c r="W10" s="173" t="s">
        <v>30</v>
      </c>
      <c r="X10" s="169">
        <f>COUNTIF('1. All Data'!V3:V131,"Completed Significantly After Target Deadline")</f>
        <v>0</v>
      </c>
      <c r="Y10" s="170">
        <f t="shared" si="0"/>
        <v>0</v>
      </c>
      <c r="Z10" s="374">
        <f>SUM(Y10:Y11)</f>
        <v>5.4263565891472867E-2</v>
      </c>
      <c r="AA10" s="170">
        <f t="shared" si="1"/>
        <v>0</v>
      </c>
      <c r="AB10" s="376">
        <f>SUM(AA10:AA11)</f>
        <v>5.46875E-2</v>
      </c>
      <c r="AD10" s="393"/>
    </row>
    <row r="11" spans="2:31" ht="29.25" customHeight="1">
      <c r="B11" s="173" t="s">
        <v>29</v>
      </c>
      <c r="C11" s="169">
        <f>COUNTIF('1. All Data'!H3:H131,"off target")</f>
        <v>2</v>
      </c>
      <c r="D11" s="170">
        <f>C11/C16</f>
        <v>1.5503875968992248E-2</v>
      </c>
      <c r="E11" s="374"/>
      <c r="F11" s="170">
        <f>C11/C17</f>
        <v>2.2727272727272728E-2</v>
      </c>
      <c r="G11" s="376"/>
      <c r="I11" s="173" t="s">
        <v>29</v>
      </c>
      <c r="J11" s="169">
        <f>COUNTIF('1. All Data'!M3:M133,"Off Target")</f>
        <v>2</v>
      </c>
      <c r="K11" s="170">
        <f>J11/J16</f>
        <v>1.5503875968992248E-2</v>
      </c>
      <c r="L11" s="374"/>
      <c r="M11" s="170">
        <f>J11/J17</f>
        <v>1.7391304347826087E-2</v>
      </c>
      <c r="N11" s="376"/>
      <c r="P11" s="173" t="s">
        <v>29</v>
      </c>
      <c r="Q11" s="169">
        <f>COUNTIF('1. All Data'!R3:R131,"off target")</f>
        <v>5</v>
      </c>
      <c r="R11" s="170">
        <f>Q11/Q16</f>
        <v>3.875968992248062E-2</v>
      </c>
      <c r="S11" s="374"/>
      <c r="T11" s="170">
        <f>Q11/Q17</f>
        <v>4.065040650406504E-2</v>
      </c>
      <c r="U11" s="376"/>
      <c r="W11" s="173" t="s">
        <v>29</v>
      </c>
      <c r="X11" s="169">
        <f>COUNTIF('1. All Data'!V3:V131,"off target")</f>
        <v>7</v>
      </c>
      <c r="Y11" s="170">
        <f t="shared" si="0"/>
        <v>5.4263565891472867E-2</v>
      </c>
      <c r="Z11" s="374"/>
      <c r="AA11" s="170">
        <f t="shared" si="1"/>
        <v>5.46875E-2</v>
      </c>
      <c r="AB11" s="376"/>
      <c r="AD11" s="393"/>
    </row>
    <row r="12" spans="2:31" ht="20.25" customHeight="1">
      <c r="B12" s="174" t="s">
        <v>51</v>
      </c>
      <c r="C12" s="169">
        <f>COUNTIF('1. All Data'!H3:H131,"not yet due")</f>
        <v>41</v>
      </c>
      <c r="D12" s="175">
        <f>C12/C16</f>
        <v>0.31782945736434109</v>
      </c>
      <c r="E12" s="175">
        <f>D12</f>
        <v>0.31782945736434109</v>
      </c>
      <c r="F12" s="176"/>
      <c r="G12" s="59"/>
      <c r="I12" s="174" t="s">
        <v>51</v>
      </c>
      <c r="J12" s="169">
        <f>COUNTIF('1. All Data'!M3:M133,"not yet due")</f>
        <v>14</v>
      </c>
      <c r="K12" s="175">
        <f>J12/J16</f>
        <v>0.10852713178294573</v>
      </c>
      <c r="L12" s="175">
        <f>K12</f>
        <v>0.10852713178294573</v>
      </c>
      <c r="M12" s="176"/>
      <c r="N12" s="59"/>
      <c r="P12" s="174" t="s">
        <v>51</v>
      </c>
      <c r="Q12" s="169">
        <f>COUNTIF('1. All Data'!R3:R115,"not yet due")</f>
        <v>5</v>
      </c>
      <c r="R12" s="175">
        <f>Q12/Q16</f>
        <v>3.875968992248062E-2</v>
      </c>
      <c r="S12" s="175">
        <f>R12</f>
        <v>3.875968992248062E-2</v>
      </c>
      <c r="T12" s="176"/>
      <c r="U12" s="59"/>
      <c r="W12" s="174" t="s">
        <v>51</v>
      </c>
      <c r="X12" s="169">
        <f>COUNTIF('1. All Data'!V3:V131,"not yet due")</f>
        <v>0</v>
      </c>
      <c r="Y12" s="170">
        <f t="shared" si="0"/>
        <v>0</v>
      </c>
      <c r="Z12" s="175">
        <f>Y12</f>
        <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f>Q13/Q16</f>
        <v>0</v>
      </c>
      <c r="S13" s="175">
        <f>R13</f>
        <v>0</v>
      </c>
      <c r="T13" s="176"/>
      <c r="U13" s="2"/>
      <c r="W13" s="174" t="s">
        <v>24</v>
      </c>
      <c r="X13" s="169">
        <f>COUNTIF('1. All Data'!V3:V131,"update not provided")</f>
        <v>0</v>
      </c>
      <c r="Y13" s="170">
        <f t="shared" si="0"/>
        <v>0</v>
      </c>
      <c r="Z13" s="175">
        <f>Y13</f>
        <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1</v>
      </c>
      <c r="R14" s="178">
        <f>Q14/Q16</f>
        <v>7.7519379844961239E-3</v>
      </c>
      <c r="S14" s="178">
        <f>R14</f>
        <v>7.7519379844961239E-3</v>
      </c>
      <c r="T14" s="179"/>
      <c r="U14" s="59"/>
      <c r="W14" s="177" t="s">
        <v>32</v>
      </c>
      <c r="X14" s="169">
        <f>COUNTIF('1. All Data'!V3:V131,"deferred")</f>
        <v>1</v>
      </c>
      <c r="Y14" s="170">
        <f t="shared" si="0"/>
        <v>7.7519379844961239E-3</v>
      </c>
      <c r="Z14" s="175">
        <f>Y14</f>
        <v>7.7519379844961239E-3</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f>Q15/Q16</f>
        <v>0</v>
      </c>
      <c r="S15" s="178">
        <f>R15</f>
        <v>0</v>
      </c>
      <c r="T15" s="179"/>
      <c r="U15" s="3"/>
      <c r="W15" s="177" t="s">
        <v>33</v>
      </c>
      <c r="X15" s="169">
        <f>COUNTIF('1. All Data'!V3:V131,"deleted")</f>
        <v>0</v>
      </c>
      <c r="Y15" s="170">
        <f t="shared" si="0"/>
        <v>0</v>
      </c>
      <c r="Z15" s="175">
        <f t="shared" ref="Z15" si="2">Y15</f>
        <v>0</v>
      </c>
      <c r="AA15" s="179"/>
      <c r="AB15" s="3"/>
      <c r="AE15" s="3"/>
    </row>
    <row r="16" spans="2:31" ht="15.75" customHeight="1">
      <c r="B16" s="180" t="s">
        <v>53</v>
      </c>
      <c r="C16" s="181">
        <f>SUM(C5:C15)</f>
        <v>129</v>
      </c>
      <c r="D16" s="179"/>
      <c r="E16" s="179"/>
      <c r="F16" s="59"/>
      <c r="G16" s="59"/>
      <c r="I16" s="180" t="s">
        <v>53</v>
      </c>
      <c r="J16" s="181">
        <f>SUM(J5:J15)</f>
        <v>129</v>
      </c>
      <c r="K16" s="179"/>
      <c r="L16" s="179"/>
      <c r="M16" s="59"/>
      <c r="N16" s="59"/>
      <c r="P16" s="180" t="s">
        <v>53</v>
      </c>
      <c r="Q16" s="181">
        <f>SUM(Q5:Q15)</f>
        <v>129</v>
      </c>
      <c r="R16" s="179"/>
      <c r="S16" s="179"/>
      <c r="T16" s="59"/>
      <c r="U16" s="59"/>
      <c r="W16" s="180" t="s">
        <v>53</v>
      </c>
      <c r="X16" s="181">
        <f>SUM(X5:X15)</f>
        <v>129</v>
      </c>
      <c r="Y16" s="179"/>
      <c r="Z16" s="179"/>
      <c r="AA16" s="59"/>
      <c r="AB16" s="59"/>
    </row>
    <row r="17" spans="2:28" ht="15.75" customHeight="1">
      <c r="B17" s="180" t="s">
        <v>54</v>
      </c>
      <c r="C17" s="181">
        <f>C16-C15-C14-C13-C12</f>
        <v>88</v>
      </c>
      <c r="D17" s="59"/>
      <c r="E17" s="59"/>
      <c r="F17" s="59"/>
      <c r="G17" s="59"/>
      <c r="I17" s="180" t="s">
        <v>54</v>
      </c>
      <c r="J17" s="181">
        <f>J16-J15-J14-J13-J12</f>
        <v>115</v>
      </c>
      <c r="K17" s="59"/>
      <c r="L17" s="59"/>
      <c r="M17" s="59"/>
      <c r="N17" s="59"/>
      <c r="P17" s="180" t="s">
        <v>54</v>
      </c>
      <c r="Q17" s="181">
        <f>Q16-Q15-Q14-Q13-Q12</f>
        <v>123</v>
      </c>
      <c r="R17" s="59"/>
      <c r="S17" s="59"/>
      <c r="T17" s="59"/>
      <c r="U17" s="59"/>
      <c r="W17" s="180" t="s">
        <v>54</v>
      </c>
      <c r="X17" s="181">
        <f>X16-X15-X14-X13-X12</f>
        <v>128</v>
      </c>
      <c r="Y17" s="59"/>
      <c r="Z17" s="59"/>
      <c r="AA17" s="59"/>
      <c r="AB17" s="59"/>
    </row>
    <row r="18" spans="2:28" ht="15.75" customHeight="1">
      <c r="W18" s="182"/>
      <c r="AA18" s="2"/>
    </row>
    <row r="19" spans="2:28" ht="15.75" customHeight="1">
      <c r="AA19" s="2"/>
    </row>
    <row r="20" spans="2:28" ht="15" customHeight="1">
      <c r="AA20" s="2"/>
    </row>
    <row r="21" spans="2:28" ht="19.5" customHeight="1">
      <c r="B21" s="184" t="s">
        <v>101</v>
      </c>
      <c r="C21" s="185"/>
      <c r="D21" s="185"/>
      <c r="E21" s="185"/>
      <c r="F21" s="161"/>
      <c r="G21" s="186"/>
      <c r="I21" s="184" t="s">
        <v>101</v>
      </c>
      <c r="J21" s="185"/>
      <c r="K21" s="185"/>
      <c r="L21" s="185"/>
      <c r="M21" s="161"/>
      <c r="N21" s="186"/>
      <c r="P21" s="184" t="s">
        <v>101</v>
      </c>
      <c r="Q21" s="185"/>
      <c r="R21" s="185"/>
      <c r="S21" s="185"/>
      <c r="T21" s="161"/>
      <c r="U21" s="186"/>
      <c r="W21" s="187" t="s">
        <v>87</v>
      </c>
      <c r="X21" s="164"/>
      <c r="Y21" s="164"/>
      <c r="Z21" s="164"/>
      <c r="AA21" s="164"/>
      <c r="AB21" s="165"/>
    </row>
    <row r="22" spans="2:28" ht="42" customHeight="1">
      <c r="B22" s="166" t="s">
        <v>44</v>
      </c>
      <c r="C22" s="166" t="s">
        <v>45</v>
      </c>
      <c r="D22" s="166" t="s">
        <v>46</v>
      </c>
      <c r="E22" s="166" t="s">
        <v>47</v>
      </c>
      <c r="F22" s="166" t="s">
        <v>48</v>
      </c>
      <c r="G22" s="166" t="s">
        <v>49</v>
      </c>
      <c r="I22" s="166" t="s">
        <v>44</v>
      </c>
      <c r="J22" s="166" t="s">
        <v>45</v>
      </c>
      <c r="K22" s="166" t="s">
        <v>46</v>
      </c>
      <c r="L22" s="166" t="s">
        <v>47</v>
      </c>
      <c r="M22" s="166" t="s">
        <v>48</v>
      </c>
      <c r="N22" s="166" t="s">
        <v>49</v>
      </c>
      <c r="P22" s="166" t="s">
        <v>44</v>
      </c>
      <c r="Q22" s="166" t="s">
        <v>45</v>
      </c>
      <c r="R22" s="166" t="s">
        <v>46</v>
      </c>
      <c r="S22" s="166" t="s">
        <v>47</v>
      </c>
      <c r="T22" s="166" t="s">
        <v>48</v>
      </c>
      <c r="U22" s="166" t="s">
        <v>49</v>
      </c>
      <c r="W22" s="166" t="s">
        <v>44</v>
      </c>
      <c r="X22" s="166" t="s">
        <v>45</v>
      </c>
      <c r="Y22" s="166" t="s">
        <v>46</v>
      </c>
      <c r="Z22" s="166" t="s">
        <v>47</v>
      </c>
      <c r="AA22" s="166" t="s">
        <v>48</v>
      </c>
      <c r="AB22" s="166" t="s">
        <v>49</v>
      </c>
    </row>
    <row r="23" spans="2:28" ht="21.75" customHeight="1">
      <c r="B23" s="232" t="s">
        <v>50</v>
      </c>
      <c r="C23" s="169">
        <f>COUNTIFS('1. All Data'!$AA$3:$AA$131,"Value for Money Council",'1. All Data'!$H$3:$H$131,"Fully Achieved")</f>
        <v>2</v>
      </c>
      <c r="D23" s="170">
        <f>C23/C34</f>
        <v>4.878048780487805E-2</v>
      </c>
      <c r="E23" s="374">
        <f>D23+D24</f>
        <v>0.68292682926829273</v>
      </c>
      <c r="F23" s="170">
        <f>C23/C35</f>
        <v>7.1428571428571425E-2</v>
      </c>
      <c r="G23" s="390">
        <f>F23+F24</f>
        <v>1</v>
      </c>
      <c r="I23" s="232" t="s">
        <v>50</v>
      </c>
      <c r="J23" s="169">
        <f>COUNTIFS('1. All Data'!$AA$3:$AA$131,"Value for Money council",'1. All Data'!$M$3:$M$131,"Fully Achieved")</f>
        <v>11</v>
      </c>
      <c r="K23" s="170">
        <f>J23/J34</f>
        <v>0.26829268292682928</v>
      </c>
      <c r="L23" s="374">
        <f>K23+K24</f>
        <v>0.8292682926829269</v>
      </c>
      <c r="M23" s="170">
        <f>J23/J35</f>
        <v>0.29729729729729731</v>
      </c>
      <c r="N23" s="389">
        <f>M23+M24</f>
        <v>0.91891891891891886</v>
      </c>
      <c r="P23" s="232" t="s">
        <v>50</v>
      </c>
      <c r="Q23" s="169">
        <f>COUNTIFS('1. All Data'!$AA$3:$AA$131,"Value for Money council",'1. All Data'!$R$3:$R$131,"Fully Achieved")</f>
        <v>16</v>
      </c>
      <c r="R23" s="170">
        <f>Q23/Q34</f>
        <v>0.3902439024390244</v>
      </c>
      <c r="S23" s="374">
        <f>R23+R24</f>
        <v>0.92682926829268297</v>
      </c>
      <c r="T23" s="170">
        <f>Q23/Q35</f>
        <v>0.3902439024390244</v>
      </c>
      <c r="U23" s="389">
        <f>T23+T24</f>
        <v>0.92682926829268297</v>
      </c>
      <c r="W23" s="232" t="s">
        <v>50</v>
      </c>
      <c r="X23" s="169">
        <f>COUNTIFS('1. All Data'!$AA$3:$AA$131,"Value for Money council",'1. All Data'!$V$3:$V$131,"Fully Achieved")</f>
        <v>33</v>
      </c>
      <c r="Y23" s="170">
        <f>X23/X34</f>
        <v>0.80487804878048785</v>
      </c>
      <c r="Z23" s="374">
        <f>Y23+Y24</f>
        <v>0.92682926829268297</v>
      </c>
      <c r="AA23" s="170">
        <f>X23/X35</f>
        <v>0.80487804878048785</v>
      </c>
      <c r="AB23" s="389">
        <f>AA23+AA24</f>
        <v>0.92682926829268297</v>
      </c>
    </row>
    <row r="24" spans="2:28" ht="18.75" customHeight="1">
      <c r="B24" s="232" t="s">
        <v>34</v>
      </c>
      <c r="C24" s="169">
        <f>COUNTIFS('1. All Data'!$AA$3:$AA$131,"Value for Money Council",'1. All Data'!$H$3:$H$131,"On Track to be achieved")</f>
        <v>26</v>
      </c>
      <c r="D24" s="170">
        <f>C24/C34</f>
        <v>0.63414634146341464</v>
      </c>
      <c r="E24" s="374"/>
      <c r="F24" s="170">
        <f>C24/C35</f>
        <v>0.9285714285714286</v>
      </c>
      <c r="G24" s="391"/>
      <c r="I24" s="232" t="s">
        <v>34</v>
      </c>
      <c r="J24" s="169">
        <f>COUNTIFS('1. All Data'!$AA$3:$AA$131,"Value for Money council",'1. All Data'!$M$3:$M$131,"On Track to be achieved")</f>
        <v>23</v>
      </c>
      <c r="K24" s="170">
        <f>J24/J34</f>
        <v>0.56097560975609762</v>
      </c>
      <c r="L24" s="374"/>
      <c r="M24" s="170">
        <f>J24/J35</f>
        <v>0.6216216216216216</v>
      </c>
      <c r="N24" s="389"/>
      <c r="P24" s="232" t="s">
        <v>34</v>
      </c>
      <c r="Q24" s="169">
        <f>COUNTIFS('1. All Data'!$AA$3:$AA$131,"Value for Money council",'1. All Data'!$R$3:$R$131,"On Track to be achieved")</f>
        <v>22</v>
      </c>
      <c r="R24" s="170">
        <f>Q24/Q34</f>
        <v>0.53658536585365857</v>
      </c>
      <c r="S24" s="374"/>
      <c r="T24" s="170">
        <f>Q24/Q35</f>
        <v>0.53658536585365857</v>
      </c>
      <c r="U24" s="389"/>
      <c r="W24" s="232" t="s">
        <v>26</v>
      </c>
      <c r="X24" s="169">
        <f>COUNTIFS('1. All Data'!$AA$3:$AA$131,"Value for Money council",'1. All Data'!$V$3:$V$131,"Numerical Outturn Within 5% Tolerance")</f>
        <v>5</v>
      </c>
      <c r="Y24" s="170">
        <f>X24/X34</f>
        <v>0.12195121951219512</v>
      </c>
      <c r="Z24" s="374"/>
      <c r="AA24" s="170">
        <f t="shared" ref="AA24:AA29" si="3">X24/$X$35</f>
        <v>0.12195121951219512</v>
      </c>
      <c r="AB24" s="389"/>
    </row>
    <row r="25" spans="2:28" ht="21" customHeight="1">
      <c r="B25" s="377" t="s">
        <v>35</v>
      </c>
      <c r="C25" s="380">
        <f>COUNTIFS('1. All Data'!$AA$3:$AA$131,"Value for Money council",'1. All Data'!$H$3:$H$131,"In Danger of Falling Behind Target")</f>
        <v>0</v>
      </c>
      <c r="D25" s="383">
        <f>C25/C34</f>
        <v>0</v>
      </c>
      <c r="E25" s="383">
        <f>D25</f>
        <v>0</v>
      </c>
      <c r="F25" s="383">
        <f>C25/C35</f>
        <v>0</v>
      </c>
      <c r="G25" s="386">
        <f>F25</f>
        <v>0</v>
      </c>
      <c r="I25" s="377" t="s">
        <v>35</v>
      </c>
      <c r="J25" s="380">
        <f>COUNTIFS('1. All Data'!$AA$3:$AA$131,"Value for Money council",'1. All Data'!$M$3:$M$131,"In Danger of Falling Behind Target")</f>
        <v>3</v>
      </c>
      <c r="K25" s="383">
        <f>J25/J34</f>
        <v>7.3170731707317069E-2</v>
      </c>
      <c r="L25" s="383">
        <f>K25</f>
        <v>7.3170731707317069E-2</v>
      </c>
      <c r="M25" s="383">
        <f>J25/J35</f>
        <v>8.1081081081081086E-2</v>
      </c>
      <c r="N25" s="386">
        <f>M25</f>
        <v>8.1081081081081086E-2</v>
      </c>
      <c r="P25" s="377" t="s">
        <v>35</v>
      </c>
      <c r="Q25" s="380">
        <f>COUNTIFS('1. All Data'!$AA$3:$AA$131,"Value for Money council",'1. All Data'!$R$3:$R$131,"In Danger of Falling Behind Target")</f>
        <v>0</v>
      </c>
      <c r="R25" s="383">
        <f>Q25/Q34</f>
        <v>0</v>
      </c>
      <c r="S25" s="383">
        <f>R25</f>
        <v>0</v>
      </c>
      <c r="T25" s="383">
        <f>Q25/Q35</f>
        <v>0</v>
      </c>
      <c r="U25" s="386">
        <f>T25</f>
        <v>0</v>
      </c>
      <c r="W25" s="171" t="s">
        <v>27</v>
      </c>
      <c r="X25" s="172">
        <f>COUNTIFS('1. All Data'!$AA$3:$AA$131,"Value for Money council",'1. All Data'!$V$3:$V$131,"Numerical Outturn Within 10% Tolerance")</f>
        <v>0</v>
      </c>
      <c r="Y25" s="170">
        <f>X25/$X$34</f>
        <v>0</v>
      </c>
      <c r="Z25" s="374">
        <f>SUM(Y25:Y27)</f>
        <v>0</v>
      </c>
      <c r="AA25" s="170">
        <f t="shared" si="3"/>
        <v>0</v>
      </c>
      <c r="AB25" s="375">
        <f>SUM(AA25:AA27)</f>
        <v>0</v>
      </c>
    </row>
    <row r="26" spans="2:28" ht="20.25" customHeight="1">
      <c r="B26" s="378"/>
      <c r="C26" s="381"/>
      <c r="D26" s="384"/>
      <c r="E26" s="384"/>
      <c r="F26" s="384"/>
      <c r="G26" s="387"/>
      <c r="I26" s="378"/>
      <c r="J26" s="381"/>
      <c r="K26" s="384"/>
      <c r="L26" s="384"/>
      <c r="M26" s="384"/>
      <c r="N26" s="387"/>
      <c r="P26" s="378"/>
      <c r="Q26" s="381"/>
      <c r="R26" s="384"/>
      <c r="S26" s="384"/>
      <c r="T26" s="384"/>
      <c r="U26" s="387"/>
      <c r="W26" s="171" t="s">
        <v>28</v>
      </c>
      <c r="X26" s="172">
        <f>COUNTIFS('1. All Data'!$AA$3:$AA$131,"Value for Money council",'1. All Data'!$V$3:$V$131,"Target Partially Met")</f>
        <v>0</v>
      </c>
      <c r="Y26" s="170">
        <f>X26/$X$34</f>
        <v>0</v>
      </c>
      <c r="Z26" s="374"/>
      <c r="AA26" s="170">
        <f t="shared" si="3"/>
        <v>0</v>
      </c>
      <c r="AB26" s="375"/>
    </row>
    <row r="27" spans="2:28" ht="18.75" customHeight="1">
      <c r="B27" s="379"/>
      <c r="C27" s="382"/>
      <c r="D27" s="385"/>
      <c r="E27" s="385"/>
      <c r="F27" s="385"/>
      <c r="G27" s="388"/>
      <c r="I27" s="379"/>
      <c r="J27" s="382"/>
      <c r="K27" s="385"/>
      <c r="L27" s="385"/>
      <c r="M27" s="385"/>
      <c r="N27" s="388"/>
      <c r="P27" s="379"/>
      <c r="Q27" s="382"/>
      <c r="R27" s="385"/>
      <c r="S27" s="385"/>
      <c r="T27" s="385"/>
      <c r="U27" s="388"/>
      <c r="W27" s="171" t="s">
        <v>31</v>
      </c>
      <c r="X27" s="172">
        <f>COUNTIFS('1. All Data'!$AA$3:$AA$131,"Value for Money council",'1. All Data'!$V$3:$V$131,"Completion Date Within Reasonable Tolerance")</f>
        <v>0</v>
      </c>
      <c r="Y27" s="170">
        <f>X27/$X$34</f>
        <v>0</v>
      </c>
      <c r="Z27" s="374"/>
      <c r="AA27" s="170">
        <f t="shared" si="3"/>
        <v>0</v>
      </c>
      <c r="AB27" s="375"/>
    </row>
    <row r="28" spans="2:28" ht="20.25" customHeight="1">
      <c r="B28" s="173" t="s">
        <v>36</v>
      </c>
      <c r="C28" s="169">
        <f>COUNTIFS('1. All Data'!$AA$3:$AA$131,"Value for Money council",'1. All Data'!$H$3:$H$131,"Completed Behind Schedule")</f>
        <v>0</v>
      </c>
      <c r="D28" s="170">
        <f>C28/C34</f>
        <v>0</v>
      </c>
      <c r="E28" s="374">
        <f>D28+D29</f>
        <v>0</v>
      </c>
      <c r="F28" s="170">
        <f>C28/C35</f>
        <v>0</v>
      </c>
      <c r="G28" s="376">
        <f>F28+F29</f>
        <v>0</v>
      </c>
      <c r="I28" s="173" t="s">
        <v>36</v>
      </c>
      <c r="J28" s="169">
        <f>COUNTIFS('1. All Data'!$AA$3:$AA$131,"Value for Money council",'1. All Data'!$M$3:$M$131,"Completed Behind Schedule")</f>
        <v>0</v>
      </c>
      <c r="K28" s="170">
        <f>J28/J34</f>
        <v>0</v>
      </c>
      <c r="L28" s="374">
        <f>K28+K29</f>
        <v>0</v>
      </c>
      <c r="M28" s="170">
        <f>J28/J35</f>
        <v>0</v>
      </c>
      <c r="N28" s="376">
        <f>M28+M29</f>
        <v>0</v>
      </c>
      <c r="P28" s="173" t="s">
        <v>36</v>
      </c>
      <c r="Q28" s="169">
        <f>COUNTIFS('1. All Data'!$AA$3:$AA$131,"Value for Money council",'1. All Data'!$R$3:$R$131,"Completed Behind Schedule")</f>
        <v>0</v>
      </c>
      <c r="R28" s="170">
        <f>Q28/Q34</f>
        <v>0</v>
      </c>
      <c r="S28" s="374">
        <f>R28+R29</f>
        <v>7.3170731707317069E-2</v>
      </c>
      <c r="T28" s="170">
        <f>Q28/Q35</f>
        <v>0</v>
      </c>
      <c r="U28" s="376">
        <f>T28+T29</f>
        <v>7.3170731707317069E-2</v>
      </c>
      <c r="W28" s="173" t="s">
        <v>30</v>
      </c>
      <c r="X28" s="169">
        <f>COUNTIFS('1. All Data'!$AA$3:$AA$131,"Value for Money council",'1. All Data'!$V$3:$V$131,"Completed Significantly After Target Deadline")</f>
        <v>0</v>
      </c>
      <c r="Y28" s="170">
        <f>X28/$X$34</f>
        <v>0</v>
      </c>
      <c r="Z28" s="374">
        <f>SUM(Y28:Y29)</f>
        <v>7.3170731707317069E-2</v>
      </c>
      <c r="AA28" s="170">
        <f t="shared" si="3"/>
        <v>0</v>
      </c>
      <c r="AB28" s="376">
        <f>AA28+AA29</f>
        <v>7.3170731707317069E-2</v>
      </c>
    </row>
    <row r="29" spans="2:28" ht="20.25" customHeight="1">
      <c r="B29" s="173" t="s">
        <v>29</v>
      </c>
      <c r="C29" s="169">
        <f>COUNTIFS('1. All Data'!$AA$3:$AA$131,"Value for Money council",'1. All Data'!$H$3:$H$131,"Off Target")</f>
        <v>0</v>
      </c>
      <c r="D29" s="170">
        <f>C29/C34</f>
        <v>0</v>
      </c>
      <c r="E29" s="374"/>
      <c r="F29" s="170">
        <f>C29/C35</f>
        <v>0</v>
      </c>
      <c r="G29" s="376"/>
      <c r="I29" s="173" t="s">
        <v>29</v>
      </c>
      <c r="J29" s="169">
        <f>COUNTIFS('1. All Data'!$AA$3:$AA$131,"Value for Money council",'1. All Data'!$M$3:$M$131,"Off Target")</f>
        <v>0</v>
      </c>
      <c r="K29" s="170">
        <f>J29/J34</f>
        <v>0</v>
      </c>
      <c r="L29" s="374"/>
      <c r="M29" s="170">
        <f>J29/J35</f>
        <v>0</v>
      </c>
      <c r="N29" s="376"/>
      <c r="P29" s="173" t="s">
        <v>29</v>
      </c>
      <c r="Q29" s="169">
        <f>COUNTIFS('1. All Data'!$AA$3:$AA$131,"Value for Money council",'1. All Data'!$R$3:$R$131,"Off Target")</f>
        <v>3</v>
      </c>
      <c r="R29" s="170">
        <f>Q29/Q34</f>
        <v>7.3170731707317069E-2</v>
      </c>
      <c r="S29" s="374"/>
      <c r="T29" s="170">
        <f>Q29/Q35</f>
        <v>7.3170731707317069E-2</v>
      </c>
      <c r="U29" s="376"/>
      <c r="W29" s="173" t="s">
        <v>29</v>
      </c>
      <c r="X29" s="169">
        <f>COUNTIFS('1. All Data'!$AA$3:$AA$131,"Value for Money council",'1. All Data'!$V$3:$V$131,"Off Target")</f>
        <v>3</v>
      </c>
      <c r="Y29" s="170">
        <f>X29/$X$34</f>
        <v>7.3170731707317069E-2</v>
      </c>
      <c r="Z29" s="374"/>
      <c r="AA29" s="170">
        <f t="shared" si="3"/>
        <v>7.3170731707317069E-2</v>
      </c>
      <c r="AB29" s="376"/>
    </row>
    <row r="30" spans="2:28" ht="15" customHeight="1">
      <c r="B30" s="174" t="s">
        <v>51</v>
      </c>
      <c r="C30" s="169">
        <f>COUNTIFS('1. All Data'!$AA$3:$AA$131,"Value for Money council",'1. All Data'!$H$3:$H$131,"Not yet due")</f>
        <v>13</v>
      </c>
      <c r="D30" s="175">
        <f>C30/C34</f>
        <v>0.31707317073170732</v>
      </c>
      <c r="E30" s="175">
        <f>D30</f>
        <v>0.31707317073170732</v>
      </c>
      <c r="F30" s="176"/>
      <c r="G30" s="59"/>
      <c r="I30" s="174" t="s">
        <v>51</v>
      </c>
      <c r="J30" s="169">
        <f>COUNTIFS('1. All Data'!$AA$3:$AA$131,"Value for Money council",'1. All Data'!$M$3:$M$131,"Not yet due")</f>
        <v>4</v>
      </c>
      <c r="K30" s="175">
        <f>J30/J34</f>
        <v>9.7560975609756101E-2</v>
      </c>
      <c r="L30" s="175">
        <f>K30</f>
        <v>9.7560975609756101E-2</v>
      </c>
      <c r="M30" s="176"/>
      <c r="N30" s="59"/>
      <c r="P30" s="174" t="s">
        <v>51</v>
      </c>
      <c r="Q30" s="169">
        <f>COUNTIFS('1. All Data'!$AA$3:$AA$131,"Value for Money council",'1. All Data'!$R$3:$R$131,"Not yet due")</f>
        <v>0</v>
      </c>
      <c r="R30" s="175">
        <f>Q30/Q34</f>
        <v>0</v>
      </c>
      <c r="S30" s="175">
        <f>R30</f>
        <v>0</v>
      </c>
      <c r="T30" s="176"/>
      <c r="U30" s="59"/>
      <c r="W30" s="174" t="s">
        <v>51</v>
      </c>
      <c r="X30" s="169">
        <f>COUNTIFS('1. All Data'!$AA$3:$AA$131,"Value for Money council",'1. All Data'!$V$3:$V$131,"Not yet due")</f>
        <v>0</v>
      </c>
      <c r="Y30" s="170">
        <f t="shared" ref="Y30:Y33" si="4">X30/$X$34</f>
        <v>0</v>
      </c>
      <c r="Z30" s="170">
        <f>Y30</f>
        <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f>Q31/Q34</f>
        <v>0</v>
      </c>
      <c r="S31" s="175">
        <f>R31</f>
        <v>0</v>
      </c>
      <c r="T31" s="176"/>
      <c r="U31" s="2"/>
      <c r="W31" s="174" t="s">
        <v>24</v>
      </c>
      <c r="X31" s="169">
        <f>COUNTIFS('1. All Data'!$AA$3:$AA$131,"Value for Money council",'1. All Data'!$V$3:$V$131,"update not provided")</f>
        <v>0</v>
      </c>
      <c r="Y31" s="170">
        <f t="shared" si="4"/>
        <v>0</v>
      </c>
      <c r="Z31" s="170">
        <f t="shared" ref="Z31:Z33" si="5">Y31</f>
        <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f>Q32/Q34</f>
        <v>0</v>
      </c>
      <c r="S32" s="178">
        <f>R32</f>
        <v>0</v>
      </c>
      <c r="T32" s="179"/>
      <c r="U32" s="59"/>
      <c r="W32" s="177" t="s">
        <v>32</v>
      </c>
      <c r="X32" s="169">
        <f>COUNTIFS('1. All Data'!$AA$3:$AA$131,"Value for Money8 council",'1. All Data'!$V$3:$V$131,"Deferred")</f>
        <v>0</v>
      </c>
      <c r="Y32" s="170">
        <f t="shared" si="4"/>
        <v>0</v>
      </c>
      <c r="Z32" s="170">
        <f t="shared" si="5"/>
        <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f>Q33/Q34</f>
        <v>0</v>
      </c>
      <c r="S33" s="178">
        <f>R33</f>
        <v>0</v>
      </c>
      <c r="T33" s="179"/>
      <c r="U33" s="3"/>
      <c r="W33" s="177" t="s">
        <v>33</v>
      </c>
      <c r="X33" s="169">
        <f>COUNTIFS('1. All Data'!$AA$3:$AA$131,"Value for Money council",'1. All Data'!$V$3:$V$131,"Deleted")</f>
        <v>0</v>
      </c>
      <c r="Y33" s="170">
        <f t="shared" si="4"/>
        <v>0</v>
      </c>
      <c r="Z33" s="170">
        <f t="shared" si="5"/>
        <v>0</v>
      </c>
      <c r="AA33" s="179"/>
      <c r="AD33" s="3"/>
    </row>
    <row r="34" spans="2:30" ht="15.75" customHeight="1">
      <c r="B34" s="180" t="s">
        <v>53</v>
      </c>
      <c r="C34" s="181">
        <f>SUM(C23:C33)</f>
        <v>41</v>
      </c>
      <c r="D34" s="179"/>
      <c r="E34" s="179"/>
      <c r="F34" s="59"/>
      <c r="G34" s="59"/>
      <c r="I34" s="180" t="s">
        <v>53</v>
      </c>
      <c r="J34" s="181">
        <f>SUM(J23:J33)</f>
        <v>41</v>
      </c>
      <c r="K34" s="179"/>
      <c r="L34" s="179"/>
      <c r="M34" s="59"/>
      <c r="N34" s="59"/>
      <c r="P34" s="180" t="s">
        <v>53</v>
      </c>
      <c r="Q34" s="181">
        <f>SUM(Q23:Q33)</f>
        <v>41</v>
      </c>
      <c r="R34" s="179"/>
      <c r="S34" s="179"/>
      <c r="T34" s="59"/>
      <c r="U34" s="59"/>
      <c r="W34" s="180" t="s">
        <v>53</v>
      </c>
      <c r="X34" s="181">
        <f>SUM(X23:X33)</f>
        <v>41</v>
      </c>
      <c r="Y34" s="179"/>
      <c r="Z34" s="179"/>
      <c r="AA34" s="59"/>
      <c r="AB34" s="59"/>
    </row>
    <row r="35" spans="2:30" ht="15.75" customHeight="1">
      <c r="B35" s="180" t="s">
        <v>54</v>
      </c>
      <c r="C35" s="181">
        <f>C34-C33-C32-C31-C30</f>
        <v>28</v>
      </c>
      <c r="D35" s="59"/>
      <c r="E35" s="59"/>
      <c r="F35" s="59"/>
      <c r="G35" s="59"/>
      <c r="I35" s="180" t="s">
        <v>54</v>
      </c>
      <c r="J35" s="181">
        <f>J34-J33-J32-J31-J30</f>
        <v>37</v>
      </c>
      <c r="K35" s="59"/>
      <c r="L35" s="59"/>
      <c r="M35" s="59"/>
      <c r="N35" s="59"/>
      <c r="P35" s="180" t="s">
        <v>54</v>
      </c>
      <c r="Q35" s="181">
        <f>Q34-Q33-Q32-Q31-Q30</f>
        <v>41</v>
      </c>
      <c r="R35" s="59"/>
      <c r="S35" s="59"/>
      <c r="T35" s="59"/>
      <c r="U35" s="59"/>
      <c r="W35" s="180" t="s">
        <v>54</v>
      </c>
      <c r="X35" s="181">
        <f>X34-X33-X32-X31-X30</f>
        <v>41</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56</v>
      </c>
      <c r="C39" s="192"/>
      <c r="D39" s="192"/>
      <c r="E39" s="192"/>
      <c r="F39" s="193"/>
      <c r="G39" s="194"/>
      <c r="I39" s="191" t="s">
        <v>56</v>
      </c>
      <c r="J39" s="192"/>
      <c r="K39" s="192"/>
      <c r="L39" s="192"/>
      <c r="M39" s="193"/>
      <c r="N39" s="194"/>
      <c r="P39" s="191" t="s">
        <v>56</v>
      </c>
      <c r="Q39" s="192"/>
      <c r="R39" s="192"/>
      <c r="S39" s="192"/>
      <c r="T39" s="193"/>
      <c r="U39" s="194"/>
      <c r="W39" s="191" t="s">
        <v>56</v>
      </c>
      <c r="X39" s="164"/>
      <c r="Y39" s="164"/>
      <c r="Z39" s="164"/>
      <c r="AA39" s="164"/>
      <c r="AB39" s="165"/>
    </row>
    <row r="40" spans="2:30" ht="36" customHeight="1">
      <c r="B40" s="166" t="s">
        <v>44</v>
      </c>
      <c r="C40" s="166" t="s">
        <v>45</v>
      </c>
      <c r="D40" s="166" t="s">
        <v>46</v>
      </c>
      <c r="E40" s="166" t="s">
        <v>47</v>
      </c>
      <c r="F40" s="166" t="s">
        <v>48</v>
      </c>
      <c r="G40" s="166" t="s">
        <v>49</v>
      </c>
      <c r="I40" s="166" t="s">
        <v>44</v>
      </c>
      <c r="J40" s="166" t="s">
        <v>45</v>
      </c>
      <c r="K40" s="166" t="s">
        <v>46</v>
      </c>
      <c r="L40" s="166" t="s">
        <v>47</v>
      </c>
      <c r="M40" s="166" t="s">
        <v>48</v>
      </c>
      <c r="N40" s="166" t="s">
        <v>49</v>
      </c>
      <c r="P40" s="166" t="s">
        <v>44</v>
      </c>
      <c r="Q40" s="166" t="s">
        <v>45</v>
      </c>
      <c r="R40" s="166" t="s">
        <v>46</v>
      </c>
      <c r="S40" s="166" t="s">
        <v>47</v>
      </c>
      <c r="T40" s="166" t="s">
        <v>48</v>
      </c>
      <c r="U40" s="166" t="s">
        <v>49</v>
      </c>
      <c r="W40" s="166" t="s">
        <v>44</v>
      </c>
      <c r="X40" s="166" t="s">
        <v>45</v>
      </c>
      <c r="Y40" s="166" t="s">
        <v>46</v>
      </c>
      <c r="Z40" s="166" t="s">
        <v>47</v>
      </c>
      <c r="AA40" s="166" t="s">
        <v>48</v>
      </c>
      <c r="AB40" s="166" t="s">
        <v>49</v>
      </c>
    </row>
    <row r="41" spans="2:30" ht="18.75" customHeight="1">
      <c r="B41" s="232" t="s">
        <v>50</v>
      </c>
      <c r="C41" s="169">
        <f>COUNTIFS('1. All Data'!$AA$3:$AA$131,"Environment and Health &amp; Wellbeing",'1. All Data'!$H$3:$H$131,"Fully Achieved")</f>
        <v>4</v>
      </c>
      <c r="D41" s="170">
        <f>C41/C52</f>
        <v>8.6956521739130432E-2</v>
      </c>
      <c r="E41" s="374">
        <f>D41+D42</f>
        <v>0.71739130434782616</v>
      </c>
      <c r="F41" s="170">
        <f>C41/C53</f>
        <v>0.12121212121212122</v>
      </c>
      <c r="G41" s="389">
        <f>F41+F42</f>
        <v>1</v>
      </c>
      <c r="I41" s="232" t="s">
        <v>50</v>
      </c>
      <c r="J41" s="169">
        <f>COUNTIFS('1. All Data'!$AA$3:$AA$131,"Environment and Health &amp; Wellbeing",'1. All Data'!$M$3:$M$131,"Fully Achieved")</f>
        <v>14</v>
      </c>
      <c r="K41" s="170">
        <f>J41/J52</f>
        <v>0.30434782608695654</v>
      </c>
      <c r="L41" s="374">
        <f>K41+K42</f>
        <v>0.91304347826086962</v>
      </c>
      <c r="M41" s="170">
        <f>J41/J53</f>
        <v>0.33333333333333331</v>
      </c>
      <c r="N41" s="389">
        <f>M41+M42</f>
        <v>1</v>
      </c>
      <c r="P41" s="232" t="s">
        <v>50</v>
      </c>
      <c r="Q41" s="169">
        <f>COUNTIFS('1. All Data'!$AA$3:$AA$131,"Environment and Health &amp; Wellbeing",'1. All Data'!$R$3:$R$131,"Fully Achieved")</f>
        <v>22</v>
      </c>
      <c r="R41" s="170">
        <f>Q41/Q52</f>
        <v>0.47826086956521741</v>
      </c>
      <c r="S41" s="374">
        <f>R41+R42</f>
        <v>1</v>
      </c>
      <c r="T41" s="170">
        <f>Q41/Q53</f>
        <v>0.47826086956521741</v>
      </c>
      <c r="U41" s="389">
        <f>T41+T42</f>
        <v>1</v>
      </c>
      <c r="W41" s="232" t="s">
        <v>50</v>
      </c>
      <c r="X41" s="169">
        <f>COUNTIFS('1. All Data'!$AA$3:$AA$131,"Environment and Health &amp; Wellbeing",'1. All Data'!$V$3:$V$131,"Fully Achieved")</f>
        <v>44</v>
      </c>
      <c r="Y41" s="170">
        <f>X41/X52</f>
        <v>0.95652173913043481</v>
      </c>
      <c r="Z41" s="374">
        <f>Y41+Y42</f>
        <v>0.95652173913043481</v>
      </c>
      <c r="AA41" s="170">
        <f>X41/X53</f>
        <v>0.95652173913043481</v>
      </c>
      <c r="AB41" s="389">
        <f>AA41+AA42</f>
        <v>0.95652173913043481</v>
      </c>
    </row>
    <row r="42" spans="2:30" ht="18.75" customHeight="1">
      <c r="B42" s="232" t="s">
        <v>34</v>
      </c>
      <c r="C42" s="169">
        <f>COUNTIFS('1. All Data'!$AA$3:$AA$131,"Environment and Health &amp; Wellbeing",'1. All Data'!$H$3:$H$131,"On Track to be achieved")</f>
        <v>29</v>
      </c>
      <c r="D42" s="170">
        <f>C42/C52</f>
        <v>0.63043478260869568</v>
      </c>
      <c r="E42" s="374"/>
      <c r="F42" s="170">
        <f>C42/C53</f>
        <v>0.87878787878787878</v>
      </c>
      <c r="G42" s="389"/>
      <c r="I42" s="232" t="s">
        <v>34</v>
      </c>
      <c r="J42" s="169">
        <f>COUNTIFS('1. All Data'!$AA$3:$AA$131,"Environment and Health &amp; Wellbeing",'1. All Data'!$M$3:$M$131,"On Track to be achieved")</f>
        <v>28</v>
      </c>
      <c r="K42" s="170">
        <f>J42/J52</f>
        <v>0.60869565217391308</v>
      </c>
      <c r="L42" s="374"/>
      <c r="M42" s="170">
        <f>J42/J53</f>
        <v>0.66666666666666663</v>
      </c>
      <c r="N42" s="389"/>
      <c r="P42" s="232" t="s">
        <v>34</v>
      </c>
      <c r="Q42" s="169">
        <f>COUNTIFS('1. All Data'!$AA$3:$AA$131,"Environment and Health &amp; Wellbeing",'1. All Data'!$R$3:$R$131,"On Track to be achieved")</f>
        <v>24</v>
      </c>
      <c r="R42" s="170">
        <f>Q42/Q52</f>
        <v>0.52173913043478259</v>
      </c>
      <c r="S42" s="374"/>
      <c r="T42" s="170">
        <f>Q42/Q53</f>
        <v>0.52173913043478259</v>
      </c>
      <c r="U42" s="389"/>
      <c r="W42" s="232" t="s">
        <v>26</v>
      </c>
      <c r="X42" s="169">
        <f>COUNTIFS('1. All Data'!$AA$3:$AA$131,"Environment and Health &amp; Wellbeing",'1. All Data'!$V$3:$V$131,"Numerical Outturn Within 5% Tolerance")</f>
        <v>0</v>
      </c>
      <c r="Y42" s="170">
        <f>X42/X52</f>
        <v>0</v>
      </c>
      <c r="Z42" s="374"/>
      <c r="AA42" s="170">
        <f>X42/X53</f>
        <v>0</v>
      </c>
      <c r="AB42" s="389"/>
    </row>
    <row r="43" spans="2:30" ht="19.5" customHeight="1">
      <c r="B43" s="377" t="s">
        <v>35</v>
      </c>
      <c r="C43" s="380">
        <f>COUNTIFS('1. All Data'!$AA$3:$AA$131,"Environment and Health &amp; Wellbeing",'1. All Data'!$H$3:$H$131,"In Danger of Falling Behind Target")</f>
        <v>0</v>
      </c>
      <c r="D43" s="383">
        <f>C43/C52</f>
        <v>0</v>
      </c>
      <c r="E43" s="383">
        <f>D43</f>
        <v>0</v>
      </c>
      <c r="F43" s="383">
        <f>C43/C53</f>
        <v>0</v>
      </c>
      <c r="G43" s="386">
        <f>F43</f>
        <v>0</v>
      </c>
      <c r="I43" s="377" t="s">
        <v>35</v>
      </c>
      <c r="J43" s="380">
        <f>COUNTIFS('1. All Data'!$AA$3:$AA$131,"Environment and Health &amp; Wellbeing",'1. All Data'!$M$3:$M$131,"In Danger of Falling Behind Target")</f>
        <v>0</v>
      </c>
      <c r="K43" s="383">
        <f>J43/J52</f>
        <v>0</v>
      </c>
      <c r="L43" s="383">
        <f>K43</f>
        <v>0</v>
      </c>
      <c r="M43" s="383">
        <f>J43/J53</f>
        <v>0</v>
      </c>
      <c r="N43" s="386">
        <f>M43</f>
        <v>0</v>
      </c>
      <c r="P43" s="377" t="s">
        <v>35</v>
      </c>
      <c r="Q43" s="380">
        <f>COUNTIFS('1. All Data'!$AA$3:$AA$131,"Environment and Health &amp; Wellbeing",'1. All Data'!$R$3:$R$131,"In Danger of Falling Behind Target")</f>
        <v>0</v>
      </c>
      <c r="R43" s="383">
        <f>Q43/Q52</f>
        <v>0</v>
      </c>
      <c r="S43" s="383">
        <f>R43</f>
        <v>0</v>
      </c>
      <c r="T43" s="383">
        <f>Q43/Q53</f>
        <v>0</v>
      </c>
      <c r="U43" s="386">
        <f>T43</f>
        <v>0</v>
      </c>
      <c r="W43" s="171" t="s">
        <v>27</v>
      </c>
      <c r="X43" s="172">
        <f>COUNTIFS('1. All Data'!$AA$3:$AA$131,"Environment and Health &amp; Wellbeing",'1. All Data'!$V$3:$V$131,"Numerical Outturn Within 10% Tolerance")</f>
        <v>0</v>
      </c>
      <c r="Y43" s="170">
        <f>X43/X52</f>
        <v>0</v>
      </c>
      <c r="Z43" s="374">
        <f>SUM(Y43:Y45)</f>
        <v>0</v>
      </c>
      <c r="AA43" s="170">
        <f>X43/X53</f>
        <v>0</v>
      </c>
      <c r="AB43" s="375">
        <f>SUM(AA43:AA45)</f>
        <v>0</v>
      </c>
    </row>
    <row r="44" spans="2:30" ht="19.5" customHeight="1">
      <c r="B44" s="378"/>
      <c r="C44" s="381"/>
      <c r="D44" s="384"/>
      <c r="E44" s="384"/>
      <c r="F44" s="384"/>
      <c r="G44" s="387"/>
      <c r="I44" s="378"/>
      <c r="J44" s="381"/>
      <c r="K44" s="384"/>
      <c r="L44" s="384"/>
      <c r="M44" s="384"/>
      <c r="N44" s="387"/>
      <c r="P44" s="378"/>
      <c r="Q44" s="381"/>
      <c r="R44" s="384"/>
      <c r="S44" s="384"/>
      <c r="T44" s="384"/>
      <c r="U44" s="387"/>
      <c r="W44" s="171" t="s">
        <v>28</v>
      </c>
      <c r="X44" s="172">
        <f>COUNTIFS('1. All Data'!$AA$3:$AA$131,"Environment and Health &amp; Wellbeing",'1. All Data'!$V$3:$V$131,"Target Partially Met")</f>
        <v>0</v>
      </c>
      <c r="Y44" s="170">
        <f>X44/X52</f>
        <v>0</v>
      </c>
      <c r="Z44" s="374"/>
      <c r="AA44" s="170">
        <f>X44/X53</f>
        <v>0</v>
      </c>
      <c r="AB44" s="375"/>
    </row>
    <row r="45" spans="2:30" ht="19.5" customHeight="1">
      <c r="B45" s="379"/>
      <c r="C45" s="382"/>
      <c r="D45" s="385"/>
      <c r="E45" s="385"/>
      <c r="F45" s="385"/>
      <c r="G45" s="388"/>
      <c r="I45" s="379"/>
      <c r="J45" s="382"/>
      <c r="K45" s="385"/>
      <c r="L45" s="385"/>
      <c r="M45" s="385"/>
      <c r="N45" s="388"/>
      <c r="P45" s="379"/>
      <c r="Q45" s="382"/>
      <c r="R45" s="385"/>
      <c r="S45" s="385"/>
      <c r="T45" s="385"/>
      <c r="U45" s="388"/>
      <c r="W45" s="171" t="s">
        <v>31</v>
      </c>
      <c r="X45" s="172">
        <f>COUNTIFS('1. All Data'!$AA$3:$AA$131,"Environment and Health &amp; Wellbeing",'1. All Data'!$V$3:$V$131,"Completion Date Within Reasonable Tolerance")</f>
        <v>0</v>
      </c>
      <c r="Y45" s="170">
        <f>X45/X52</f>
        <v>0</v>
      </c>
      <c r="Z45" s="374"/>
      <c r="AA45" s="170">
        <f>X45/X53</f>
        <v>0</v>
      </c>
      <c r="AB45" s="375"/>
    </row>
    <row r="46" spans="2:30" ht="22.5" customHeight="1">
      <c r="B46" s="173" t="s">
        <v>36</v>
      </c>
      <c r="C46" s="169">
        <f>COUNTIFS('1. All Data'!$AA$3:$AA$131,"Environment and Health &amp; Wellbeing",'1. All Data'!$H$3:$H$131,"Completed Behind Schedule")</f>
        <v>0</v>
      </c>
      <c r="D46" s="170">
        <f>C46/C52</f>
        <v>0</v>
      </c>
      <c r="E46" s="374">
        <f>D46+D47</f>
        <v>0</v>
      </c>
      <c r="F46" s="170">
        <f>C46/C53</f>
        <v>0</v>
      </c>
      <c r="G46" s="376">
        <f>F46+F47</f>
        <v>0</v>
      </c>
      <c r="I46" s="173" t="s">
        <v>36</v>
      </c>
      <c r="J46" s="169">
        <f>COUNTIFS('1. All Data'!$AA$3:$AA$131,"Environment and Health &amp; Wellbeing",'1. All Data'!$M$3:$M$131,"Completed Behind Schedule")</f>
        <v>0</v>
      </c>
      <c r="K46" s="170">
        <f>J46/J52</f>
        <v>0</v>
      </c>
      <c r="L46" s="374">
        <f>K46+K47</f>
        <v>0</v>
      </c>
      <c r="M46" s="170">
        <f>J46/J53</f>
        <v>0</v>
      </c>
      <c r="N46" s="376">
        <f>M46+M47</f>
        <v>0</v>
      </c>
      <c r="P46" s="173" t="s">
        <v>36</v>
      </c>
      <c r="Q46" s="169">
        <f>COUNTIFS('1. All Data'!$AA$3:$AA$131,"Environment and Health &amp; Wellbeing",'1. All Data'!$R$3:$R$131,"Completed Behind Schedule")</f>
        <v>0</v>
      </c>
      <c r="R46" s="170">
        <f>Q46/Q52</f>
        <v>0</v>
      </c>
      <c r="S46" s="374">
        <f>R46+R47</f>
        <v>0</v>
      </c>
      <c r="T46" s="170">
        <f>Q46/Q53</f>
        <v>0</v>
      </c>
      <c r="U46" s="376">
        <f>T46+T47</f>
        <v>0</v>
      </c>
      <c r="W46" s="173" t="s">
        <v>30</v>
      </c>
      <c r="X46" s="169">
        <f>COUNTIFS('1. All Data'!$AA$3:$AA$131,"Environment and Health &amp; Wellbeing",'1. All Data'!$V$3:$V$131,"Completed Significantly After Target Deadline")</f>
        <v>0</v>
      </c>
      <c r="Y46" s="170">
        <f>X46/X52</f>
        <v>0</v>
      </c>
      <c r="Z46" s="374">
        <f>SUM(Y46:Y47)</f>
        <v>4.3478260869565216E-2</v>
      </c>
      <c r="AA46" s="170">
        <f>X46/X53</f>
        <v>0</v>
      </c>
      <c r="AB46" s="376">
        <f>AA46+AA47</f>
        <v>4.3478260869565216E-2</v>
      </c>
    </row>
    <row r="47" spans="2:30" ht="22.5" customHeight="1">
      <c r="B47" s="173" t="s">
        <v>29</v>
      </c>
      <c r="C47" s="169">
        <f>COUNTIFS('1. All Data'!$AA$3:$AA$131,"Environment and Health &amp; Wellbeing",'1. All Data'!$H$3:$H$131,"Off Target")</f>
        <v>0</v>
      </c>
      <c r="D47" s="170">
        <f>C47/C52</f>
        <v>0</v>
      </c>
      <c r="E47" s="374"/>
      <c r="F47" s="170">
        <f>C47/C53</f>
        <v>0</v>
      </c>
      <c r="G47" s="376"/>
      <c r="I47" s="173" t="s">
        <v>29</v>
      </c>
      <c r="J47" s="169">
        <f>COUNTIFS('1. All Data'!$AA$3:$AA$131,"Environment and Health &amp; Wellbeing",'1. All Data'!$M$3:$M$131,"Off Target")</f>
        <v>0</v>
      </c>
      <c r="K47" s="170">
        <f>J47/J52</f>
        <v>0</v>
      </c>
      <c r="L47" s="374"/>
      <c r="M47" s="170">
        <f>J47/J53</f>
        <v>0</v>
      </c>
      <c r="N47" s="376"/>
      <c r="P47" s="173" t="s">
        <v>29</v>
      </c>
      <c r="Q47" s="169">
        <f>COUNTIFS('1. All Data'!$AA$3:$AA$131,"Environment and Health &amp; Wellbeing",'1. All Data'!$R$3:$R$131,"Off Target")</f>
        <v>0</v>
      </c>
      <c r="R47" s="170">
        <f>Q47/Q52</f>
        <v>0</v>
      </c>
      <c r="S47" s="374"/>
      <c r="T47" s="170">
        <f>Q47/Q53</f>
        <v>0</v>
      </c>
      <c r="U47" s="376"/>
      <c r="W47" s="173" t="s">
        <v>29</v>
      </c>
      <c r="X47" s="169">
        <f>COUNTIFS('1. All Data'!$AA$3:$AA$131,"Environment and Health &amp; Wellbeing",'1. All Data'!$V$3:$V$131,"Off Target")</f>
        <v>2</v>
      </c>
      <c r="Y47" s="170">
        <f>X47/X52</f>
        <v>4.3478260869565216E-2</v>
      </c>
      <c r="Z47" s="374"/>
      <c r="AA47" s="170">
        <f>X47/X53</f>
        <v>4.3478260869565216E-2</v>
      </c>
      <c r="AB47" s="376"/>
    </row>
    <row r="48" spans="2:30" ht="15.75" customHeight="1">
      <c r="B48" s="174" t="s">
        <v>51</v>
      </c>
      <c r="C48" s="169">
        <f>COUNTIFS('1. All Data'!$AA$3:$AA$131,"Environment and Health &amp; Wellbeing",'1. All Data'!$H$3:$H$131,"Not yet due")</f>
        <v>13</v>
      </c>
      <c r="D48" s="175">
        <f>C48/C52</f>
        <v>0.28260869565217389</v>
      </c>
      <c r="E48" s="175">
        <f>D48</f>
        <v>0.28260869565217389</v>
      </c>
      <c r="F48" s="176"/>
      <c r="G48" s="59"/>
      <c r="I48" s="174" t="s">
        <v>51</v>
      </c>
      <c r="J48" s="169">
        <f>COUNTIFS('1. All Data'!$AA$3:$AA$131,"Environment and Health &amp; Wellbeing",'1. All Data'!$M$3:$M$131,"Not yet due")</f>
        <v>4</v>
      </c>
      <c r="K48" s="175">
        <f>J48/J52</f>
        <v>8.6956521739130432E-2</v>
      </c>
      <c r="L48" s="175">
        <f>K48</f>
        <v>8.6956521739130432E-2</v>
      </c>
      <c r="M48" s="176"/>
      <c r="N48" s="59"/>
      <c r="P48" s="174" t="s">
        <v>51</v>
      </c>
      <c r="Q48" s="169">
        <f>COUNTIFS('1. All Data'!$AA$3:$AA$131,"Environment and Health &amp; Wellbeing",'1. All Data'!$R$3:$R$131,"Not yet due")</f>
        <v>0</v>
      </c>
      <c r="R48" s="175">
        <f>Q48/Q52</f>
        <v>0</v>
      </c>
      <c r="S48" s="175">
        <f>R48</f>
        <v>0</v>
      </c>
      <c r="T48" s="176"/>
      <c r="U48" s="59"/>
      <c r="W48" s="174" t="s">
        <v>51</v>
      </c>
      <c r="X48" s="169">
        <f>COUNTIFS('1. All Data'!$AA$3:$AA$131,"Environment and Health &amp; Wellbeing",'1. All Data'!$V$3:$V$131,"Not yet due")</f>
        <v>0</v>
      </c>
      <c r="Y48" s="170">
        <f>X48/X52</f>
        <v>0</v>
      </c>
      <c r="Z48" s="170">
        <f>Y48</f>
        <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f>Q49/Q52</f>
        <v>0</v>
      </c>
      <c r="S49" s="175">
        <f>R49</f>
        <v>0</v>
      </c>
      <c r="T49" s="176"/>
      <c r="U49" s="2"/>
      <c r="W49" s="174" t="s">
        <v>24</v>
      </c>
      <c r="X49" s="169">
        <f>COUNTIFS('1. All Data'!$AA$3:$AA$131,"Environment and health &amp; wellbeing",'1. All Data'!$V$3:$V$131,"update not provided")</f>
        <v>0</v>
      </c>
      <c r="Y49" s="170">
        <f>X49/X52</f>
        <v>0</v>
      </c>
      <c r="Z49" s="170">
        <f t="shared" ref="Z49:Z51" si="6">Y49</f>
        <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f>Q50/Q52</f>
        <v>0</v>
      </c>
      <c r="S50" s="178">
        <f>R50</f>
        <v>0</v>
      </c>
      <c r="T50" s="179"/>
      <c r="U50" s="59"/>
      <c r="W50" s="177" t="s">
        <v>32</v>
      </c>
      <c r="X50" s="169">
        <f>COUNTIFS('1. All Data'!$AA$3:$AA$131,"Environment and Health &amp; Wellbeing",'1. All Data'!$V$3:$V$131,"Deferred")</f>
        <v>0</v>
      </c>
      <c r="Y50" s="170">
        <f>X50/X52</f>
        <v>0</v>
      </c>
      <c r="Z50" s="170">
        <f t="shared" si="6"/>
        <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f>Q51/Q52</f>
        <v>0</v>
      </c>
      <c r="S51" s="178">
        <f>R51</f>
        <v>0</v>
      </c>
      <c r="T51" s="179"/>
      <c r="U51" s="3"/>
      <c r="W51" s="177" t="s">
        <v>33</v>
      </c>
      <c r="X51" s="169">
        <f>COUNTIFS('1. All Data'!$AA$3:$AA$131,"Environment and Health &amp; Wellbeing",'1. All Data'!$V$3:$V$131,"Deleted")</f>
        <v>0</v>
      </c>
      <c r="Y51" s="170">
        <f>X51/X52</f>
        <v>0</v>
      </c>
      <c r="Z51" s="170">
        <f t="shared" si="6"/>
        <v>0</v>
      </c>
      <c r="AA51" s="179"/>
      <c r="AD51" s="3"/>
    </row>
    <row r="52" spans="2:30" ht="15.75" customHeight="1">
      <c r="B52" s="196" t="s">
        <v>53</v>
      </c>
      <c r="C52" s="181">
        <f>SUM(C41:C51)</f>
        <v>46</v>
      </c>
      <c r="D52" s="179"/>
      <c r="E52" s="179"/>
      <c r="F52" s="59"/>
      <c r="G52" s="59"/>
      <c r="I52" s="196" t="s">
        <v>53</v>
      </c>
      <c r="J52" s="181">
        <f>SUM(J41:J51)</f>
        <v>46</v>
      </c>
      <c r="K52" s="179"/>
      <c r="L52" s="179"/>
      <c r="M52" s="59"/>
      <c r="N52" s="59"/>
      <c r="P52" s="196" t="s">
        <v>53</v>
      </c>
      <c r="Q52" s="181">
        <f>SUM(Q41:Q51)</f>
        <v>46</v>
      </c>
      <c r="R52" s="179"/>
      <c r="S52" s="179"/>
      <c r="T52" s="59"/>
      <c r="U52" s="59"/>
      <c r="W52" s="180" t="s">
        <v>53</v>
      </c>
      <c r="X52" s="181">
        <f>SUM(X41:X51)</f>
        <v>46</v>
      </c>
      <c r="Y52" s="179"/>
      <c r="Z52" s="179"/>
      <c r="AA52" s="59"/>
      <c r="AB52" s="59"/>
    </row>
    <row r="53" spans="2:30" ht="15.75" customHeight="1">
      <c r="B53" s="196" t="s">
        <v>54</v>
      </c>
      <c r="C53" s="181">
        <f>C52-C51-C50-C49-C48</f>
        <v>33</v>
      </c>
      <c r="D53" s="59"/>
      <c r="E53" s="59"/>
      <c r="F53" s="59"/>
      <c r="G53" s="59"/>
      <c r="I53" s="196" t="s">
        <v>54</v>
      </c>
      <c r="J53" s="181">
        <f>J52-J51-J50-J49-J48</f>
        <v>42</v>
      </c>
      <c r="K53" s="59"/>
      <c r="L53" s="59"/>
      <c r="M53" s="59"/>
      <c r="N53" s="59"/>
      <c r="P53" s="196" t="s">
        <v>54</v>
      </c>
      <c r="Q53" s="181">
        <f>Q52-Q51-Q50-Q49-Q48</f>
        <v>46</v>
      </c>
      <c r="R53" s="59"/>
      <c r="S53" s="59"/>
      <c r="T53" s="59"/>
      <c r="U53" s="59"/>
      <c r="W53" s="180" t="s">
        <v>54</v>
      </c>
      <c r="X53" s="181">
        <f>X52-X51-X50-X49-X48</f>
        <v>46</v>
      </c>
      <c r="Y53" s="59"/>
      <c r="Z53" s="59"/>
      <c r="AA53" s="59"/>
      <c r="AB53" s="59"/>
    </row>
    <row r="54" spans="2:30" ht="15.75" customHeight="1">
      <c r="X54" s="197"/>
    </row>
    <row r="55" spans="2:30" ht="15.75" customHeight="1">
      <c r="X55" s="197"/>
    </row>
    <row r="56" spans="2:30" ht="15.75" customHeight="1">
      <c r="X56" s="197"/>
    </row>
    <row r="57" spans="2:30" ht="15.75" customHeight="1">
      <c r="B57" s="191" t="s">
        <v>57</v>
      </c>
      <c r="C57" s="192"/>
      <c r="D57" s="192"/>
      <c r="E57" s="192"/>
      <c r="F57" s="193"/>
      <c r="G57" s="194"/>
      <c r="I57" s="191" t="s">
        <v>57</v>
      </c>
      <c r="J57" s="192"/>
      <c r="K57" s="192"/>
      <c r="L57" s="192"/>
      <c r="M57" s="193"/>
      <c r="N57" s="194"/>
      <c r="P57" s="191" t="s">
        <v>57</v>
      </c>
      <c r="Q57" s="192"/>
      <c r="R57" s="192"/>
      <c r="S57" s="192"/>
      <c r="T57" s="193"/>
      <c r="U57" s="194"/>
      <c r="W57" s="191" t="s">
        <v>57</v>
      </c>
      <c r="X57" s="198"/>
      <c r="Y57" s="164"/>
      <c r="Z57" s="164"/>
      <c r="AA57" s="164"/>
      <c r="AB57" s="165"/>
    </row>
    <row r="58" spans="2:30" ht="41.25" customHeight="1">
      <c r="B58" s="166" t="s">
        <v>44</v>
      </c>
      <c r="C58" s="166" t="s">
        <v>45</v>
      </c>
      <c r="D58" s="166" t="s">
        <v>46</v>
      </c>
      <c r="E58" s="166" t="s">
        <v>47</v>
      </c>
      <c r="F58" s="166" t="s">
        <v>48</v>
      </c>
      <c r="G58" s="166" t="s">
        <v>49</v>
      </c>
      <c r="I58" s="166" t="s">
        <v>44</v>
      </c>
      <c r="J58" s="166" t="s">
        <v>45</v>
      </c>
      <c r="K58" s="166" t="s">
        <v>46</v>
      </c>
      <c r="L58" s="166" t="s">
        <v>47</v>
      </c>
      <c r="M58" s="166" t="s">
        <v>48</v>
      </c>
      <c r="N58" s="166" t="s">
        <v>49</v>
      </c>
      <c r="P58" s="166" t="s">
        <v>44</v>
      </c>
      <c r="Q58" s="166" t="s">
        <v>45</v>
      </c>
      <c r="R58" s="166" t="s">
        <v>46</v>
      </c>
      <c r="S58" s="166" t="s">
        <v>47</v>
      </c>
      <c r="T58" s="166" t="s">
        <v>48</v>
      </c>
      <c r="U58" s="166" t="s">
        <v>49</v>
      </c>
      <c r="W58" s="166" t="s">
        <v>44</v>
      </c>
      <c r="X58" s="166" t="s">
        <v>45</v>
      </c>
      <c r="Y58" s="166" t="s">
        <v>46</v>
      </c>
      <c r="Z58" s="166" t="s">
        <v>47</v>
      </c>
      <c r="AA58" s="166" t="s">
        <v>48</v>
      </c>
      <c r="AB58" s="166" t="s">
        <v>49</v>
      </c>
    </row>
    <row r="59" spans="2:30" ht="27.75" customHeight="1">
      <c r="B59" s="232" t="s">
        <v>50</v>
      </c>
      <c r="C59" s="169">
        <f>COUNTIFS('1. All Data'!$AA$3:$AA$131,"Community Regeneration",'1. All Data'!$H$3:$H$131,"Fully Achieved")</f>
        <v>5</v>
      </c>
      <c r="D59" s="170">
        <f>C59/C70</f>
        <v>0.11904761904761904</v>
      </c>
      <c r="E59" s="374">
        <f>D59+D60</f>
        <v>0.59523809523809523</v>
      </c>
      <c r="F59" s="170">
        <f>C59/C71</f>
        <v>0.18518518518518517</v>
      </c>
      <c r="G59" s="389">
        <f>F59+F60</f>
        <v>0.92592592592592582</v>
      </c>
      <c r="I59" s="232" t="s">
        <v>50</v>
      </c>
      <c r="J59" s="169">
        <f>COUNTIFS('1. All Data'!$AA$3:$AA$131,"Community Regeneration",'1. All Data'!$M$3:$M$131,"Fully Achieved")</f>
        <v>15</v>
      </c>
      <c r="K59" s="170">
        <f>J59/J70</f>
        <v>0.35714285714285715</v>
      </c>
      <c r="L59" s="374">
        <f>K59+K60</f>
        <v>0.80952380952380953</v>
      </c>
      <c r="M59" s="170">
        <f>J59/J71</f>
        <v>0.41666666666666669</v>
      </c>
      <c r="N59" s="389">
        <f>M59+M60</f>
        <v>0.94444444444444442</v>
      </c>
      <c r="P59" s="232" t="s">
        <v>50</v>
      </c>
      <c r="Q59" s="169">
        <f>COUNTIFS('1. All Data'!$AA$3:$AA$131,"Community Regeneration",'1. All Data'!$R$3:$R$131,"Fully Achieved")</f>
        <v>20</v>
      </c>
      <c r="R59" s="170">
        <f>Q59/Q70</f>
        <v>0.47619047619047616</v>
      </c>
      <c r="S59" s="374">
        <f>R59+R60</f>
        <v>0.80952380952380953</v>
      </c>
      <c r="T59" s="170">
        <f>Q59/Q71</f>
        <v>0.55555555555555558</v>
      </c>
      <c r="U59" s="389">
        <f>T59+T60</f>
        <v>0.94444444444444442</v>
      </c>
      <c r="W59" s="232" t="s">
        <v>50</v>
      </c>
      <c r="X59" s="169">
        <f>COUNTIFS('1. All Data'!$AA$3:$AA$131,"Community Regeneration",'1. All Data'!$V$3:$V$131,"Fully Achieved")</f>
        <v>38</v>
      </c>
      <c r="Y59" s="170">
        <f>X59/X70</f>
        <v>0.90476190476190477</v>
      </c>
      <c r="Z59" s="374">
        <f>Y59+Y60</f>
        <v>0.90476190476190477</v>
      </c>
      <c r="AA59" s="170">
        <f>X59/X71</f>
        <v>0.92682926829268297</v>
      </c>
      <c r="AB59" s="389">
        <f>AA59+AA60</f>
        <v>0.92682926829268297</v>
      </c>
    </row>
    <row r="60" spans="2:30" ht="27.75" customHeight="1">
      <c r="B60" s="232" t="s">
        <v>34</v>
      </c>
      <c r="C60" s="169">
        <f>COUNTIFS('1. All Data'!$AA$3:$AA$131,"Community Regeneration",'1. All Data'!$H$3:$H$131,"On Track to be achieved")</f>
        <v>20</v>
      </c>
      <c r="D60" s="170">
        <f>C60/C70</f>
        <v>0.47619047619047616</v>
      </c>
      <c r="E60" s="374"/>
      <c r="F60" s="170">
        <f>C60/C71</f>
        <v>0.7407407407407407</v>
      </c>
      <c r="G60" s="389"/>
      <c r="I60" s="232" t="s">
        <v>34</v>
      </c>
      <c r="J60" s="169">
        <f>COUNTIFS('1. All Data'!$AA$3:$AA$131,"Community Regeneration",'1. All Data'!$M$3:$M$131,"On Track to be achieved")</f>
        <v>19</v>
      </c>
      <c r="K60" s="170">
        <f>J60/J70</f>
        <v>0.45238095238095238</v>
      </c>
      <c r="L60" s="374"/>
      <c r="M60" s="170">
        <f>J60/J71</f>
        <v>0.52777777777777779</v>
      </c>
      <c r="N60" s="389"/>
      <c r="P60" s="232" t="s">
        <v>34</v>
      </c>
      <c r="Q60" s="169">
        <f>COUNTIFS('1. All Data'!$AA$3:$AA$131,"Community Regeneration",'1. All Data'!$R$3:$R$131,"On Track to be achieved")</f>
        <v>14</v>
      </c>
      <c r="R60" s="170">
        <f>Q60/Q70</f>
        <v>0.33333333333333331</v>
      </c>
      <c r="S60" s="374"/>
      <c r="T60" s="170">
        <f>Q60/Q71</f>
        <v>0.3888888888888889</v>
      </c>
      <c r="U60" s="389"/>
      <c r="W60" s="232" t="s">
        <v>26</v>
      </c>
      <c r="X60" s="169">
        <f>COUNTIFS('1. All Data'!$AA$3:$AA$131,"Community Regeneration",'1. All Data'!$V$3:$V$131,"Numerical Outturn Within 5% Tolerance")</f>
        <v>0</v>
      </c>
      <c r="Y60" s="170">
        <f>X60/X70</f>
        <v>0</v>
      </c>
      <c r="Z60" s="374"/>
      <c r="AA60" s="170">
        <f>X60/X71</f>
        <v>0</v>
      </c>
      <c r="AB60" s="389"/>
    </row>
    <row r="61" spans="2:30" ht="18.75" customHeight="1">
      <c r="B61" s="377" t="s">
        <v>35</v>
      </c>
      <c r="C61" s="380">
        <f>COUNTIFS('1. All Data'!$AA$3:$AA$131,"Community Regeneration",'1. All Data'!$H$3:$H$131,"In Danger of Falling Behind Target")</f>
        <v>0</v>
      </c>
      <c r="D61" s="383">
        <f>C61/C70</f>
        <v>0</v>
      </c>
      <c r="E61" s="383">
        <f>D61</f>
        <v>0</v>
      </c>
      <c r="F61" s="383">
        <f>C61/C71</f>
        <v>0</v>
      </c>
      <c r="G61" s="386">
        <f>F61</f>
        <v>0</v>
      </c>
      <c r="I61" s="377" t="s">
        <v>35</v>
      </c>
      <c r="J61" s="380">
        <f>COUNTIFS('1. All Data'!$AA$3:$AA$131,"Community Regeneration",'1. All Data'!$M$3:$M$131,"In Danger of Falling Behind Target")</f>
        <v>0</v>
      </c>
      <c r="K61" s="383">
        <f>J61/J70</f>
        <v>0</v>
      </c>
      <c r="L61" s="383">
        <f>K61</f>
        <v>0</v>
      </c>
      <c r="M61" s="383">
        <f>J61/J71</f>
        <v>0</v>
      </c>
      <c r="N61" s="386">
        <f>M61</f>
        <v>0</v>
      </c>
      <c r="P61" s="377" t="s">
        <v>35</v>
      </c>
      <c r="Q61" s="380">
        <f>COUNTIFS('1. All Data'!$AA$3:$AA$131,"Community Regeneration",'1. All Data'!$R$3:$R$131,"In Danger of Falling Behind Target")</f>
        <v>0</v>
      </c>
      <c r="R61" s="383">
        <f>Q61/Q70</f>
        <v>0</v>
      </c>
      <c r="S61" s="383">
        <f>R61</f>
        <v>0</v>
      </c>
      <c r="T61" s="383">
        <f>Q61/Q71</f>
        <v>0</v>
      </c>
      <c r="U61" s="386">
        <f>T61</f>
        <v>0</v>
      </c>
      <c r="W61" s="171" t="s">
        <v>27</v>
      </c>
      <c r="X61" s="172">
        <f>COUNTIFS('1. All Data'!$AA$3:$AA$131,"Community Regeneration",'1. All Data'!$V$3:$V$131,"Numerical Outturn Within 10% Tolerance")</f>
        <v>0</v>
      </c>
      <c r="Y61" s="170">
        <f>X61/$X$34</f>
        <v>0</v>
      </c>
      <c r="Z61" s="374">
        <f>SUM(Y61:Y63)</f>
        <v>2.4390243902439025E-2</v>
      </c>
      <c r="AA61" s="170">
        <f>X61/X71</f>
        <v>0</v>
      </c>
      <c r="AB61" s="375">
        <f>SUM(AA61:AA63)</f>
        <v>2.4390243902439025E-2</v>
      </c>
    </row>
    <row r="62" spans="2:30" ht="18.75" customHeight="1">
      <c r="B62" s="378"/>
      <c r="C62" s="381"/>
      <c r="D62" s="384"/>
      <c r="E62" s="384"/>
      <c r="F62" s="384"/>
      <c r="G62" s="387"/>
      <c r="I62" s="378"/>
      <c r="J62" s="381"/>
      <c r="K62" s="384"/>
      <c r="L62" s="384"/>
      <c r="M62" s="384"/>
      <c r="N62" s="387"/>
      <c r="P62" s="378"/>
      <c r="Q62" s="381"/>
      <c r="R62" s="384"/>
      <c r="S62" s="384"/>
      <c r="T62" s="384"/>
      <c r="U62" s="387"/>
      <c r="W62" s="171" t="s">
        <v>28</v>
      </c>
      <c r="X62" s="172">
        <f>COUNTIFS('1. All Data'!$AA$3:$AA$131,"Community Regeneration",'1. All Data'!$V$3:$V$131,"Target Partially Met")</f>
        <v>1</v>
      </c>
      <c r="Y62" s="170">
        <f>X62/$X$34</f>
        <v>2.4390243902439025E-2</v>
      </c>
      <c r="Z62" s="374"/>
      <c r="AA62" s="170">
        <f>X62/X71</f>
        <v>2.4390243902439025E-2</v>
      </c>
      <c r="AB62" s="375"/>
    </row>
    <row r="63" spans="2:30" ht="18.75" customHeight="1">
      <c r="B63" s="379"/>
      <c r="C63" s="382"/>
      <c r="D63" s="385"/>
      <c r="E63" s="385"/>
      <c r="F63" s="385"/>
      <c r="G63" s="388"/>
      <c r="I63" s="379"/>
      <c r="J63" s="382"/>
      <c r="K63" s="385"/>
      <c r="L63" s="385"/>
      <c r="M63" s="385"/>
      <c r="N63" s="388"/>
      <c r="P63" s="379"/>
      <c r="Q63" s="382"/>
      <c r="R63" s="385"/>
      <c r="S63" s="385"/>
      <c r="T63" s="385"/>
      <c r="U63" s="388"/>
      <c r="W63" s="171" t="s">
        <v>31</v>
      </c>
      <c r="X63" s="172">
        <f>COUNTIFS('1. All Data'!$AA$3:$AA$131,"Community Regeneration",'1. All Data'!$V$3:$V$131,"Completion Date Within Reasonable Tolerance")</f>
        <v>0</v>
      </c>
      <c r="Y63" s="170">
        <f>X63/$X$34</f>
        <v>0</v>
      </c>
      <c r="Z63" s="374"/>
      <c r="AA63" s="170">
        <f>X63/X71</f>
        <v>0</v>
      </c>
      <c r="AB63" s="375"/>
    </row>
    <row r="64" spans="2:30" ht="30" customHeight="1">
      <c r="B64" s="173" t="s">
        <v>36</v>
      </c>
      <c r="C64" s="169">
        <f>COUNTIFS('1. All Data'!$AA$3:$AA$131,"Community Regeneration",'1. All Data'!$H$3:$H$131,"Completed Behind Schedule")</f>
        <v>0</v>
      </c>
      <c r="D64" s="170">
        <f>C64/C70</f>
        <v>0</v>
      </c>
      <c r="E64" s="374">
        <f>D64+D65</f>
        <v>4.7619047619047616E-2</v>
      </c>
      <c r="F64" s="170">
        <f>C64/C71</f>
        <v>0</v>
      </c>
      <c r="G64" s="376">
        <f>F64+F65</f>
        <v>7.407407407407407E-2</v>
      </c>
      <c r="I64" s="173" t="s">
        <v>36</v>
      </c>
      <c r="J64" s="169">
        <f>COUNTIFS('1. All Data'!$AA$3:$AA$131,"Community Regeneration",'1. All Data'!$M$3:$M$131,"Completed Behind Schedule")</f>
        <v>0</v>
      </c>
      <c r="K64" s="170">
        <f>J64/J70</f>
        <v>0</v>
      </c>
      <c r="L64" s="374">
        <f>K64+K65</f>
        <v>4.7619047619047616E-2</v>
      </c>
      <c r="M64" s="170">
        <f>J64/J71</f>
        <v>0</v>
      </c>
      <c r="N64" s="376">
        <f>M64+M65</f>
        <v>5.5555555555555552E-2</v>
      </c>
      <c r="P64" s="173" t="s">
        <v>36</v>
      </c>
      <c r="Q64" s="169">
        <f>COUNTIFS('1. All Data'!$AA$3:$AA$131,"Community Regeneration",'1. All Data'!$R$3:$R$131,"Completed Behind Schedule")</f>
        <v>0</v>
      </c>
      <c r="R64" s="170">
        <f>Q64/Q70</f>
        <v>0</v>
      </c>
      <c r="S64" s="374">
        <f>R64+R65</f>
        <v>4.7619047619047616E-2</v>
      </c>
      <c r="T64" s="170">
        <f>Q64/Q71</f>
        <v>0</v>
      </c>
      <c r="U64" s="376">
        <f>T64+T65</f>
        <v>5.5555555555555552E-2</v>
      </c>
      <c r="W64" s="173" t="s">
        <v>30</v>
      </c>
      <c r="X64" s="169">
        <f>COUNTIFS('1. All Data'!$AA$3:$AA$131,"Community Regeneration",'1. All Data'!$V$3:$V$131,"Completed Significantly After Target Deadline")</f>
        <v>0</v>
      </c>
      <c r="Y64" s="170">
        <f>X64/$X$34</f>
        <v>0</v>
      </c>
      <c r="Z64" s="374">
        <f>SUM(Y64:Y65)</f>
        <v>4.878048780487805E-2</v>
      </c>
      <c r="AA64" s="170">
        <f>X64/X71</f>
        <v>0</v>
      </c>
      <c r="AB64" s="376">
        <f>AA64+AA65</f>
        <v>4.878048780487805E-2</v>
      </c>
    </row>
    <row r="65" spans="2:30" ht="30" customHeight="1">
      <c r="B65" s="173" t="s">
        <v>29</v>
      </c>
      <c r="C65" s="169">
        <f>COUNTIFS('1. All Data'!$AA$3:$AA$131,"Community Regeneration",'1. All Data'!$H$3:$H$131,"Off Target")</f>
        <v>2</v>
      </c>
      <c r="D65" s="170">
        <f>C65/C70</f>
        <v>4.7619047619047616E-2</v>
      </c>
      <c r="E65" s="374"/>
      <c r="F65" s="170">
        <f>C65/C71</f>
        <v>7.407407407407407E-2</v>
      </c>
      <c r="G65" s="376"/>
      <c r="I65" s="173" t="s">
        <v>29</v>
      </c>
      <c r="J65" s="169">
        <f>COUNTIFS('1. All Data'!$AA$3:$AA$131,"Community Regeneration",'1. All Data'!$M$3:$M$131,"Off Target")</f>
        <v>2</v>
      </c>
      <c r="K65" s="170">
        <f>J65/J70</f>
        <v>4.7619047619047616E-2</v>
      </c>
      <c r="L65" s="374"/>
      <c r="M65" s="170">
        <f>J65/J71</f>
        <v>5.5555555555555552E-2</v>
      </c>
      <c r="N65" s="376"/>
      <c r="P65" s="173" t="s">
        <v>29</v>
      </c>
      <c r="Q65" s="169">
        <f>COUNTIFS('1. All Data'!$AA$3:$AA$131,"Community Regeneration",'1. All Data'!$R$3:$R$131,"Off Target")</f>
        <v>2</v>
      </c>
      <c r="R65" s="170">
        <f>Q65/Q70</f>
        <v>4.7619047619047616E-2</v>
      </c>
      <c r="S65" s="374"/>
      <c r="T65" s="170">
        <f>Q65/Q71</f>
        <v>5.5555555555555552E-2</v>
      </c>
      <c r="U65" s="376"/>
      <c r="W65" s="173" t="s">
        <v>29</v>
      </c>
      <c r="X65" s="169">
        <f>COUNTIFS('1. All Data'!$AA$3:$AA$131,"Community Regeneration",'1. All Data'!$V$3:$V$131,"Off Target")</f>
        <v>2</v>
      </c>
      <c r="Y65" s="170">
        <f>X65/$X$34</f>
        <v>4.878048780487805E-2</v>
      </c>
      <c r="Z65" s="374"/>
      <c r="AA65" s="170">
        <f>X65/X71</f>
        <v>4.878048780487805E-2</v>
      </c>
      <c r="AB65" s="376"/>
    </row>
    <row r="66" spans="2:30" ht="15.75" customHeight="1">
      <c r="B66" s="174" t="s">
        <v>51</v>
      </c>
      <c r="C66" s="169">
        <f>COUNTIFS('1. All Data'!$AA$3:$AA$131,"Community Regeneration",'1. All Data'!$H$3:$H$131,"Not yet due")</f>
        <v>15</v>
      </c>
      <c r="D66" s="175">
        <f>C66/C70</f>
        <v>0.35714285714285715</v>
      </c>
      <c r="E66" s="175">
        <f>D66</f>
        <v>0.35714285714285715</v>
      </c>
      <c r="F66" s="176"/>
      <c r="G66" s="59"/>
      <c r="I66" s="174" t="s">
        <v>51</v>
      </c>
      <c r="J66" s="169">
        <f>COUNTIFS('1. All Data'!$AA$3:$AA$131,"Community Regeneration",'1. All Data'!$M$3:$M$131,"Not yet due")</f>
        <v>6</v>
      </c>
      <c r="K66" s="175">
        <f>J66/J70</f>
        <v>0.14285714285714285</v>
      </c>
      <c r="L66" s="175">
        <f>K66</f>
        <v>0.14285714285714285</v>
      </c>
      <c r="M66" s="176"/>
      <c r="N66" s="59"/>
      <c r="P66" s="174" t="s">
        <v>51</v>
      </c>
      <c r="Q66" s="169">
        <f>COUNTIFS('1. All Data'!$AA$3:$AA$131,"Community Regeneration",'1. All Data'!$R$3:$R$131,"Not yet due")</f>
        <v>5</v>
      </c>
      <c r="R66" s="175">
        <f>Q66/Q70</f>
        <v>0.11904761904761904</v>
      </c>
      <c r="S66" s="175">
        <f>R66</f>
        <v>0.11904761904761904</v>
      </c>
      <c r="T66" s="176"/>
      <c r="U66" s="59"/>
      <c r="W66" s="174" t="s">
        <v>51</v>
      </c>
      <c r="X66" s="169">
        <f>COUNTIFS('1. All Data'!$AA$3:$AA$131,"Community Regeneration",'1. All Data'!$V$3:$V$131,"Not yet due")</f>
        <v>0</v>
      </c>
      <c r="Y66" s="170">
        <f t="shared" ref="Y66:Y69" si="7">X66/$X$34</f>
        <v>0</v>
      </c>
      <c r="Z66" s="170">
        <f>Y66</f>
        <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f>Q67/Q70</f>
        <v>0</v>
      </c>
      <c r="S67" s="175">
        <f>R67</f>
        <v>0</v>
      </c>
      <c r="T67" s="176"/>
      <c r="U67" s="2"/>
      <c r="W67" s="174" t="s">
        <v>24</v>
      </c>
      <c r="X67" s="169">
        <f>COUNTIFS('1. All Data'!$AA$3:$AA$131,"Community Regeneration",'1. All Data'!$V$3:$V$131,"update not provided")</f>
        <v>0</v>
      </c>
      <c r="Y67" s="170">
        <f t="shared" si="7"/>
        <v>0</v>
      </c>
      <c r="Z67" s="170">
        <f>Y67</f>
        <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1</v>
      </c>
      <c r="R68" s="178">
        <f>Q68/Q70</f>
        <v>2.3809523809523808E-2</v>
      </c>
      <c r="S68" s="178">
        <f>R68</f>
        <v>2.3809523809523808E-2</v>
      </c>
      <c r="T68" s="179"/>
      <c r="U68" s="59"/>
      <c r="W68" s="177" t="s">
        <v>32</v>
      </c>
      <c r="X68" s="169">
        <f>COUNTIFS('1. All Data'!$AA$3:$AA$131,"Community Regeneration",'1. All Data'!$V$3:$V$131,"Deferred")</f>
        <v>1</v>
      </c>
      <c r="Y68" s="170">
        <f t="shared" si="7"/>
        <v>2.4390243902439025E-2</v>
      </c>
      <c r="Z68" s="170">
        <f t="shared" ref="Z68:Z69" si="8">Y68</f>
        <v>2.4390243902439025E-2</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f>Q69/Q70</f>
        <v>0</v>
      </c>
      <c r="S69" s="178">
        <f>R69</f>
        <v>0</v>
      </c>
      <c r="T69" s="179"/>
      <c r="U69" s="3"/>
      <c r="W69" s="177" t="s">
        <v>33</v>
      </c>
      <c r="X69" s="169">
        <f>COUNTIFS('1. All Data'!$AA$3:$AA$131,"Community Regeneration",'1. All Data'!$V$3:$V$131,"Deleted")</f>
        <v>0</v>
      </c>
      <c r="Y69" s="170">
        <f t="shared" si="7"/>
        <v>0</v>
      </c>
      <c r="Z69" s="170">
        <f t="shared" si="8"/>
        <v>0</v>
      </c>
      <c r="AA69" s="179"/>
      <c r="AD69" s="3"/>
    </row>
    <row r="70" spans="2:30" ht="15.75" customHeight="1">
      <c r="B70" s="196" t="s">
        <v>53</v>
      </c>
      <c r="C70" s="181">
        <f>SUM(C59:C69)</f>
        <v>42</v>
      </c>
      <c r="D70" s="179"/>
      <c r="E70" s="179"/>
      <c r="F70" s="59"/>
      <c r="G70" s="59"/>
      <c r="I70" s="196" t="s">
        <v>53</v>
      </c>
      <c r="J70" s="181">
        <f>SUM(J59:J69)</f>
        <v>42</v>
      </c>
      <c r="K70" s="179"/>
      <c r="L70" s="179"/>
      <c r="M70" s="59"/>
      <c r="N70" s="59"/>
      <c r="P70" s="196" t="s">
        <v>53</v>
      </c>
      <c r="Q70" s="181">
        <f>SUM(Q59:Q69)</f>
        <v>42</v>
      </c>
      <c r="R70" s="179"/>
      <c r="S70" s="179"/>
      <c r="T70" s="59"/>
      <c r="U70" s="59"/>
      <c r="W70" s="180" t="s">
        <v>53</v>
      </c>
      <c r="X70" s="181">
        <f>SUM(X59:X69)</f>
        <v>42</v>
      </c>
      <c r="Y70" s="179"/>
      <c r="Z70" s="179"/>
      <c r="AA70" s="59"/>
      <c r="AB70" s="59"/>
    </row>
    <row r="71" spans="2:30" ht="15.75" customHeight="1">
      <c r="B71" s="196" t="s">
        <v>54</v>
      </c>
      <c r="C71" s="181">
        <f>C70-C69-C68-C67-C66</f>
        <v>27</v>
      </c>
      <c r="D71" s="59"/>
      <c r="E71" s="59"/>
      <c r="F71" s="59"/>
      <c r="G71" s="59"/>
      <c r="I71" s="196" t="s">
        <v>54</v>
      </c>
      <c r="J71" s="181">
        <f>J70-J69-J68-J67-J66</f>
        <v>36</v>
      </c>
      <c r="K71" s="59"/>
      <c r="L71" s="59"/>
      <c r="M71" s="59"/>
      <c r="N71" s="59"/>
      <c r="P71" s="196" t="s">
        <v>54</v>
      </c>
      <c r="Q71" s="181">
        <f>Q70-Q69-Q68-Q67-Q66</f>
        <v>36</v>
      </c>
      <c r="R71" s="59"/>
      <c r="S71" s="59"/>
      <c r="T71" s="59"/>
      <c r="U71" s="59"/>
      <c r="W71" s="180" t="s">
        <v>54</v>
      </c>
      <c r="X71" s="181">
        <f>X70-X69-X68-X67-X66</f>
        <v>41</v>
      </c>
      <c r="Y71" s="59"/>
      <c r="Z71" s="59"/>
      <c r="AA71" s="59"/>
      <c r="AB71" s="59"/>
    </row>
    <row r="72" spans="2:30" ht="15.75" customHeight="1">
      <c r="AB72" s="189"/>
    </row>
    <row r="73" spans="2:30" ht="15.75" customHeight="1">
      <c r="AB73" s="189"/>
    </row>
  </sheetData>
  <sheetProtection algorithmName="SHA-512" hashValue="Urw/0YseQoJKn/MEitd87b/0BhR2D2Igb2eix1g8jRcNZ6eUCTXXt9CVKPDhhtxjiW4jtq1Vb0XAQ3JdDVSRbQ==" saltValue="guMm75dvAxVOTNMSz3mrlA=="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P1"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58</v>
      </c>
      <c r="M1" s="394" t="s">
        <v>59</v>
      </c>
      <c r="N1" s="395"/>
      <c r="O1" s="395"/>
      <c r="P1" s="395"/>
      <c r="Q1" s="395"/>
      <c r="R1" s="395"/>
      <c r="S1" s="395"/>
      <c r="T1" s="395"/>
      <c r="U1" s="395"/>
      <c r="V1" s="395"/>
      <c r="W1" s="395"/>
      <c r="X1" s="395"/>
      <c r="Y1" s="395"/>
      <c r="Z1" s="396"/>
      <c r="AZ1" s="7"/>
      <c r="BA1" s="7"/>
      <c r="BB1" s="7"/>
      <c r="BC1" s="7"/>
    </row>
    <row r="2" spans="2:56" s="6" customFormat="1" ht="35.4">
      <c r="B2" s="8"/>
      <c r="M2" s="397"/>
      <c r="N2" s="398"/>
      <c r="O2" s="398"/>
      <c r="P2" s="398"/>
      <c r="Q2" s="398"/>
      <c r="R2" s="398"/>
      <c r="S2" s="398"/>
      <c r="T2" s="398"/>
      <c r="U2" s="398"/>
      <c r="V2" s="398"/>
      <c r="W2" s="398"/>
      <c r="X2" s="398"/>
      <c r="Y2" s="398"/>
      <c r="Z2" s="399"/>
      <c r="AZ2" s="7"/>
      <c r="BA2" s="7"/>
      <c r="BB2" s="7"/>
      <c r="BC2" s="7"/>
    </row>
    <row r="3" spans="2:56" s="6" customFormat="1" ht="36" thickBot="1">
      <c r="M3" s="400"/>
      <c r="N3" s="401"/>
      <c r="O3" s="401"/>
      <c r="P3" s="401"/>
      <c r="Q3" s="401"/>
      <c r="R3" s="401"/>
      <c r="S3" s="401"/>
      <c r="T3" s="401"/>
      <c r="U3" s="401"/>
      <c r="V3" s="401"/>
      <c r="W3" s="401"/>
      <c r="X3" s="401"/>
      <c r="Y3" s="401"/>
      <c r="Z3" s="402"/>
      <c r="AZ3" s="7"/>
      <c r="BA3" s="7"/>
      <c r="BB3" s="7"/>
      <c r="BC3" s="7"/>
    </row>
    <row r="4" spans="2:56" ht="15" thickTop="1">
      <c r="N4" s="11"/>
      <c r="W4" s="11"/>
      <c r="AF4" s="11"/>
      <c r="AO4" s="11"/>
    </row>
    <row r="5" spans="2:56">
      <c r="AY5" s="17" t="s">
        <v>60</v>
      </c>
      <c r="AZ5" s="18"/>
      <c r="BA5" s="18"/>
      <c r="BB5" s="18"/>
      <c r="BC5" s="18"/>
      <c r="BD5" s="10"/>
    </row>
    <row r="6" spans="2:56">
      <c r="AY6" s="19"/>
      <c r="AZ6" s="20" t="s">
        <v>16</v>
      </c>
      <c r="BA6" s="20" t="s">
        <v>17</v>
      </c>
      <c r="BB6" s="20" t="s">
        <v>18</v>
      </c>
      <c r="BC6" s="20" t="s">
        <v>15</v>
      </c>
      <c r="BD6" s="10"/>
    </row>
    <row r="7" spans="2:56">
      <c r="AY7" s="21" t="s">
        <v>61</v>
      </c>
      <c r="AZ7" s="22">
        <f>'2a. % By Priority'!G5</f>
        <v>0.97727272727272729</v>
      </c>
      <c r="BA7" s="22">
        <f>'2a. % By Priority'!N5</f>
        <v>0.95652173913043481</v>
      </c>
      <c r="BB7" s="22">
        <f>'2a. % By Priority'!U5</f>
        <v>0.95934959349593496</v>
      </c>
      <c r="BC7" s="22">
        <f>'2a. % By Priority'!AB5</f>
        <v>0.9375</v>
      </c>
      <c r="BD7" s="10"/>
    </row>
    <row r="8" spans="2:56">
      <c r="L8" s="14"/>
      <c r="M8" s="14"/>
      <c r="AY8" s="21" t="s">
        <v>62</v>
      </c>
      <c r="AZ8" s="22">
        <f>'2a. % By Priority'!G7</f>
        <v>0</v>
      </c>
      <c r="BA8" s="22">
        <f>'2a. % By Priority'!N7</f>
        <v>2.6086956521739129E-2</v>
      </c>
      <c r="BB8" s="22">
        <f>'2a. % By Priority'!U7</f>
        <v>0</v>
      </c>
      <c r="BC8" s="22">
        <f>'2a. % By Priority'!AB7</f>
        <v>7.8125E-3</v>
      </c>
      <c r="BD8" s="10"/>
    </row>
    <row r="9" spans="2:56">
      <c r="L9" s="14"/>
      <c r="M9" s="14"/>
      <c r="AY9" s="21" t="s">
        <v>63</v>
      </c>
      <c r="AZ9" s="22">
        <f>'2a. % By Priority'!G10</f>
        <v>2.2727272727272728E-2</v>
      </c>
      <c r="BA9" s="22">
        <f>'2a. % By Priority'!N10</f>
        <v>1.7391304347826087E-2</v>
      </c>
      <c r="BB9" s="22">
        <f>'2a. % By Priority'!U10</f>
        <v>4.065040650406504E-2</v>
      </c>
      <c r="BC9" s="22">
        <f>'2a. % By Priority'!AB10</f>
        <v>5.46875E-2</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55</v>
      </c>
      <c r="AZ21" s="18"/>
      <c r="BA21" s="18"/>
      <c r="BB21" s="18"/>
      <c r="BC21" s="18"/>
      <c r="BD21" s="10"/>
    </row>
    <row r="22" spans="12:56">
      <c r="AY22" s="19"/>
      <c r="AZ22" s="20" t="s">
        <v>16</v>
      </c>
      <c r="BA22" s="20" t="s">
        <v>17</v>
      </c>
      <c r="BB22" s="20" t="s">
        <v>18</v>
      </c>
      <c r="BC22" s="20" t="s">
        <v>15</v>
      </c>
      <c r="BD22" s="10"/>
    </row>
    <row r="23" spans="12:56">
      <c r="AY23" s="21" t="s">
        <v>61</v>
      </c>
      <c r="AZ23" s="22">
        <f>'2a. % By Priority'!G23</f>
        <v>1</v>
      </c>
      <c r="BA23" s="22">
        <f>'2a. % By Priority'!N23</f>
        <v>0.91891891891891886</v>
      </c>
      <c r="BB23" s="22">
        <f>'2a. % By Priority'!U23</f>
        <v>0.92682926829268297</v>
      </c>
      <c r="BC23" s="22">
        <f>'2a. % By Priority'!AB23</f>
        <v>0.92682926829268297</v>
      </c>
      <c r="BD23" s="10"/>
    </row>
    <row r="24" spans="12:56">
      <c r="L24" s="14"/>
      <c r="M24" s="14"/>
      <c r="AY24" s="21" t="s">
        <v>62</v>
      </c>
      <c r="AZ24" s="22">
        <f>'2a. % By Priority'!G25</f>
        <v>0</v>
      </c>
      <c r="BA24" s="22">
        <f>'2a. % By Priority'!N25</f>
        <v>8.1081081081081086E-2</v>
      </c>
      <c r="BB24" s="22">
        <f>'2a. % By Priority'!U25</f>
        <v>0</v>
      </c>
      <c r="BC24" s="22">
        <f>'2a. % By Priority'!AB25</f>
        <v>0</v>
      </c>
      <c r="BD24" s="10"/>
    </row>
    <row r="25" spans="12:56">
      <c r="L25" s="14"/>
      <c r="M25" s="14"/>
      <c r="AY25" s="21" t="s">
        <v>63</v>
      </c>
      <c r="AZ25" s="22">
        <f>'2a. % By Priority'!G28</f>
        <v>0</v>
      </c>
      <c r="BA25" s="22">
        <f>'2a. % By Priority'!N28</f>
        <v>0</v>
      </c>
      <c r="BB25" s="22">
        <f>'2a. % By Priority'!U28</f>
        <v>7.3170731707317069E-2</v>
      </c>
      <c r="BC25" s="22">
        <f>'2a. % By Priority'!AB28</f>
        <v>7.3170731707317069E-2</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56</v>
      </c>
      <c r="AZ37" s="28"/>
      <c r="BA37" s="28"/>
      <c r="BB37" s="28"/>
      <c r="BC37" s="28"/>
      <c r="BD37" s="16"/>
    </row>
    <row r="38" spans="11:56">
      <c r="AY38" s="29"/>
      <c r="AZ38" s="20" t="s">
        <v>16</v>
      </c>
      <c r="BA38" s="20" t="s">
        <v>17</v>
      </c>
      <c r="BB38" s="20" t="s">
        <v>18</v>
      </c>
      <c r="BC38" s="20" t="s">
        <v>15</v>
      </c>
      <c r="BD38" s="16"/>
    </row>
    <row r="39" spans="11:56">
      <c r="AY39" s="21" t="s">
        <v>61</v>
      </c>
      <c r="AZ39" s="22">
        <f>'2a. % By Priority'!G41</f>
        <v>1</v>
      </c>
      <c r="BA39" s="22">
        <f>'2a. % By Priority'!N41</f>
        <v>1</v>
      </c>
      <c r="BB39" s="22">
        <f>'2a. % By Priority'!U41</f>
        <v>1</v>
      </c>
      <c r="BC39" s="22">
        <f>'2a. % By Priority'!AB41</f>
        <v>0.95652173913043481</v>
      </c>
      <c r="BD39" s="16"/>
    </row>
    <row r="40" spans="11:56">
      <c r="K40" s="14"/>
      <c r="L40" s="14"/>
      <c r="AY40" s="21" t="s">
        <v>62</v>
      </c>
      <c r="AZ40" s="22">
        <f>'2a. % By Priority'!G43</f>
        <v>0</v>
      </c>
      <c r="BA40" s="22">
        <f>'2a. % By Priority'!N43</f>
        <v>0</v>
      </c>
      <c r="BB40" s="22">
        <f>'2a. % By Priority'!U43</f>
        <v>0</v>
      </c>
      <c r="BC40" s="22">
        <f>'2a. % By Priority'!AB43</f>
        <v>0</v>
      </c>
      <c r="BD40" s="16"/>
    </row>
    <row r="41" spans="11:56">
      <c r="K41" s="14"/>
      <c r="L41" s="14"/>
      <c r="AY41" s="21" t="s">
        <v>63</v>
      </c>
      <c r="AZ41" s="22">
        <f>'2a. % By Priority'!G46</f>
        <v>0</v>
      </c>
      <c r="BA41" s="22">
        <f>'2a. % By Priority'!N46</f>
        <v>0</v>
      </c>
      <c r="BB41" s="22">
        <f>'2a. % By Priority'!U46</f>
        <v>0</v>
      </c>
      <c r="BC41" s="22">
        <f>'2a. % By Priority'!AB46</f>
        <v>4.3478260869565216E-2</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57</v>
      </c>
      <c r="AZ53" s="28"/>
      <c r="BA53" s="28"/>
      <c r="BB53" s="28"/>
      <c r="BC53" s="28"/>
      <c r="BD53" s="10"/>
    </row>
    <row r="54" spans="12:56">
      <c r="AY54" s="29"/>
      <c r="AZ54" s="20" t="s">
        <v>16</v>
      </c>
      <c r="BA54" s="20" t="s">
        <v>17</v>
      </c>
      <c r="BB54" s="20" t="s">
        <v>18</v>
      </c>
      <c r="BC54" s="20" t="s">
        <v>15</v>
      </c>
      <c r="BD54" s="10"/>
    </row>
    <row r="55" spans="12:56">
      <c r="AY55" s="21" t="s">
        <v>61</v>
      </c>
      <c r="AZ55" s="22">
        <f>'2a. % By Priority'!G59</f>
        <v>0.92592592592592582</v>
      </c>
      <c r="BA55" s="22">
        <f>'2a. % By Priority'!N59</f>
        <v>0.94444444444444442</v>
      </c>
      <c r="BB55" s="22">
        <f>'2a. % By Priority'!U59</f>
        <v>0.94444444444444442</v>
      </c>
      <c r="BC55" s="22">
        <f>'2a. % By Priority'!AB59</f>
        <v>0.92682926829268297</v>
      </c>
      <c r="BD55" s="10"/>
    </row>
    <row r="56" spans="12:56">
      <c r="L56" s="14"/>
      <c r="M56" s="14"/>
      <c r="AY56" s="21" t="s">
        <v>62</v>
      </c>
      <c r="AZ56" s="22">
        <f>'2a. % By Priority'!G61</f>
        <v>0</v>
      </c>
      <c r="BA56" s="22">
        <f>'2a. % By Priority'!N61</f>
        <v>0</v>
      </c>
      <c r="BB56" s="22">
        <f>'2a. % By Priority'!U61</f>
        <v>0</v>
      </c>
      <c r="BC56" s="22">
        <f>'2a. % By Priority'!AB61</f>
        <v>2.4390243902439025E-2</v>
      </c>
      <c r="BD56" s="10"/>
    </row>
    <row r="57" spans="12:56">
      <c r="L57" s="14"/>
      <c r="M57" s="14"/>
      <c r="AY57" s="21" t="s">
        <v>63</v>
      </c>
      <c r="AZ57" s="22">
        <f>'2a. % By Priority'!G64</f>
        <v>7.407407407407407E-2</v>
      </c>
      <c r="BA57" s="22">
        <f>'2a. % By Priority'!N64</f>
        <v>5.5555555555555552E-2</v>
      </c>
      <c r="BB57" s="22">
        <f>'2a. % By Priority'!U64</f>
        <v>5.5555555555555552E-2</v>
      </c>
      <c r="BC57" s="22">
        <f>'2a. % By Priority'!AB64</f>
        <v>4.878048780487805E-2</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Q19" zoomScale="90" zoomScaleNormal="90" workbookViewId="0">
      <selection activeCell="T116" sqref="T116"/>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customWidth="1"/>
    <col min="17" max="17" width="12.33203125" style="156" customWidth="1"/>
    <col min="18" max="18" width="11.6640625" style="156" customWidth="1"/>
    <col min="19" max="19" width="15" style="156" customWidth="1"/>
    <col min="20" max="20" width="11.6640625" style="159" customWidth="1"/>
    <col min="21" max="21" width="16.6640625" style="156" customWidth="1"/>
    <col min="22" max="22" width="4.5546875" style="159" customWidth="1"/>
    <col min="23" max="23" width="51.6640625" style="156" customWidth="1"/>
    <col min="24" max="24" width="12.33203125" style="156" customWidth="1"/>
    <col min="25" max="25" width="20.44140625" style="156" customWidth="1"/>
    <col min="26" max="26" width="15" style="156" customWidth="1"/>
    <col min="27" max="27" width="11.6640625" style="156" customWidth="1"/>
    <col min="28" max="28" width="16.6640625" style="183" customWidth="1"/>
    <col min="29" max="29" width="9.33203125" style="159" customWidth="1"/>
    <col min="30" max="16384" width="9.33203125" style="159"/>
  </cols>
  <sheetData>
    <row r="1" spans="2:30" s="153" customFormat="1" ht="21">
      <c r="B1" s="199" t="s">
        <v>468</v>
      </c>
      <c r="C1" s="200"/>
      <c r="D1" s="201"/>
      <c r="E1" s="201"/>
      <c r="F1" s="202"/>
      <c r="G1" s="201"/>
      <c r="I1" s="199" t="s">
        <v>469</v>
      </c>
      <c r="J1" s="200"/>
      <c r="K1" s="201"/>
      <c r="L1" s="201"/>
      <c r="M1" s="202"/>
      <c r="N1" s="201"/>
      <c r="P1" s="199" t="s">
        <v>470</v>
      </c>
      <c r="Q1" s="200"/>
      <c r="R1" s="201"/>
      <c r="S1" s="201"/>
      <c r="T1" s="202"/>
      <c r="U1" s="201"/>
      <c r="W1" s="203" t="s">
        <v>471</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472</v>
      </c>
      <c r="C3" s="207"/>
      <c r="D3" s="207"/>
      <c r="E3" s="207"/>
      <c r="F3" s="208"/>
      <c r="G3" s="207"/>
      <c r="I3" s="228" t="s">
        <v>472</v>
      </c>
      <c r="J3" s="207"/>
      <c r="K3" s="207"/>
      <c r="L3" s="207"/>
      <c r="M3" s="208"/>
      <c r="N3" s="207"/>
      <c r="P3" s="228" t="s">
        <v>472</v>
      </c>
      <c r="Q3" s="207"/>
      <c r="R3" s="207"/>
      <c r="S3" s="207"/>
      <c r="T3" s="208"/>
      <c r="U3" s="207"/>
      <c r="W3" s="228" t="s">
        <v>472</v>
      </c>
      <c r="X3" s="207"/>
      <c r="Y3" s="207"/>
      <c r="Z3" s="207"/>
      <c r="AA3" s="208"/>
      <c r="AB3" s="207"/>
    </row>
    <row r="4" spans="2:30" ht="42" customHeight="1">
      <c r="B4" s="209" t="s">
        <v>44</v>
      </c>
      <c r="C4" s="210" t="s">
        <v>45</v>
      </c>
      <c r="D4" s="210" t="s">
        <v>46</v>
      </c>
      <c r="E4" s="210" t="s">
        <v>47</v>
      </c>
      <c r="F4" s="209" t="s">
        <v>48</v>
      </c>
      <c r="G4" s="210" t="s">
        <v>49</v>
      </c>
      <c r="I4" s="209" t="s">
        <v>44</v>
      </c>
      <c r="J4" s="210" t="s">
        <v>45</v>
      </c>
      <c r="K4" s="210" t="s">
        <v>46</v>
      </c>
      <c r="L4" s="210" t="s">
        <v>47</v>
      </c>
      <c r="M4" s="209" t="s">
        <v>48</v>
      </c>
      <c r="N4" s="210" t="s">
        <v>49</v>
      </c>
      <c r="P4" s="209" t="s">
        <v>44</v>
      </c>
      <c r="Q4" s="210" t="s">
        <v>45</v>
      </c>
      <c r="R4" s="210" t="s">
        <v>46</v>
      </c>
      <c r="S4" s="210" t="s">
        <v>47</v>
      </c>
      <c r="T4" s="209" t="s">
        <v>48</v>
      </c>
      <c r="U4" s="210" t="s">
        <v>49</v>
      </c>
      <c r="W4" s="166" t="s">
        <v>44</v>
      </c>
      <c r="X4" s="166" t="s">
        <v>45</v>
      </c>
      <c r="Y4" s="166" t="s">
        <v>46</v>
      </c>
      <c r="Z4" s="166" t="s">
        <v>47</v>
      </c>
      <c r="AA4" s="166" t="s">
        <v>48</v>
      </c>
      <c r="AB4" s="166" t="s">
        <v>49</v>
      </c>
    </row>
    <row r="5" spans="2:30" ht="21.75" customHeight="1">
      <c r="B5" s="233" t="s">
        <v>50</v>
      </c>
      <c r="C5" s="211">
        <f>COUNTIFS('1. All Data'!$AC$3:$AC$133,"Leader &amp; Economic Growth",'1. All Data'!$H$3:$H$133,"Fully Achieved")</f>
        <v>3</v>
      </c>
      <c r="D5" s="212">
        <f>C5/C16</f>
        <v>8.5714285714285715E-2</v>
      </c>
      <c r="E5" s="415">
        <f>D5+D6</f>
        <v>0.65714285714285714</v>
      </c>
      <c r="F5" s="213">
        <f>C5/C17</f>
        <v>0.12</v>
      </c>
      <c r="G5" s="420">
        <f>F5+F6</f>
        <v>0.92</v>
      </c>
      <c r="I5" s="233" t="s">
        <v>50</v>
      </c>
      <c r="J5" s="211">
        <f>COUNTIFS('1. All Data'!$AC$3:$AC$133,"Leader &amp; Economic Growth",'1. All Data'!$M$3:$M$133,"Fully Achieved")</f>
        <v>8</v>
      </c>
      <c r="K5" s="212">
        <f>J5/J16</f>
        <v>0.22857142857142856</v>
      </c>
      <c r="L5" s="415">
        <f>K5+K6</f>
        <v>0.77142857142857135</v>
      </c>
      <c r="M5" s="213">
        <f>J5/J17</f>
        <v>0.25806451612903225</v>
      </c>
      <c r="N5" s="420">
        <f>M5+M6</f>
        <v>0.87096774193548387</v>
      </c>
      <c r="P5" s="233" t="s">
        <v>50</v>
      </c>
      <c r="Q5" s="211">
        <f>COUNTIFS('1. All Data'!$AC$3:$AC$133,"Leader &amp; Economic Growth",'1. All Data'!$R$3:$R$133,"Fully Achieved")</f>
        <v>13</v>
      </c>
      <c r="R5" s="212">
        <f>Q5/Q16</f>
        <v>0.37142857142857144</v>
      </c>
      <c r="S5" s="415">
        <f>R5+R6</f>
        <v>0.85714285714285721</v>
      </c>
      <c r="T5" s="213">
        <f>Q5/Q17</f>
        <v>0.39393939393939392</v>
      </c>
      <c r="U5" s="420">
        <f>T5+T6</f>
        <v>0.90909090909090906</v>
      </c>
      <c r="W5" s="233" t="s">
        <v>50</v>
      </c>
      <c r="X5" s="211">
        <f>COUNTIFS('1. All Data'!$AB$3:$AB$133,"Leader &amp; Economic Growth",'1. All Data'!$V$3:$V$133,"Fully Achieved")</f>
        <v>20</v>
      </c>
      <c r="Y5" s="212">
        <f>X5/X16</f>
        <v>0.90909090909090906</v>
      </c>
      <c r="Z5" s="415">
        <f>Y5+Y6</f>
        <v>0.90909090909090906</v>
      </c>
      <c r="AA5" s="212">
        <f>X5/X17</f>
        <v>0.90909090909090906</v>
      </c>
      <c r="AB5" s="389">
        <f>AA5+AA6</f>
        <v>0.90909090909090906</v>
      </c>
    </row>
    <row r="6" spans="2:30" ht="18.75" customHeight="1">
      <c r="B6" s="233" t="s">
        <v>34</v>
      </c>
      <c r="C6" s="211">
        <f>COUNTIFS('1. All Data'!$AC$3:$AC$133,"Leader &amp; Economic Growth",'1. All Data'!$H$3:$H$133,"On Track to be Achieved")</f>
        <v>20</v>
      </c>
      <c r="D6" s="212">
        <f>C6/C16</f>
        <v>0.5714285714285714</v>
      </c>
      <c r="E6" s="415"/>
      <c r="F6" s="213">
        <f>C6/C17</f>
        <v>0.8</v>
      </c>
      <c r="G6" s="420"/>
      <c r="I6" s="233" t="s">
        <v>34</v>
      </c>
      <c r="J6" s="211">
        <f>COUNTIFS('1. All Data'!$AC$3:$AC$133,"Leader &amp; Economic Growth",'1. All Data'!$M$3:$M$133,"On Track to be Achieved")</f>
        <v>19</v>
      </c>
      <c r="K6" s="212">
        <f>J6/J16</f>
        <v>0.54285714285714282</v>
      </c>
      <c r="L6" s="415"/>
      <c r="M6" s="213">
        <f>J6/J17</f>
        <v>0.61290322580645162</v>
      </c>
      <c r="N6" s="420"/>
      <c r="P6" s="233" t="s">
        <v>34</v>
      </c>
      <c r="Q6" s="211">
        <f>COUNTIFS('1. All Data'!$AC$3:$AC$133,"Leader &amp; Economic Growth",'1. All Data'!$R$3:$R$133,"On Track to be Achieved")</f>
        <v>17</v>
      </c>
      <c r="R6" s="212">
        <f>Q6/Q16</f>
        <v>0.48571428571428571</v>
      </c>
      <c r="S6" s="415"/>
      <c r="T6" s="213">
        <f>Q6/Q17</f>
        <v>0.51515151515151514</v>
      </c>
      <c r="U6" s="420"/>
      <c r="W6" s="233" t="s">
        <v>26</v>
      </c>
      <c r="X6" s="211">
        <f>COUNTIFS('1. All Data'!$AB$3:$AB$133,"Leader &amp; Economic Growth",'1. All Data'!$V$3:$V$133,"Numerical Outturn Within 5% Tolerance")</f>
        <v>0</v>
      </c>
      <c r="Y6" s="212">
        <f>X6/X16</f>
        <v>0</v>
      </c>
      <c r="Z6" s="415"/>
      <c r="AA6" s="212">
        <f>X6/X17</f>
        <v>0</v>
      </c>
      <c r="AB6" s="389"/>
    </row>
    <row r="7" spans="2:30" ht="21" customHeight="1">
      <c r="B7" s="409" t="s">
        <v>35</v>
      </c>
      <c r="C7" s="412">
        <f>COUNTIFS('1. All Data'!$AC$3:$AC$133,"Leader &amp; Economic Growth",'1. All Data'!$H$3:$H$133,"In Danger of Falling Behind Target")</f>
        <v>0</v>
      </c>
      <c r="D7" s="417">
        <f>C7/C16</f>
        <v>0</v>
      </c>
      <c r="E7" s="417">
        <f>D7</f>
        <v>0</v>
      </c>
      <c r="F7" s="403">
        <f>C7/C17</f>
        <v>0</v>
      </c>
      <c r="G7" s="406">
        <f>F7</f>
        <v>0</v>
      </c>
      <c r="I7" s="409" t="s">
        <v>35</v>
      </c>
      <c r="J7" s="412">
        <f>COUNTIFS('1. All Data'!$AC$3:$AC$133,"Leader &amp; Economic Growth",'1. All Data'!$M$3:$M$133,"In Danger of Falling Behind Target")</f>
        <v>2</v>
      </c>
      <c r="K7" s="417">
        <f>J7/J16</f>
        <v>5.7142857142857141E-2</v>
      </c>
      <c r="L7" s="417">
        <f>K7</f>
        <v>5.7142857142857141E-2</v>
      </c>
      <c r="M7" s="403">
        <f>J7/J17</f>
        <v>6.4516129032258063E-2</v>
      </c>
      <c r="N7" s="406">
        <f>M7</f>
        <v>6.4516129032258063E-2</v>
      </c>
      <c r="P7" s="409" t="s">
        <v>35</v>
      </c>
      <c r="Q7" s="412">
        <f>COUNTIFS('1. All Data'!$AC$3:$AC$133,"Leader &amp; Economic Growth",'1. All Data'!$R$3:$R$133,"In Danger of Falling Behind Target")</f>
        <v>0</v>
      </c>
      <c r="R7" s="417">
        <f>Q7/Q16</f>
        <v>0</v>
      </c>
      <c r="S7" s="417">
        <f>R7</f>
        <v>0</v>
      </c>
      <c r="T7" s="403">
        <f>Q7/Q17</f>
        <v>0</v>
      </c>
      <c r="U7" s="406">
        <f>T7</f>
        <v>0</v>
      </c>
      <c r="W7" s="171" t="s">
        <v>27</v>
      </c>
      <c r="X7" s="172">
        <f>COUNTIFS('1. All Data'!$AB$3:$AB$133,"Leader &amp; Economic Growth",'1. All Data'!$V$3:$V$133,"Numerical Outturn Within 10% Tolerance")</f>
        <v>0</v>
      </c>
      <c r="Y7" s="170">
        <f>X7/$X$16</f>
        <v>0</v>
      </c>
      <c r="Z7" s="374">
        <f>SUM(Y7:Y9)</f>
        <v>4.5454545454545456E-2</v>
      </c>
      <c r="AA7" s="170">
        <f>X7/$X$17</f>
        <v>0</v>
      </c>
      <c r="AB7" s="375">
        <f>SUM(AA7:AA9)</f>
        <v>4.5454545454545456E-2</v>
      </c>
    </row>
    <row r="8" spans="2:30" ht="20.25" customHeight="1">
      <c r="B8" s="410"/>
      <c r="C8" s="413"/>
      <c r="D8" s="418"/>
      <c r="E8" s="418"/>
      <c r="F8" s="404"/>
      <c r="G8" s="407"/>
      <c r="I8" s="410"/>
      <c r="J8" s="413"/>
      <c r="K8" s="418"/>
      <c r="L8" s="418"/>
      <c r="M8" s="404"/>
      <c r="N8" s="407"/>
      <c r="P8" s="410"/>
      <c r="Q8" s="413"/>
      <c r="R8" s="418"/>
      <c r="S8" s="418"/>
      <c r="T8" s="404"/>
      <c r="U8" s="407"/>
      <c r="W8" s="171" t="s">
        <v>28</v>
      </c>
      <c r="X8" s="172">
        <f>COUNTIFS('1. All Data'!$AB$3:$AB$133,"Leader &amp; Economic Growth",'1. All Data'!$V$3:$V$133,"Target Partially Met")</f>
        <v>1</v>
      </c>
      <c r="Y8" s="170">
        <f>X8/$X$16</f>
        <v>4.5454545454545456E-2</v>
      </c>
      <c r="Z8" s="374"/>
      <c r="AA8" s="170">
        <f>X8/$X$17</f>
        <v>4.5454545454545456E-2</v>
      </c>
      <c r="AB8" s="375"/>
    </row>
    <row r="9" spans="2:30" ht="18.75" customHeight="1">
      <c r="B9" s="411"/>
      <c r="C9" s="414"/>
      <c r="D9" s="419"/>
      <c r="E9" s="419"/>
      <c r="F9" s="405"/>
      <c r="G9" s="408"/>
      <c r="I9" s="411"/>
      <c r="J9" s="414"/>
      <c r="K9" s="419"/>
      <c r="L9" s="419"/>
      <c r="M9" s="405"/>
      <c r="N9" s="408"/>
      <c r="P9" s="411"/>
      <c r="Q9" s="414"/>
      <c r="R9" s="419"/>
      <c r="S9" s="419"/>
      <c r="T9" s="405"/>
      <c r="U9" s="408"/>
      <c r="W9" s="171" t="s">
        <v>31</v>
      </c>
      <c r="X9" s="172">
        <f>COUNTIFS('1. All Data'!$AB$3:$AB$133,"Leader &amp; Economic Growth",'1. All Data'!$V$3:$V$133,"Completion Date Within Reasonable Tolerance")</f>
        <v>0</v>
      </c>
      <c r="Y9" s="170">
        <f>X9/$X$16</f>
        <v>0</v>
      </c>
      <c r="Z9" s="374"/>
      <c r="AA9" s="170">
        <f>X9/$X$17</f>
        <v>0</v>
      </c>
      <c r="AB9" s="375"/>
    </row>
    <row r="10" spans="2:30" ht="20.25" customHeight="1">
      <c r="B10" s="214" t="s">
        <v>36</v>
      </c>
      <c r="C10" s="211">
        <f>COUNTIFS('1. All Data'!$AC$3:$AC$133,"Leader &amp; Economic Growth",'1. All Data'!$H$3:$H$133,"Completed Behind Schedule")</f>
        <v>0</v>
      </c>
      <c r="D10" s="212">
        <f>C10/C16</f>
        <v>0</v>
      </c>
      <c r="E10" s="415">
        <f>D10+D11</f>
        <v>5.7142857142857141E-2</v>
      </c>
      <c r="F10" s="213">
        <f>C10/C17</f>
        <v>0</v>
      </c>
      <c r="G10" s="416">
        <f>F10+F11</f>
        <v>0.08</v>
      </c>
      <c r="I10" s="214" t="s">
        <v>36</v>
      </c>
      <c r="J10" s="211">
        <f>COUNTIFS('1. All Data'!$AC$3:$AC$133,"Leader &amp; Economic Growth",'1. All Data'!$M$3:$M$133,"Completed Behind Schedule")</f>
        <v>0</v>
      </c>
      <c r="K10" s="212">
        <f>J10/J16</f>
        <v>0</v>
      </c>
      <c r="L10" s="415">
        <f>K10+K11</f>
        <v>5.7142857142857141E-2</v>
      </c>
      <c r="M10" s="213">
        <f>J10/J17</f>
        <v>0</v>
      </c>
      <c r="N10" s="416">
        <f>M10+M11</f>
        <v>6.4516129032258063E-2</v>
      </c>
      <c r="P10" s="214" t="s">
        <v>36</v>
      </c>
      <c r="Q10" s="211">
        <f>COUNTIFS('1. All Data'!$AC$3:$AC$133,"Leader &amp; Economic Growth",'1. All Data'!$R$3:$R$133,"Completed Behind Schedule")</f>
        <v>0</v>
      </c>
      <c r="R10" s="212">
        <f>Q10/Q16</f>
        <v>0</v>
      </c>
      <c r="S10" s="415">
        <f>R10+R11</f>
        <v>8.5714285714285715E-2</v>
      </c>
      <c r="T10" s="213">
        <f>Q10/Q17</f>
        <v>0</v>
      </c>
      <c r="U10" s="416">
        <f>T10+T11</f>
        <v>9.0909090909090912E-2</v>
      </c>
      <c r="W10" s="173" t="s">
        <v>30</v>
      </c>
      <c r="X10" s="211">
        <f>COUNTIFS('1. All Data'!$AB$3:$AB$133,"Leader &amp; Economic Growth",'1. All Data'!$V$3:$V$133,"Completed Significantly After Target Deadline")</f>
        <v>0</v>
      </c>
      <c r="Y10" s="212">
        <f>X10/X16</f>
        <v>0</v>
      </c>
      <c r="Z10" s="415">
        <f>Y10+Y11</f>
        <v>4.5454545454545456E-2</v>
      </c>
      <c r="AA10" s="170">
        <f>X10/$X$17</f>
        <v>0</v>
      </c>
      <c r="AB10" s="376">
        <f>AA10+AA11</f>
        <v>4.5454545454545456E-2</v>
      </c>
    </row>
    <row r="11" spans="2:30" ht="20.25" customHeight="1">
      <c r="B11" s="214" t="s">
        <v>29</v>
      </c>
      <c r="C11" s="211">
        <f>COUNTIFS('1. All Data'!$AC$3:$AC$133,"Leader &amp; Economic Growth",'1. All Data'!$H$3:$H$133,"Off Target")</f>
        <v>2</v>
      </c>
      <c r="D11" s="212">
        <f>C11/C16</f>
        <v>5.7142857142857141E-2</v>
      </c>
      <c r="E11" s="415"/>
      <c r="F11" s="213">
        <f>C11/C17</f>
        <v>0.08</v>
      </c>
      <c r="G11" s="416"/>
      <c r="I11" s="214" t="s">
        <v>29</v>
      </c>
      <c r="J11" s="211">
        <f>COUNTIFS('1. All Data'!$AC$3:$AC$133,"Leader &amp; Economic Growth",'1. All Data'!$M$3:$M$133,"Off Target")</f>
        <v>2</v>
      </c>
      <c r="K11" s="212">
        <f>J11/J16</f>
        <v>5.7142857142857141E-2</v>
      </c>
      <c r="L11" s="415"/>
      <c r="M11" s="213">
        <f>J11/J17</f>
        <v>6.4516129032258063E-2</v>
      </c>
      <c r="N11" s="416"/>
      <c r="P11" s="214" t="s">
        <v>29</v>
      </c>
      <c r="Q11" s="211">
        <f>COUNTIFS('1. All Data'!$AC$3:$AC$133,"Leader &amp; Economic Growth",'1. All Data'!$R$3:$R$133,"Off Target")</f>
        <v>3</v>
      </c>
      <c r="R11" s="212">
        <f>Q11/Q16</f>
        <v>8.5714285714285715E-2</v>
      </c>
      <c r="S11" s="415"/>
      <c r="T11" s="213">
        <f>Q11/Q17</f>
        <v>9.0909090909090912E-2</v>
      </c>
      <c r="U11" s="416"/>
      <c r="W11" s="173" t="s">
        <v>29</v>
      </c>
      <c r="X11" s="211">
        <f>COUNTIFS('1. All Data'!$AB$3:$AB$133,"Leader &amp; Economic Growth",'1. All Data'!$V$3:$V$133,"Off Target")</f>
        <v>1</v>
      </c>
      <c r="Y11" s="212">
        <f>X11/X16</f>
        <v>4.5454545454545456E-2</v>
      </c>
      <c r="Z11" s="415"/>
      <c r="AA11" s="170">
        <f>X11/$X$17</f>
        <v>4.5454545454545456E-2</v>
      </c>
      <c r="AB11" s="376"/>
    </row>
    <row r="12" spans="2:30" ht="15" customHeight="1">
      <c r="B12" s="215" t="s">
        <v>51</v>
      </c>
      <c r="C12" s="211">
        <f>COUNTIFS('1. All Data'!$AC$3:$AC$133,"Leader &amp; Economic Growth",'1. All Data'!$H$3:$H$133,"Not yet due")</f>
        <v>10</v>
      </c>
      <c r="D12" s="216">
        <f>C12/C16</f>
        <v>0.2857142857142857</v>
      </c>
      <c r="E12" s="216">
        <f>D12</f>
        <v>0.2857142857142857</v>
      </c>
      <c r="F12" s="217"/>
      <c r="G12" s="59"/>
      <c r="I12" s="215" t="s">
        <v>51</v>
      </c>
      <c r="J12" s="211">
        <f>COUNTIFS('1. All Data'!$AC$3:$AC$133,"Leader &amp; Economic Growth",'1. All Data'!$M$3:$M$133,"Not yet due")</f>
        <v>4</v>
      </c>
      <c r="K12" s="216">
        <f>J12/J16</f>
        <v>0.11428571428571428</v>
      </c>
      <c r="L12" s="216">
        <f>K12</f>
        <v>0.11428571428571428</v>
      </c>
      <c r="M12" s="217"/>
      <c r="N12" s="59"/>
      <c r="P12" s="215" t="s">
        <v>51</v>
      </c>
      <c r="Q12" s="211">
        <f>COUNTIFS('1. All Data'!$AC$3:$AC$133,"Leader &amp; Economic Growth",'1. All Data'!$R$3:$R$133,"Not yet due")</f>
        <v>2</v>
      </c>
      <c r="R12" s="216">
        <f>Q12/Q16</f>
        <v>5.7142857142857141E-2</v>
      </c>
      <c r="S12" s="216">
        <f>R12</f>
        <v>5.7142857142857141E-2</v>
      </c>
      <c r="T12" s="217"/>
      <c r="U12" s="59"/>
      <c r="W12" s="174" t="s">
        <v>51</v>
      </c>
      <c r="X12" s="211">
        <f>COUNTIFS('1. All Data'!$AB$3:$AB$133,"Leader &amp; Economic Growth",'1. All Data'!$V$3:$V$133,"Not yet due")</f>
        <v>0</v>
      </c>
      <c r="Y12" s="216">
        <f>X12/X16</f>
        <v>0</v>
      </c>
      <c r="Z12" s="216">
        <f>Y12</f>
        <v>0</v>
      </c>
      <c r="AA12" s="176"/>
      <c r="AB12" s="59"/>
    </row>
    <row r="13" spans="2:30" ht="15" customHeight="1">
      <c r="B13" s="215" t="s">
        <v>24</v>
      </c>
      <c r="C13" s="211">
        <f>COUNTIFS('1. All Data'!$AC$3:$AC$133,"Leader &amp; Economic Growth",'1. All Data'!$H$3:$H$133,"Update not provided")</f>
        <v>0</v>
      </c>
      <c r="D13" s="216">
        <f>C13/C16</f>
        <v>0</v>
      </c>
      <c r="E13" s="216">
        <f>D13</f>
        <v>0</v>
      </c>
      <c r="F13" s="217"/>
      <c r="G13" s="2"/>
      <c r="I13" s="215" t="s">
        <v>24</v>
      </c>
      <c r="J13" s="211">
        <f>COUNTIFS('1. All Data'!$AC$3:$AC$133,"Leader &amp; Economic Growth",'1. All Data'!$M$3:$M$133,"Update not provided")</f>
        <v>0</v>
      </c>
      <c r="K13" s="216">
        <f>J13/J16</f>
        <v>0</v>
      </c>
      <c r="L13" s="216">
        <f>K13</f>
        <v>0</v>
      </c>
      <c r="M13" s="217"/>
      <c r="N13" s="2"/>
      <c r="P13" s="215" t="s">
        <v>24</v>
      </c>
      <c r="Q13" s="211">
        <f>COUNTIFS('1. All Data'!$AC$3:$AC$133,"Leader &amp; Economic Growth",'1. All Data'!$R$3:$R$133,"Update not provided")</f>
        <v>0</v>
      </c>
      <c r="R13" s="216">
        <f>Q13/Q16</f>
        <v>0</v>
      </c>
      <c r="S13" s="216">
        <f>R13</f>
        <v>0</v>
      </c>
      <c r="T13" s="217"/>
      <c r="U13" s="2"/>
      <c r="W13" s="174" t="s">
        <v>24</v>
      </c>
      <c r="X13" s="211">
        <f>COUNTIFS('1. All Data'!$AB$3:$AB$133,"Leader &amp; Economic Growth",'1. All Data'!$V$3:$V$133,"Update not provided")</f>
        <v>0</v>
      </c>
      <c r="Y13" s="216">
        <f>X13/X16</f>
        <v>0</v>
      </c>
      <c r="Z13" s="216">
        <f>Y13</f>
        <v>0</v>
      </c>
      <c r="AA13" s="176"/>
      <c r="AB13" s="2"/>
    </row>
    <row r="14" spans="2:30" ht="15.75" customHeight="1">
      <c r="B14" s="218" t="s">
        <v>32</v>
      </c>
      <c r="C14" s="211">
        <f>COUNTIFS('1. All Data'!$AC$3:$AC$133,"Leader &amp; Economic Growth",'1. All Data'!$H$3:$H$133,"Deferred")</f>
        <v>0</v>
      </c>
      <c r="D14" s="219">
        <f>C14/C16</f>
        <v>0</v>
      </c>
      <c r="E14" s="219">
        <f>D14</f>
        <v>0</v>
      </c>
      <c r="F14" s="220"/>
      <c r="G14" s="59"/>
      <c r="I14" s="218" t="s">
        <v>32</v>
      </c>
      <c r="J14" s="211">
        <f>COUNTIFS('1. All Data'!$AC$3:$AC$133,"Leader &amp; Economic Growth",'1. All Data'!$M$3:$M$133,"Deferred")</f>
        <v>0</v>
      </c>
      <c r="K14" s="219">
        <f>J14/J16</f>
        <v>0</v>
      </c>
      <c r="L14" s="219">
        <f>K14</f>
        <v>0</v>
      </c>
      <c r="M14" s="220"/>
      <c r="N14" s="59"/>
      <c r="P14" s="218" t="s">
        <v>32</v>
      </c>
      <c r="Q14" s="211">
        <f>COUNTIFS('1. All Data'!$AC$3:$AC$133,"Leader &amp; Economic Growth",'1. All Data'!$R$3:$R$133,"Deferred")</f>
        <v>0</v>
      </c>
      <c r="R14" s="219">
        <f>Q14/Q16</f>
        <v>0</v>
      </c>
      <c r="S14" s="219">
        <f>R14</f>
        <v>0</v>
      </c>
      <c r="T14" s="220"/>
      <c r="U14" s="59"/>
      <c r="W14" s="177" t="s">
        <v>32</v>
      </c>
      <c r="X14" s="211">
        <f>COUNTIFS('1. All Data'!$AB$3:$AB$133,"Leader &amp; Economic Growth",'1. All Data'!$V$3:$V$133,"Deferred")</f>
        <v>0</v>
      </c>
      <c r="Y14" s="219">
        <f>X14/X16</f>
        <v>0</v>
      </c>
      <c r="Z14" s="219">
        <f>Y14</f>
        <v>0</v>
      </c>
      <c r="AA14" s="179"/>
      <c r="AB14" s="59"/>
    </row>
    <row r="15" spans="2:30" ht="15.75" customHeight="1">
      <c r="B15" s="218" t="s">
        <v>33</v>
      </c>
      <c r="C15" s="211">
        <f>COUNTIFS('1. All Data'!$AC$3:$AC$133,"Leader &amp; Economic Growth",'1. All Data'!$H$3:$H$133,"Deleted")</f>
        <v>0</v>
      </c>
      <c r="D15" s="219">
        <f>C15/C16</f>
        <v>0</v>
      </c>
      <c r="E15" s="219">
        <f>D15</f>
        <v>0</v>
      </c>
      <c r="F15" s="220"/>
      <c r="G15" s="30"/>
      <c r="I15" s="218" t="s">
        <v>33</v>
      </c>
      <c r="J15" s="211">
        <f>COUNTIFS('1. All Data'!$AC$3:$AC$133,"Leader &amp; Economic Growth",'1. All Data'!$M$3:$M$133,"Deleted")</f>
        <v>0</v>
      </c>
      <c r="K15" s="219">
        <f>J15/J16</f>
        <v>0</v>
      </c>
      <c r="L15" s="219">
        <f>K15</f>
        <v>0</v>
      </c>
      <c r="M15" s="220"/>
      <c r="N15" s="30"/>
      <c r="P15" s="218" t="s">
        <v>33</v>
      </c>
      <c r="Q15" s="211">
        <f>COUNTIFS('1. All Data'!$AC$3:$AC$133,"Leader &amp; Economic Growth",'1. All Data'!$R$3:$R$133,"Deleted")</f>
        <v>0</v>
      </c>
      <c r="R15" s="219">
        <f>Q15/Q16</f>
        <v>0</v>
      </c>
      <c r="S15" s="219">
        <f>R15</f>
        <v>0</v>
      </c>
      <c r="T15" s="220"/>
      <c r="U15" s="30"/>
      <c r="W15" s="177" t="s">
        <v>33</v>
      </c>
      <c r="X15" s="211">
        <f>COUNTIFS('1. All Data'!$AB$3:$AB$133,"Leader &amp; Economic Growth",'1. All Data'!$V$3:$V$133,"Deleted")</f>
        <v>0</v>
      </c>
      <c r="Y15" s="219">
        <f>X15/X16</f>
        <v>0</v>
      </c>
      <c r="Z15" s="219">
        <f>Y15</f>
        <v>0</v>
      </c>
      <c r="AA15" s="179"/>
      <c r="AD15" s="3"/>
    </row>
    <row r="16" spans="2:30" ht="15.75" customHeight="1">
      <c r="B16" s="221" t="s">
        <v>53</v>
      </c>
      <c r="C16" s="222">
        <f>SUM(C5:C15)</f>
        <v>35</v>
      </c>
      <c r="D16" s="179"/>
      <c r="E16" s="179"/>
      <c r="F16" s="223"/>
      <c r="G16" s="59"/>
      <c r="I16" s="221" t="s">
        <v>53</v>
      </c>
      <c r="J16" s="222">
        <f>SUM(J5:J15)</f>
        <v>35</v>
      </c>
      <c r="K16" s="179"/>
      <c r="L16" s="179"/>
      <c r="M16" s="223"/>
      <c r="N16" s="59"/>
      <c r="P16" s="221" t="s">
        <v>53</v>
      </c>
      <c r="Q16" s="222">
        <f>SUM(Q5:Q15)</f>
        <v>35</v>
      </c>
      <c r="R16" s="179"/>
      <c r="S16" s="179"/>
      <c r="T16" s="223"/>
      <c r="U16" s="59"/>
      <c r="W16" s="180" t="s">
        <v>53</v>
      </c>
      <c r="X16" s="222">
        <f>SUM(X5:X15)</f>
        <v>22</v>
      </c>
      <c r="Y16" s="179"/>
      <c r="Z16" s="179"/>
      <c r="AA16" s="59"/>
      <c r="AB16" s="59"/>
    </row>
    <row r="17" spans="2:29" ht="15.75" customHeight="1">
      <c r="B17" s="221" t="s">
        <v>54</v>
      </c>
      <c r="C17" s="222">
        <f>C16-C15-C14-C13-C12</f>
        <v>25</v>
      </c>
      <c r="D17" s="59"/>
      <c r="E17" s="59"/>
      <c r="F17" s="223"/>
      <c r="G17" s="59"/>
      <c r="I17" s="221" t="s">
        <v>54</v>
      </c>
      <c r="J17" s="222">
        <f>J16-J15-J14-J13-J12</f>
        <v>31</v>
      </c>
      <c r="K17" s="59"/>
      <c r="L17" s="59"/>
      <c r="M17" s="223"/>
      <c r="N17" s="59"/>
      <c r="P17" s="221" t="s">
        <v>54</v>
      </c>
      <c r="Q17" s="222">
        <f>Q16-Q15-Q14-Q13-Q12</f>
        <v>33</v>
      </c>
      <c r="R17" s="59"/>
      <c r="S17" s="59"/>
      <c r="T17" s="223"/>
      <c r="U17" s="59"/>
      <c r="W17" s="180" t="s">
        <v>54</v>
      </c>
      <c r="X17" s="222">
        <f>X16-X15-X14-X13-X12</f>
        <v>22</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473</v>
      </c>
      <c r="C22" s="207"/>
      <c r="D22" s="207"/>
      <c r="E22" s="207"/>
      <c r="F22" s="208"/>
      <c r="G22" s="207"/>
      <c r="I22" s="206" t="s">
        <v>473</v>
      </c>
      <c r="J22" s="207"/>
      <c r="K22" s="207"/>
      <c r="L22" s="207"/>
      <c r="M22" s="208"/>
      <c r="N22" s="207"/>
      <c r="P22" s="206" t="s">
        <v>473</v>
      </c>
      <c r="Q22" s="207"/>
      <c r="R22" s="207"/>
      <c r="S22" s="207"/>
      <c r="T22" s="208"/>
      <c r="U22" s="207"/>
      <c r="W22" s="206" t="s">
        <v>473</v>
      </c>
      <c r="X22" s="207"/>
      <c r="Y22" s="207"/>
      <c r="Z22" s="207"/>
      <c r="AA22" s="208"/>
      <c r="AB22" s="207"/>
    </row>
    <row r="23" spans="2:29" ht="42" customHeight="1">
      <c r="B23" s="209" t="s">
        <v>44</v>
      </c>
      <c r="C23" s="210" t="s">
        <v>45</v>
      </c>
      <c r="D23" s="210" t="s">
        <v>46</v>
      </c>
      <c r="E23" s="210" t="s">
        <v>47</v>
      </c>
      <c r="F23" s="209" t="s">
        <v>48</v>
      </c>
      <c r="G23" s="210" t="s">
        <v>49</v>
      </c>
      <c r="I23" s="209" t="s">
        <v>44</v>
      </c>
      <c r="J23" s="210" t="s">
        <v>45</v>
      </c>
      <c r="K23" s="210" t="s">
        <v>46</v>
      </c>
      <c r="L23" s="210" t="s">
        <v>47</v>
      </c>
      <c r="M23" s="209" t="s">
        <v>48</v>
      </c>
      <c r="N23" s="210" t="s">
        <v>49</v>
      </c>
      <c r="P23" s="209" t="s">
        <v>44</v>
      </c>
      <c r="Q23" s="210" t="s">
        <v>45</v>
      </c>
      <c r="R23" s="210" t="s">
        <v>46</v>
      </c>
      <c r="S23" s="210" t="s">
        <v>47</v>
      </c>
      <c r="T23" s="209" t="s">
        <v>48</v>
      </c>
      <c r="U23" s="210" t="s">
        <v>49</v>
      </c>
      <c r="W23" s="166" t="s">
        <v>44</v>
      </c>
      <c r="X23" s="166" t="s">
        <v>45</v>
      </c>
      <c r="Y23" s="166" t="s">
        <v>46</v>
      </c>
      <c r="Z23" s="166" t="s">
        <v>47</v>
      </c>
      <c r="AA23" s="166" t="s">
        <v>48</v>
      </c>
      <c r="AB23" s="166" t="s">
        <v>49</v>
      </c>
      <c r="AC23" s="168"/>
    </row>
    <row r="24" spans="2:29" ht="21.75" customHeight="1">
      <c r="B24" s="233" t="s">
        <v>50</v>
      </c>
      <c r="C24" s="211">
        <f>COUNTIFS('1. All Data'!$AC$3:$AC$133,"Tourism and cultural development",'1. All Data'!$H$3:$H$133,"Fully Achieved")</f>
        <v>2</v>
      </c>
      <c r="D24" s="212">
        <f>C24/C35</f>
        <v>9.5238095238095233E-2</v>
      </c>
      <c r="E24" s="415">
        <f>D24+D25</f>
        <v>0.76190476190476186</v>
      </c>
      <c r="F24" s="213">
        <f>C24/C36</f>
        <v>0.125</v>
      </c>
      <c r="G24" s="420">
        <f>F24+F25</f>
        <v>1</v>
      </c>
      <c r="I24" s="233" t="s">
        <v>50</v>
      </c>
      <c r="J24" s="211">
        <f>COUNTIFS('1. All Data'!$AC$3:$AC$133,"Tourism and cultural development",'1. All Data'!$M$3:$M$133,"Fully Achieved")</f>
        <v>10</v>
      </c>
      <c r="K24" s="212">
        <f>J24/J35</f>
        <v>0.47619047619047616</v>
      </c>
      <c r="L24" s="415">
        <f>K24+K25</f>
        <v>0.90476190476190466</v>
      </c>
      <c r="M24" s="213">
        <f>J24/J36</f>
        <v>0.52631578947368418</v>
      </c>
      <c r="N24" s="420">
        <f>M24+M25</f>
        <v>1</v>
      </c>
      <c r="P24" s="233" t="s">
        <v>50</v>
      </c>
      <c r="Q24" s="211">
        <f>COUNTIFS('1. All Data'!$AC$3:$AC$133,"Tourism and cultural development",'1. All Data'!$R$3:$R$133,"Fully Achieved")</f>
        <v>13</v>
      </c>
      <c r="R24" s="212">
        <f>Q24/Q35</f>
        <v>0.61904761904761907</v>
      </c>
      <c r="S24" s="415">
        <f>R24+R25</f>
        <v>0.90476190476190477</v>
      </c>
      <c r="T24" s="213">
        <f>Q24/Q36</f>
        <v>0.68421052631578949</v>
      </c>
      <c r="U24" s="420">
        <f>T24+T25</f>
        <v>1</v>
      </c>
      <c r="W24" s="233" t="s">
        <v>50</v>
      </c>
      <c r="X24" s="211">
        <f>COUNTIFS('1. All Data'!$AB$3:$AB$133,"Tourism and cultural development",'1. All Data'!$V$3:$V$133,"Fully Achieved")</f>
        <v>19</v>
      </c>
      <c r="Y24" s="212">
        <f>X24/X35</f>
        <v>1</v>
      </c>
      <c r="Z24" s="415">
        <f>Y24+Y25</f>
        <v>1</v>
      </c>
      <c r="AA24" s="212">
        <f>X24/X36</f>
        <v>1</v>
      </c>
      <c r="AB24" s="389">
        <f>AA24+AA25</f>
        <v>1</v>
      </c>
      <c r="AC24" s="168"/>
    </row>
    <row r="25" spans="2:29" ht="18.75" customHeight="1">
      <c r="B25" s="233" t="s">
        <v>34</v>
      </c>
      <c r="C25" s="211">
        <f>COUNTIFS('1. All Data'!$AC$3:$AC$133,"Tourism and cultural development",'1. All Data'!$H$3:$H$133,"On Track to be Achieved")</f>
        <v>14</v>
      </c>
      <c r="D25" s="212">
        <f>C25/C35</f>
        <v>0.66666666666666663</v>
      </c>
      <c r="E25" s="415"/>
      <c r="F25" s="213">
        <f>C25/C36</f>
        <v>0.875</v>
      </c>
      <c r="G25" s="420"/>
      <c r="I25" s="233" t="s">
        <v>34</v>
      </c>
      <c r="J25" s="211">
        <f>COUNTIFS('1. All Data'!$AC$3:$AC$133,"Tourism and cultural development",'1. All Data'!$M$3:$M$133,"On Track to be Achieved")</f>
        <v>9</v>
      </c>
      <c r="K25" s="212">
        <f>J25/J35</f>
        <v>0.42857142857142855</v>
      </c>
      <c r="L25" s="415"/>
      <c r="M25" s="213">
        <f>J25/J36</f>
        <v>0.47368421052631576</v>
      </c>
      <c r="N25" s="420"/>
      <c r="P25" s="233" t="s">
        <v>34</v>
      </c>
      <c r="Q25" s="211">
        <f>COUNTIFS('1. All Data'!$AC$3:$AC$133,"Tourism and cultural development",'1. All Data'!$R$3:$R$133,"On Track to be Achieved")</f>
        <v>6</v>
      </c>
      <c r="R25" s="212">
        <f>Q25/Q35</f>
        <v>0.2857142857142857</v>
      </c>
      <c r="S25" s="415"/>
      <c r="T25" s="213">
        <f>Q25/Q36</f>
        <v>0.31578947368421051</v>
      </c>
      <c r="U25" s="420"/>
      <c r="W25" s="233" t="s">
        <v>26</v>
      </c>
      <c r="X25" s="211">
        <f>COUNTIFS('1. All Data'!$AB$3:$AB$133,"Tourism and cultural development",'1. All Data'!$V$3:$V$133,"Numerical Outturn Within 5% Tolerance")</f>
        <v>0</v>
      </c>
      <c r="Y25" s="212">
        <f>X25/X35</f>
        <v>0</v>
      </c>
      <c r="Z25" s="415"/>
      <c r="AA25" s="212">
        <f>X25/X36</f>
        <v>0</v>
      </c>
      <c r="AB25" s="389"/>
      <c r="AC25" s="168"/>
    </row>
    <row r="26" spans="2:29" ht="21" customHeight="1">
      <c r="B26" s="409" t="s">
        <v>35</v>
      </c>
      <c r="C26" s="412">
        <f>COUNTIFS('1. All Data'!$AC$3:$AC$133,"Tourism and cultural development",'1. All Data'!$H$3:$H$133,"In Danger of Falling Behind Target")</f>
        <v>0</v>
      </c>
      <c r="D26" s="417">
        <f>C26/C35</f>
        <v>0</v>
      </c>
      <c r="E26" s="417">
        <f>D26</f>
        <v>0</v>
      </c>
      <c r="F26" s="403">
        <f>C26/C36</f>
        <v>0</v>
      </c>
      <c r="G26" s="406">
        <f>F26</f>
        <v>0</v>
      </c>
      <c r="I26" s="409" t="s">
        <v>35</v>
      </c>
      <c r="J26" s="412">
        <f>COUNTIFS('1. All Data'!$AC$3:$AC$133,"Tourism and cultural development",'1. All Data'!$M$3:$M$133,"In Danger of Falling Behind Target")</f>
        <v>0</v>
      </c>
      <c r="K26" s="417">
        <f>J26/J35</f>
        <v>0</v>
      </c>
      <c r="L26" s="417">
        <f>K26</f>
        <v>0</v>
      </c>
      <c r="M26" s="403">
        <f>J26/J36</f>
        <v>0</v>
      </c>
      <c r="N26" s="406">
        <f>M26</f>
        <v>0</v>
      </c>
      <c r="P26" s="409" t="s">
        <v>35</v>
      </c>
      <c r="Q26" s="412">
        <f>COUNTIFS('1. All Data'!$AC$3:$AC$133,"Tourism and cultural development",'1. All Data'!$R$3:$R$133,"In Danger of Falling Behind Target")</f>
        <v>0</v>
      </c>
      <c r="R26" s="417">
        <f>Q26/Q35</f>
        <v>0</v>
      </c>
      <c r="S26" s="417">
        <f>R26</f>
        <v>0</v>
      </c>
      <c r="T26" s="403">
        <f>Q26/Q36</f>
        <v>0</v>
      </c>
      <c r="U26" s="406">
        <f>T26</f>
        <v>0</v>
      </c>
      <c r="W26" s="171" t="s">
        <v>27</v>
      </c>
      <c r="X26" s="172">
        <f>COUNTIFS('1. All Data'!$AB$3:$AB$133,"Tourism and cultural development",'1. All Data'!$V$3:$V$133,"Numerical Outturn Within 10% Tolerance")</f>
        <v>0</v>
      </c>
      <c r="Y26" s="170">
        <f>X26/X35</f>
        <v>0</v>
      </c>
      <c r="Z26" s="374">
        <f>SUM(Y26:Y28)</f>
        <v>0</v>
      </c>
      <c r="AA26" s="170">
        <f>X26/X36</f>
        <v>0</v>
      </c>
      <c r="AB26" s="375">
        <f>SUM(AA26:AA28)</f>
        <v>0</v>
      </c>
      <c r="AC26" s="168"/>
    </row>
    <row r="27" spans="2:29" ht="20.25" customHeight="1">
      <c r="B27" s="410"/>
      <c r="C27" s="413"/>
      <c r="D27" s="418"/>
      <c r="E27" s="418"/>
      <c r="F27" s="404"/>
      <c r="G27" s="407"/>
      <c r="I27" s="410"/>
      <c r="J27" s="413"/>
      <c r="K27" s="418"/>
      <c r="L27" s="418"/>
      <c r="M27" s="404"/>
      <c r="N27" s="407"/>
      <c r="P27" s="410"/>
      <c r="Q27" s="413"/>
      <c r="R27" s="418"/>
      <c r="S27" s="418"/>
      <c r="T27" s="404"/>
      <c r="U27" s="407"/>
      <c r="W27" s="171" t="s">
        <v>28</v>
      </c>
      <c r="X27" s="172">
        <f>COUNTIFS('1. All Data'!$AB$3:$AB$133,"Tourism and cultural development",'1. All Data'!$V$3:$V$133,"Target Partially Met")</f>
        <v>0</v>
      </c>
      <c r="Y27" s="170">
        <f>X27/X35</f>
        <v>0</v>
      </c>
      <c r="Z27" s="374"/>
      <c r="AA27" s="170">
        <f>X27/X36</f>
        <v>0</v>
      </c>
      <c r="AB27" s="375"/>
      <c r="AC27" s="168"/>
    </row>
    <row r="28" spans="2:29" ht="15.75" customHeight="1">
      <c r="B28" s="411"/>
      <c r="C28" s="414"/>
      <c r="D28" s="419"/>
      <c r="E28" s="419"/>
      <c r="F28" s="405"/>
      <c r="G28" s="408"/>
      <c r="I28" s="411"/>
      <c r="J28" s="414"/>
      <c r="K28" s="419"/>
      <c r="L28" s="419"/>
      <c r="M28" s="405"/>
      <c r="N28" s="408"/>
      <c r="P28" s="411"/>
      <c r="Q28" s="414"/>
      <c r="R28" s="419"/>
      <c r="S28" s="419"/>
      <c r="T28" s="405"/>
      <c r="U28" s="408"/>
      <c r="W28" s="171" t="s">
        <v>31</v>
      </c>
      <c r="X28" s="172">
        <f>COUNTIFS('1. All Data'!$AB$3:$AB$133,"Tourism and cultural development",'1. All Data'!$V$3:$V$133,"Completion Date Within Reasonable Tolerance")</f>
        <v>0</v>
      </c>
      <c r="Y28" s="170">
        <f>X28/X35</f>
        <v>0</v>
      </c>
      <c r="Z28" s="374"/>
      <c r="AA28" s="170">
        <f>X28/X36</f>
        <v>0</v>
      </c>
      <c r="AB28" s="375"/>
      <c r="AC28" s="168"/>
    </row>
    <row r="29" spans="2:29" ht="20.25" customHeight="1">
      <c r="B29" s="214" t="s">
        <v>36</v>
      </c>
      <c r="C29" s="211">
        <f>COUNTIFS('1. All Data'!$AC$3:$AC$133,"Tourism and cultural development",'1. All Data'!$H$3:$H$133,"Completed Behind Schedule")</f>
        <v>0</v>
      </c>
      <c r="D29" s="212">
        <f>C29/C35</f>
        <v>0</v>
      </c>
      <c r="E29" s="415">
        <f>D29+D30</f>
        <v>0</v>
      </c>
      <c r="F29" s="213">
        <f>C29/C36</f>
        <v>0</v>
      </c>
      <c r="G29" s="416">
        <f>F29+F30</f>
        <v>0</v>
      </c>
      <c r="I29" s="214" t="s">
        <v>36</v>
      </c>
      <c r="J29" s="211">
        <f>COUNTIFS('1. All Data'!$AC$3:$AC$133,"Tourism and cultural development",'1. All Data'!$M$3:$M$133,"Completed Behind Schedule")</f>
        <v>0</v>
      </c>
      <c r="K29" s="212">
        <f>J29/J35</f>
        <v>0</v>
      </c>
      <c r="L29" s="415">
        <f>K29+K30</f>
        <v>0</v>
      </c>
      <c r="M29" s="213">
        <f>J29/J36</f>
        <v>0</v>
      </c>
      <c r="N29" s="416">
        <f>M29+M30</f>
        <v>0</v>
      </c>
      <c r="P29" s="214" t="s">
        <v>36</v>
      </c>
      <c r="Q29" s="211">
        <f>COUNTIFS('1. All Data'!$AC$3:$AC$133,"Tourism and cultural development",'1. All Data'!$R$3:$R$133,"Completed Behind Schedule")</f>
        <v>0</v>
      </c>
      <c r="R29" s="212">
        <f>Q29/Q35</f>
        <v>0</v>
      </c>
      <c r="S29" s="415">
        <f>R29+R30</f>
        <v>0</v>
      </c>
      <c r="T29" s="213">
        <f>Q29/Q36</f>
        <v>0</v>
      </c>
      <c r="U29" s="416">
        <f>T29+T30</f>
        <v>0</v>
      </c>
      <c r="W29" s="173" t="s">
        <v>30</v>
      </c>
      <c r="X29" s="211">
        <f>COUNTIFS('1. All Data'!$AB$3:$AB$133,"Tourism and cultural development",'1. All Data'!$V$3:$V$133,"Completed Significantly After Target Deadline")</f>
        <v>0</v>
      </c>
      <c r="Y29" s="212">
        <f>X29/X35</f>
        <v>0</v>
      </c>
      <c r="Z29" s="415">
        <f>Y29+Y30</f>
        <v>0</v>
      </c>
      <c r="AA29" s="212">
        <f>X29/X36</f>
        <v>0</v>
      </c>
      <c r="AB29" s="376">
        <f>AA29+AA30</f>
        <v>0</v>
      </c>
      <c r="AC29" s="168"/>
    </row>
    <row r="30" spans="2:29" ht="20.25" customHeight="1">
      <c r="B30" s="214" t="s">
        <v>29</v>
      </c>
      <c r="C30" s="211">
        <f>COUNTIFS('1. All Data'!$AC$3:$AC$133,"Tourism and cultural development",'1. All Data'!$H$3:$H$133,"Off Target")</f>
        <v>0</v>
      </c>
      <c r="D30" s="212">
        <f>C30/C35</f>
        <v>0</v>
      </c>
      <c r="E30" s="415"/>
      <c r="F30" s="213">
        <f>C30/C36</f>
        <v>0</v>
      </c>
      <c r="G30" s="416"/>
      <c r="I30" s="214" t="s">
        <v>29</v>
      </c>
      <c r="J30" s="211">
        <f>COUNTIFS('1. All Data'!$AC$3:$AC$133,"Tourism and cultural development",'1. All Data'!$M$3:$M$133,"Off Target")</f>
        <v>0</v>
      </c>
      <c r="K30" s="212">
        <f>J30/J35</f>
        <v>0</v>
      </c>
      <c r="L30" s="415"/>
      <c r="M30" s="213">
        <f>J30/J36</f>
        <v>0</v>
      </c>
      <c r="N30" s="416"/>
      <c r="P30" s="214" t="s">
        <v>29</v>
      </c>
      <c r="Q30" s="211">
        <f>COUNTIFS('1. All Data'!$AC$3:$AC$133,"Tourism and cultural development",'1. All Data'!$R$3:$R$133,"Off Target")</f>
        <v>0</v>
      </c>
      <c r="R30" s="212">
        <f>Q30/Q35</f>
        <v>0</v>
      </c>
      <c r="S30" s="415"/>
      <c r="T30" s="213">
        <f>Q30/Q36</f>
        <v>0</v>
      </c>
      <c r="U30" s="416"/>
      <c r="W30" s="173" t="s">
        <v>29</v>
      </c>
      <c r="X30" s="211">
        <f>COUNTIFS('1. All Data'!$AB$3:$AB$133,"Tourism and cultural development",'1. All Data'!$V$3:$V$133,"Off Target")</f>
        <v>0</v>
      </c>
      <c r="Y30" s="212">
        <f>X30/X35</f>
        <v>0</v>
      </c>
      <c r="Z30" s="415"/>
      <c r="AA30" s="212">
        <f>X30/X36</f>
        <v>0</v>
      </c>
      <c r="AB30" s="376"/>
      <c r="AC30" s="168"/>
    </row>
    <row r="31" spans="2:29" ht="15" customHeight="1">
      <c r="B31" s="215" t="s">
        <v>51</v>
      </c>
      <c r="C31" s="211">
        <f>COUNTIFS('1. All Data'!$AC$3:$AC$133,"Tourism and cultural development",'1. All Data'!$H$3:$H$133,"Not yet due")</f>
        <v>5</v>
      </c>
      <c r="D31" s="216">
        <f>C31/C35</f>
        <v>0.23809523809523808</v>
      </c>
      <c r="E31" s="216">
        <f>D31</f>
        <v>0.23809523809523808</v>
      </c>
      <c r="F31" s="217"/>
      <c r="G31" s="59"/>
      <c r="I31" s="215" t="s">
        <v>51</v>
      </c>
      <c r="J31" s="211">
        <f>COUNTIFS('1. All Data'!$AC$3:$AC$133,"Tourism and cultural development",'1. All Data'!$M$3:$M$133,"Not yet due")</f>
        <v>2</v>
      </c>
      <c r="K31" s="216">
        <f>J31/J35</f>
        <v>9.5238095238095233E-2</v>
      </c>
      <c r="L31" s="216">
        <f>K31</f>
        <v>9.5238095238095233E-2</v>
      </c>
      <c r="M31" s="217"/>
      <c r="N31" s="59"/>
      <c r="P31" s="215" t="s">
        <v>51</v>
      </c>
      <c r="Q31" s="211">
        <f>COUNTIFS('1. All Data'!$AC$3:$AC$133,"Tourism and cultural development",'1. All Data'!$R$3:$R$133,"Not yet due")</f>
        <v>2</v>
      </c>
      <c r="R31" s="216">
        <f>Q31/Q35</f>
        <v>9.5238095238095233E-2</v>
      </c>
      <c r="S31" s="216">
        <f>R31</f>
        <v>9.5238095238095233E-2</v>
      </c>
      <c r="T31" s="217"/>
      <c r="U31" s="59"/>
      <c r="W31" s="174" t="s">
        <v>51</v>
      </c>
      <c r="X31" s="211">
        <f>COUNTIFS('1. All Data'!$AB$3:$AB$133,"Tourism and cultural development",'1. All Data'!$V$3:$V$133,"Not yet due")</f>
        <v>0</v>
      </c>
      <c r="Y31" s="216">
        <f>X31/X35</f>
        <v>0</v>
      </c>
      <c r="Z31" s="216">
        <f>Y31</f>
        <v>0</v>
      </c>
      <c r="AA31" s="176"/>
      <c r="AB31" s="59"/>
      <c r="AC31" s="168"/>
    </row>
    <row r="32" spans="2:29" ht="15" customHeight="1">
      <c r="B32" s="215" t="s">
        <v>24</v>
      </c>
      <c r="C32" s="211">
        <f>COUNTIFS('1. All Data'!$AC$3:$AC$133,"Tourism and cultural development",'1. All Data'!$H$3:$H$133,"Update not provided")</f>
        <v>0</v>
      </c>
      <c r="D32" s="216">
        <f>C32/C35</f>
        <v>0</v>
      </c>
      <c r="E32" s="216">
        <f>D32</f>
        <v>0</v>
      </c>
      <c r="F32" s="217"/>
      <c r="G32" s="2"/>
      <c r="I32" s="215" t="s">
        <v>24</v>
      </c>
      <c r="J32" s="211">
        <f>COUNTIFS('1. All Data'!$AC$3:$AC$133,"Tourism and cultural development",'1. All Data'!$M$3:$M$133,"Update not provided")</f>
        <v>0</v>
      </c>
      <c r="K32" s="216">
        <f>J32/J35</f>
        <v>0</v>
      </c>
      <c r="L32" s="216">
        <f>K32</f>
        <v>0</v>
      </c>
      <c r="M32" s="217"/>
      <c r="N32" s="2"/>
      <c r="P32" s="215" t="s">
        <v>24</v>
      </c>
      <c r="Q32" s="211">
        <f>COUNTIFS('1. All Data'!$AC$3:$AC$133,"Tourism and cultural development",'1. All Data'!$R$3:$R$133,"Update not provided")</f>
        <v>0</v>
      </c>
      <c r="R32" s="216">
        <f>Q32/Q35</f>
        <v>0</v>
      </c>
      <c r="S32" s="216">
        <f>R32</f>
        <v>0</v>
      </c>
      <c r="T32" s="217"/>
      <c r="U32" s="2"/>
      <c r="W32" s="174" t="s">
        <v>24</v>
      </c>
      <c r="X32" s="211">
        <f>COUNTIFS('1. All Data'!$AB$3:$AB$133,"Tourism and cultural development",'1. All Data'!$V$3:$V$133,"Update not provided")</f>
        <v>0</v>
      </c>
      <c r="Y32" s="216">
        <f>X32/X35</f>
        <v>0</v>
      </c>
      <c r="Z32" s="216">
        <f>Y32</f>
        <v>0</v>
      </c>
      <c r="AA32" s="176"/>
      <c r="AB32" s="2"/>
      <c r="AC32" s="168"/>
    </row>
    <row r="33" spans="2:29" ht="15.75" customHeight="1">
      <c r="B33" s="218" t="s">
        <v>32</v>
      </c>
      <c r="C33" s="211">
        <f>COUNTIFS('1. All Data'!$AC$3:$AC$133,"Tourism and cultural development",'1. All Data'!$H$3:$H$133,"Deferred")</f>
        <v>0</v>
      </c>
      <c r="D33" s="219">
        <f>C33/C35</f>
        <v>0</v>
      </c>
      <c r="E33" s="219">
        <f>D33</f>
        <v>0</v>
      </c>
      <c r="F33" s="220"/>
      <c r="G33" s="59"/>
      <c r="I33" s="218" t="s">
        <v>32</v>
      </c>
      <c r="J33" s="211">
        <f>COUNTIFS('1. All Data'!$AC$3:$AC$133,"Tourism and cultural development",'1. All Data'!$M$3:$M$133,"Deferred")</f>
        <v>0</v>
      </c>
      <c r="K33" s="219">
        <f>J33/J35</f>
        <v>0</v>
      </c>
      <c r="L33" s="219">
        <f>K33</f>
        <v>0</v>
      </c>
      <c r="M33" s="220"/>
      <c r="N33" s="59"/>
      <c r="P33" s="218" t="s">
        <v>32</v>
      </c>
      <c r="Q33" s="211">
        <f>COUNTIFS('1. All Data'!$AC$3:$AC$133,"Tourism and cultural development",'1. All Data'!$R$3:$R$133,"Deferred")</f>
        <v>0</v>
      </c>
      <c r="R33" s="219">
        <f>Q33/Q35</f>
        <v>0</v>
      </c>
      <c r="S33" s="219">
        <f>R33</f>
        <v>0</v>
      </c>
      <c r="T33" s="220"/>
      <c r="U33" s="59"/>
      <c r="W33" s="177" t="s">
        <v>32</v>
      </c>
      <c r="X33" s="211">
        <f>COUNTIFS('1. All Data'!$AB$3:$AB$133,"Tourism and cultural development",'1. All Data'!$V$3:$V$133,"Deferred")</f>
        <v>0</v>
      </c>
      <c r="Y33" s="219">
        <f>X33/X35</f>
        <v>0</v>
      </c>
      <c r="Z33" s="219">
        <f>Y33</f>
        <v>0</v>
      </c>
      <c r="AA33" s="179"/>
      <c r="AB33" s="59"/>
      <c r="AC33" s="168"/>
    </row>
    <row r="34" spans="2:29" ht="15.75" customHeight="1">
      <c r="B34" s="218" t="s">
        <v>33</v>
      </c>
      <c r="C34" s="211">
        <f>COUNTIFS('1. All Data'!$AC$3:$AC$133,"Tourism and cultural development",'1. All Data'!$H$3:$H$133,"Deleted")</f>
        <v>0</v>
      </c>
      <c r="D34" s="219">
        <f>C34/C35</f>
        <v>0</v>
      </c>
      <c r="E34" s="219">
        <f>D34</f>
        <v>0</v>
      </c>
      <c r="F34" s="220"/>
      <c r="G34" s="30"/>
      <c r="I34" s="218" t="s">
        <v>33</v>
      </c>
      <c r="J34" s="211">
        <f>COUNTIFS('1. All Data'!$AC$3:$AC$133,"Tourism and cultural development",'1. All Data'!$M$3:$M$133,"Deleted")</f>
        <v>0</v>
      </c>
      <c r="K34" s="219">
        <f>J34/J35</f>
        <v>0</v>
      </c>
      <c r="L34" s="219">
        <f>K34</f>
        <v>0</v>
      </c>
      <c r="M34" s="220"/>
      <c r="N34" s="30"/>
      <c r="P34" s="218" t="s">
        <v>33</v>
      </c>
      <c r="Q34" s="211">
        <f>COUNTIFS('1. All Data'!$AC$3:$AC$133,"Tourism and cultural development",'1. All Data'!$R$3:$R$133,"Deleted")</f>
        <v>0</v>
      </c>
      <c r="R34" s="219">
        <f>Q34/Q35</f>
        <v>0</v>
      </c>
      <c r="S34" s="219">
        <f>R34</f>
        <v>0</v>
      </c>
      <c r="T34" s="220"/>
      <c r="U34" s="30"/>
      <c r="W34" s="177" t="s">
        <v>33</v>
      </c>
      <c r="X34" s="211">
        <f>COUNTIFS('1. All Data'!$AB$3:$AB$133,"Tourism and cultural development",'1. All Data'!$V$3:$V$133,"Deleted")</f>
        <v>0</v>
      </c>
      <c r="Y34" s="219">
        <f>X34/X35</f>
        <v>0</v>
      </c>
      <c r="Z34" s="219">
        <f>Y34</f>
        <v>0</v>
      </c>
      <c r="AA34" s="179"/>
      <c r="AB34" s="3"/>
      <c r="AC34" s="168"/>
    </row>
    <row r="35" spans="2:29" ht="15.75" customHeight="1">
      <c r="B35" s="221" t="s">
        <v>53</v>
      </c>
      <c r="C35" s="222">
        <f>SUM(C24:C34)</f>
        <v>21</v>
      </c>
      <c r="D35" s="179"/>
      <c r="E35" s="179"/>
      <c r="F35" s="223"/>
      <c r="G35" s="59"/>
      <c r="I35" s="221" t="s">
        <v>53</v>
      </c>
      <c r="J35" s="222">
        <f>SUM(J24:J34)</f>
        <v>21</v>
      </c>
      <c r="K35" s="179"/>
      <c r="L35" s="179"/>
      <c r="M35" s="223"/>
      <c r="N35" s="59"/>
      <c r="P35" s="221" t="s">
        <v>53</v>
      </c>
      <c r="Q35" s="222">
        <f>SUM(Q24:Q34)</f>
        <v>21</v>
      </c>
      <c r="R35" s="179"/>
      <c r="S35" s="179"/>
      <c r="T35" s="223"/>
      <c r="U35" s="59"/>
      <c r="W35" s="180" t="s">
        <v>53</v>
      </c>
      <c r="X35" s="222">
        <f>SUM(X24:X34)</f>
        <v>19</v>
      </c>
      <c r="Y35" s="179"/>
      <c r="Z35" s="179"/>
      <c r="AA35" s="59"/>
      <c r="AB35" s="59"/>
      <c r="AC35" s="168"/>
    </row>
    <row r="36" spans="2:29" ht="15.75" customHeight="1">
      <c r="B36" s="221" t="s">
        <v>54</v>
      </c>
      <c r="C36" s="222">
        <f>C35-C34-C33-C32-C31</f>
        <v>16</v>
      </c>
      <c r="D36" s="59"/>
      <c r="E36" s="59"/>
      <c r="F36" s="223"/>
      <c r="G36" s="59"/>
      <c r="I36" s="221" t="s">
        <v>54</v>
      </c>
      <c r="J36" s="222">
        <f>J35-J34-J33-J32-J31</f>
        <v>19</v>
      </c>
      <c r="K36" s="59"/>
      <c r="L36" s="59"/>
      <c r="M36" s="223"/>
      <c r="N36" s="59"/>
      <c r="P36" s="221" t="s">
        <v>54</v>
      </c>
      <c r="Q36" s="222">
        <f>Q35-Q34-Q33-Q32-Q31</f>
        <v>19</v>
      </c>
      <c r="R36" s="59"/>
      <c r="S36" s="59"/>
      <c r="T36" s="223"/>
      <c r="U36" s="59"/>
      <c r="W36" s="180" t="s">
        <v>54</v>
      </c>
      <c r="X36" s="222">
        <f>X35-X34-X33-X32-X31</f>
        <v>19</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474</v>
      </c>
      <c r="C40" s="207"/>
      <c r="D40" s="207"/>
      <c r="E40" s="207"/>
      <c r="F40" s="208"/>
      <c r="G40" s="207"/>
      <c r="I40" s="206" t="s">
        <v>474</v>
      </c>
      <c r="J40" s="207"/>
      <c r="K40" s="207"/>
      <c r="L40" s="207"/>
      <c r="M40" s="208"/>
      <c r="N40" s="207"/>
      <c r="P40" s="206" t="s">
        <v>474</v>
      </c>
      <c r="Q40" s="207"/>
      <c r="R40" s="207"/>
      <c r="S40" s="207"/>
      <c r="T40" s="208"/>
      <c r="U40" s="207"/>
      <c r="W40" s="206" t="s">
        <v>474</v>
      </c>
      <c r="X40" s="207"/>
      <c r="Y40" s="207"/>
      <c r="Z40" s="207"/>
      <c r="AA40" s="208"/>
      <c r="AB40" s="207"/>
    </row>
    <row r="41" spans="2:29" ht="36" customHeight="1">
      <c r="B41" s="209" t="s">
        <v>44</v>
      </c>
      <c r="C41" s="210" t="s">
        <v>45</v>
      </c>
      <c r="D41" s="210" t="s">
        <v>46</v>
      </c>
      <c r="E41" s="210" t="s">
        <v>47</v>
      </c>
      <c r="F41" s="209" t="s">
        <v>48</v>
      </c>
      <c r="G41" s="210" t="s">
        <v>49</v>
      </c>
      <c r="I41" s="209" t="s">
        <v>44</v>
      </c>
      <c r="J41" s="210" t="s">
        <v>45</v>
      </c>
      <c r="K41" s="210" t="s">
        <v>46</v>
      </c>
      <c r="L41" s="210" t="s">
        <v>47</v>
      </c>
      <c r="M41" s="209" t="s">
        <v>48</v>
      </c>
      <c r="N41" s="210" t="s">
        <v>49</v>
      </c>
      <c r="P41" s="209" t="s">
        <v>44</v>
      </c>
      <c r="Q41" s="210" t="s">
        <v>45</v>
      </c>
      <c r="R41" s="210" t="s">
        <v>46</v>
      </c>
      <c r="S41" s="210" t="s">
        <v>47</v>
      </c>
      <c r="T41" s="209" t="s">
        <v>48</v>
      </c>
      <c r="U41" s="210" t="s">
        <v>49</v>
      </c>
      <c r="W41" s="166" t="s">
        <v>44</v>
      </c>
      <c r="X41" s="166" t="s">
        <v>45</v>
      </c>
      <c r="Y41" s="166" t="s">
        <v>46</v>
      </c>
      <c r="Z41" s="166" t="s">
        <v>47</v>
      </c>
      <c r="AA41" s="166" t="s">
        <v>48</v>
      </c>
      <c r="AB41" s="166" t="s">
        <v>49</v>
      </c>
      <c r="AC41" s="168"/>
    </row>
    <row r="42" spans="2:29" ht="18.75" customHeight="1">
      <c r="B42" s="233" t="s">
        <v>50</v>
      </c>
      <c r="C42" s="211">
        <f>COUNTIFS('1. All Data'!$AC$3:$AC$133,"Communities and Housing Standards",'1. All Data'!$H$3:$H$133,"Fully Achieved")</f>
        <v>1</v>
      </c>
      <c r="D42" s="212">
        <f>C42/C53</f>
        <v>2.9411764705882353E-2</v>
      </c>
      <c r="E42" s="415">
        <f>D42+D43</f>
        <v>0.76470588235294124</v>
      </c>
      <c r="F42" s="213">
        <f>C42/C54</f>
        <v>3.8461538461538464E-2</v>
      </c>
      <c r="G42" s="420">
        <f>F42+F43</f>
        <v>1</v>
      </c>
      <c r="I42" s="233" t="s">
        <v>50</v>
      </c>
      <c r="J42" s="211">
        <f>COUNTIFS('1. All Data'!$AC$3:$AC$133,"Communities and Housing Standards",'1. All Data'!$M$3:$M$133,"Fully Achieved")</f>
        <v>8</v>
      </c>
      <c r="K42" s="212">
        <f>J42/J53</f>
        <v>0.23529411764705882</v>
      </c>
      <c r="L42" s="415">
        <f>K42+K43</f>
        <v>0.94117647058823528</v>
      </c>
      <c r="M42" s="213">
        <f>J42/J54</f>
        <v>0.25</v>
      </c>
      <c r="N42" s="420">
        <f>M42+M43</f>
        <v>1</v>
      </c>
      <c r="P42" s="233" t="s">
        <v>50</v>
      </c>
      <c r="Q42" s="211">
        <f>COUNTIFS('1. All Data'!$AC$3:$AC$133,"Communities and Housing Standards",'1. All Data'!$R$3:$R$133,"Fully Achieved")</f>
        <v>11</v>
      </c>
      <c r="R42" s="212">
        <f>Q42/Q53</f>
        <v>0.3235294117647059</v>
      </c>
      <c r="S42" s="415">
        <f>R42+R43</f>
        <v>0.97058823529411775</v>
      </c>
      <c r="T42" s="213">
        <f>Q42/Q54</f>
        <v>0.33333333333333331</v>
      </c>
      <c r="U42" s="420">
        <f>T42+T43</f>
        <v>1</v>
      </c>
      <c r="W42" s="233" t="s">
        <v>50</v>
      </c>
      <c r="X42" s="211">
        <f>COUNTIFS('1. All Data'!$AB$3:$AB$133,"Communities and Housing Standards",'1. All Data'!$V$3:$V$133,"Fully Achieved")</f>
        <v>30</v>
      </c>
      <c r="Y42" s="212">
        <f>X42/X53</f>
        <v>0.8571428571428571</v>
      </c>
      <c r="Z42" s="415">
        <f>Y42+Y43</f>
        <v>1</v>
      </c>
      <c r="AA42" s="212">
        <f>X42/X54</f>
        <v>0.8571428571428571</v>
      </c>
      <c r="AB42" s="389">
        <f>AA42+AA43</f>
        <v>1</v>
      </c>
      <c r="AC42" s="168"/>
    </row>
    <row r="43" spans="2:29" ht="18.75" customHeight="1">
      <c r="B43" s="233" t="s">
        <v>34</v>
      </c>
      <c r="C43" s="211">
        <f>COUNTIFS('1. All Data'!$AC$3:$AC$133,"Communities and Housing Standards",'1. All Data'!$H$3:$H$133,"On Track to be Achieved")</f>
        <v>25</v>
      </c>
      <c r="D43" s="212">
        <f>C43/C53</f>
        <v>0.73529411764705888</v>
      </c>
      <c r="E43" s="415"/>
      <c r="F43" s="213">
        <f>C43/C54</f>
        <v>0.96153846153846156</v>
      </c>
      <c r="G43" s="420"/>
      <c r="I43" s="233" t="s">
        <v>34</v>
      </c>
      <c r="J43" s="211">
        <f>COUNTIFS('1. All Data'!$AC$3:$AC$133,"Communities and Housing Standards",'1. All Data'!$M$3:$M$133,"On Track to be Achieved")</f>
        <v>24</v>
      </c>
      <c r="K43" s="212">
        <f>J43/J53</f>
        <v>0.70588235294117652</v>
      </c>
      <c r="L43" s="415"/>
      <c r="M43" s="213">
        <f>J43/J54</f>
        <v>0.75</v>
      </c>
      <c r="N43" s="420"/>
      <c r="P43" s="233" t="s">
        <v>34</v>
      </c>
      <c r="Q43" s="211">
        <f>COUNTIFS('1. All Data'!$AC$3:$AC$133,"Communities and Housing Standards",'1. All Data'!$R$3:$R$133,"On Track to be Achieved")</f>
        <v>22</v>
      </c>
      <c r="R43" s="212">
        <f>Q43/Q53</f>
        <v>0.6470588235294118</v>
      </c>
      <c r="S43" s="415"/>
      <c r="T43" s="213">
        <f>Q43/Q54</f>
        <v>0.66666666666666663</v>
      </c>
      <c r="U43" s="420"/>
      <c r="W43" s="233" t="s">
        <v>26</v>
      </c>
      <c r="X43" s="211">
        <f>COUNTIFS('1. All Data'!$AB$3:$AB$133,"Communities and Housing Standards",'1. All Data'!$V$3:$V$133,"Numerical Outturn Within 5% Tolerance")</f>
        <v>5</v>
      </c>
      <c r="Y43" s="212">
        <f>X43/X53</f>
        <v>0.14285714285714285</v>
      </c>
      <c r="Z43" s="415"/>
      <c r="AA43" s="212">
        <f>X43/X54</f>
        <v>0.14285714285714285</v>
      </c>
      <c r="AB43" s="389"/>
      <c r="AC43" s="168"/>
    </row>
    <row r="44" spans="2:29" ht="16.5" customHeight="1">
      <c r="B44" s="409" t="s">
        <v>35</v>
      </c>
      <c r="C44" s="412">
        <f>COUNTIFS('1. All Data'!$AC$3:$AC$133,"Communities and Housing Standards",'1. All Data'!$H$3:$H$133,"In Danger of Falling Behind Target")</f>
        <v>0</v>
      </c>
      <c r="D44" s="417">
        <f>C44/C53</f>
        <v>0</v>
      </c>
      <c r="E44" s="417">
        <f>D44</f>
        <v>0</v>
      </c>
      <c r="F44" s="403">
        <f>C44/C54</f>
        <v>0</v>
      </c>
      <c r="G44" s="406">
        <f>F44</f>
        <v>0</v>
      </c>
      <c r="I44" s="409" t="s">
        <v>35</v>
      </c>
      <c r="J44" s="412">
        <f>COUNTIFS('1. All Data'!$AC$3:$AC$133,"Communities and Housing Standards",'1. All Data'!$M$3:$M$133,"In Danger of Falling Behind Target")</f>
        <v>0</v>
      </c>
      <c r="K44" s="417">
        <f>J44/J53</f>
        <v>0</v>
      </c>
      <c r="L44" s="417">
        <f>K44</f>
        <v>0</v>
      </c>
      <c r="M44" s="403">
        <f>J44/J54</f>
        <v>0</v>
      </c>
      <c r="N44" s="406">
        <f>M44</f>
        <v>0</v>
      </c>
      <c r="P44" s="409" t="s">
        <v>35</v>
      </c>
      <c r="Q44" s="412">
        <f>COUNTIFS('1. All Data'!$AC$3:$AC$133,"Communities and Housing Standards",'1. All Data'!$R$3:$R$133,"In Danger of Falling Behind Target")</f>
        <v>0</v>
      </c>
      <c r="R44" s="417">
        <f>Q44/Q53</f>
        <v>0</v>
      </c>
      <c r="S44" s="417">
        <f>R44</f>
        <v>0</v>
      </c>
      <c r="T44" s="403">
        <f>Q44/Q54</f>
        <v>0</v>
      </c>
      <c r="U44" s="406">
        <f>T44</f>
        <v>0</v>
      </c>
      <c r="W44" s="171" t="s">
        <v>27</v>
      </c>
      <c r="X44" s="172">
        <f>COUNTIFS('1. All Data'!$AB$3:$AB$133,"Communities and Housing Standards",'1. All Data'!$V$3:$V$133,"Numerical Outturn Within 10% Tolerance")</f>
        <v>0</v>
      </c>
      <c r="Y44" s="170">
        <f>X44/X53</f>
        <v>0</v>
      </c>
      <c r="Z44" s="374">
        <f>SUM(Y44:Y46)</f>
        <v>0</v>
      </c>
      <c r="AA44" s="170">
        <f>X44/X54</f>
        <v>0</v>
      </c>
      <c r="AB44" s="375">
        <f>SUM(AA44:AA46)</f>
        <v>0</v>
      </c>
      <c r="AC44" s="168"/>
    </row>
    <row r="45" spans="2:29" ht="16.5" customHeight="1">
      <c r="B45" s="410"/>
      <c r="C45" s="413"/>
      <c r="D45" s="418"/>
      <c r="E45" s="418"/>
      <c r="F45" s="404"/>
      <c r="G45" s="407"/>
      <c r="I45" s="410"/>
      <c r="J45" s="413"/>
      <c r="K45" s="418"/>
      <c r="L45" s="418"/>
      <c r="M45" s="404"/>
      <c r="N45" s="407"/>
      <c r="P45" s="410"/>
      <c r="Q45" s="413"/>
      <c r="R45" s="418"/>
      <c r="S45" s="418"/>
      <c r="T45" s="404"/>
      <c r="U45" s="407"/>
      <c r="W45" s="171" t="s">
        <v>28</v>
      </c>
      <c r="X45" s="172">
        <f>COUNTIFS('1. All Data'!$AB$3:$AB$133,"Communities and Housing Standards",'1. All Data'!$V$3:$V$133,"Target Partially Met")</f>
        <v>0</v>
      </c>
      <c r="Y45" s="170">
        <f>X45/X53</f>
        <v>0</v>
      </c>
      <c r="Z45" s="374"/>
      <c r="AA45" s="170">
        <f>X45/X54</f>
        <v>0</v>
      </c>
      <c r="AB45" s="375"/>
      <c r="AC45" s="168"/>
    </row>
    <row r="46" spans="2:29" ht="16.5" customHeight="1">
      <c r="B46" s="411"/>
      <c r="C46" s="414"/>
      <c r="D46" s="419"/>
      <c r="E46" s="419"/>
      <c r="F46" s="405"/>
      <c r="G46" s="408"/>
      <c r="I46" s="411"/>
      <c r="J46" s="414"/>
      <c r="K46" s="419"/>
      <c r="L46" s="419"/>
      <c r="M46" s="405"/>
      <c r="N46" s="408"/>
      <c r="P46" s="411"/>
      <c r="Q46" s="414"/>
      <c r="R46" s="419"/>
      <c r="S46" s="419"/>
      <c r="T46" s="405"/>
      <c r="U46" s="408"/>
      <c r="W46" s="171" t="s">
        <v>31</v>
      </c>
      <c r="X46" s="172">
        <f>COUNTIFS('1. All Data'!$AB$3:$AB$133,"Communities and Housing Standards",'1. All Data'!$V$3:$V$133,"Completion Date Within Reasonable Tolerance")</f>
        <v>0</v>
      </c>
      <c r="Y46" s="170">
        <f>X46/X53</f>
        <v>0</v>
      </c>
      <c r="Z46" s="374"/>
      <c r="AA46" s="170">
        <f>X46/X54</f>
        <v>0</v>
      </c>
      <c r="AB46" s="375"/>
      <c r="AC46" s="168"/>
    </row>
    <row r="47" spans="2:29" ht="22.5" customHeight="1">
      <c r="B47" s="214" t="s">
        <v>36</v>
      </c>
      <c r="C47" s="211">
        <f>COUNTIFS('1. All Data'!$AC$3:$AC$133,"Communities and Housing Standards",'1. All Data'!$H$3:$H$133,"Completed Behind Schedule")</f>
        <v>0</v>
      </c>
      <c r="D47" s="212">
        <f>C47/C53</f>
        <v>0</v>
      </c>
      <c r="E47" s="415">
        <f>D47+D48</f>
        <v>0</v>
      </c>
      <c r="F47" s="213">
        <f>C47/C54</f>
        <v>0</v>
      </c>
      <c r="G47" s="416">
        <f>F47+F48</f>
        <v>0</v>
      </c>
      <c r="I47" s="214" t="s">
        <v>36</v>
      </c>
      <c r="J47" s="211">
        <f>COUNTIFS('1. All Data'!$AC$3:$AC$133,"Communities and Housing Standards",'1. All Data'!$M$3:$M$133,"Completed Behind Schedule")</f>
        <v>0</v>
      </c>
      <c r="K47" s="212">
        <f>J47/J53</f>
        <v>0</v>
      </c>
      <c r="L47" s="415">
        <f>K47+K48</f>
        <v>0</v>
      </c>
      <c r="M47" s="213">
        <f>J47/J54</f>
        <v>0</v>
      </c>
      <c r="N47" s="416">
        <f>M47+M48</f>
        <v>0</v>
      </c>
      <c r="P47" s="214" t="s">
        <v>36</v>
      </c>
      <c r="Q47" s="211">
        <f>COUNTIFS('1. All Data'!$AC$3:$AC$133,"Communities and Housing Standards",'1. All Data'!$R$3:$R$133,"Completed Behind Schedule")</f>
        <v>0</v>
      </c>
      <c r="R47" s="212">
        <f>Q47/Q53</f>
        <v>0</v>
      </c>
      <c r="S47" s="415">
        <f>R47+R48</f>
        <v>0</v>
      </c>
      <c r="T47" s="213">
        <f>Q47/Q54</f>
        <v>0</v>
      </c>
      <c r="U47" s="416">
        <f>T47+T48</f>
        <v>0</v>
      </c>
      <c r="W47" s="173" t="s">
        <v>30</v>
      </c>
      <c r="X47" s="211">
        <f>COUNTIFS('1. All Data'!$AB$3:$AB$133,"Communities and Housing Standards",'1. All Data'!$V$3:$V$133,"Completed Significantly After Target Deadline")</f>
        <v>0</v>
      </c>
      <c r="Y47" s="212">
        <f>X47/X53</f>
        <v>0</v>
      </c>
      <c r="Z47" s="415">
        <f>Y47+Y48</f>
        <v>0</v>
      </c>
      <c r="AA47" s="212">
        <f>X47/X54</f>
        <v>0</v>
      </c>
      <c r="AB47" s="376">
        <f>AA47+AA48</f>
        <v>0</v>
      </c>
      <c r="AC47" s="168"/>
    </row>
    <row r="48" spans="2:29" ht="22.5" customHeight="1">
      <c r="B48" s="214" t="s">
        <v>29</v>
      </c>
      <c r="C48" s="211">
        <f>COUNTIFS('1. All Data'!$AC$3:$AC$133,"Communities and Housing Standards",'1. All Data'!$H$3:$H$133,"Off Target")</f>
        <v>0</v>
      </c>
      <c r="D48" s="212">
        <f>C48/C53</f>
        <v>0</v>
      </c>
      <c r="E48" s="415"/>
      <c r="F48" s="213">
        <f>C48/C54</f>
        <v>0</v>
      </c>
      <c r="G48" s="416"/>
      <c r="I48" s="214" t="s">
        <v>29</v>
      </c>
      <c r="J48" s="211">
        <f>COUNTIFS('1. All Data'!$AC$3:$AC$133,"Communities and Housing Standards",'1. All Data'!$M$3:$M$133,"Off Target")</f>
        <v>0</v>
      </c>
      <c r="K48" s="212">
        <f>J48/J53</f>
        <v>0</v>
      </c>
      <c r="L48" s="415"/>
      <c r="M48" s="213">
        <f>J48/J54</f>
        <v>0</v>
      </c>
      <c r="N48" s="416"/>
      <c r="P48" s="214" t="s">
        <v>29</v>
      </c>
      <c r="Q48" s="211">
        <f>COUNTIFS('1. All Data'!$AC$3:$AC$133,"Communities and Housing Standards",'1. All Data'!$R$3:$R$133,"Off Target")</f>
        <v>0</v>
      </c>
      <c r="R48" s="212">
        <f>Q48/Q53</f>
        <v>0</v>
      </c>
      <c r="S48" s="415"/>
      <c r="T48" s="213">
        <f>Q48/Q54</f>
        <v>0</v>
      </c>
      <c r="U48" s="416"/>
      <c r="W48" s="173" t="s">
        <v>29</v>
      </c>
      <c r="X48" s="211">
        <f>COUNTIFS('1. All Data'!$AB$3:$AB$133,"Communities and Housing Standards",'1. All Data'!$V$3:$V$133,"Off Target")</f>
        <v>0</v>
      </c>
      <c r="Y48" s="212">
        <f>X48/X53</f>
        <v>0</v>
      </c>
      <c r="Z48" s="415"/>
      <c r="AA48" s="212">
        <f>X48/X54</f>
        <v>0</v>
      </c>
      <c r="AB48" s="376"/>
      <c r="AC48" s="168"/>
    </row>
    <row r="49" spans="2:29" ht="15.75" customHeight="1">
      <c r="B49" s="215" t="s">
        <v>51</v>
      </c>
      <c r="C49" s="211">
        <f>COUNTIFS('1. All Data'!$AC$3:$AC$133,"Communities and Housing Standards",'1. All Data'!$H$3:$H$133,"Not yet due")</f>
        <v>8</v>
      </c>
      <c r="D49" s="216">
        <f>C49/C53</f>
        <v>0.23529411764705882</v>
      </c>
      <c r="E49" s="216">
        <f>D49</f>
        <v>0.23529411764705882</v>
      </c>
      <c r="F49" s="217"/>
      <c r="G49" s="59"/>
      <c r="I49" s="215" t="s">
        <v>51</v>
      </c>
      <c r="J49" s="211">
        <f>COUNTIFS('1. All Data'!$AC$3:$AC$133,"Communities and Housing Standards",'1. All Data'!$M$3:$M$133,"Not yet due")</f>
        <v>2</v>
      </c>
      <c r="K49" s="216">
        <f>J49/J53</f>
        <v>5.8823529411764705E-2</v>
      </c>
      <c r="L49" s="216">
        <f>K49</f>
        <v>5.8823529411764705E-2</v>
      </c>
      <c r="M49" s="217"/>
      <c r="N49" s="59"/>
      <c r="P49" s="215" t="s">
        <v>51</v>
      </c>
      <c r="Q49" s="211">
        <f>COUNTIFS('1. All Data'!$AC$3:$AC$133,"Communities and Housing Standards",'1. All Data'!$R$3:$R$133,"Not yet due")</f>
        <v>1</v>
      </c>
      <c r="R49" s="216">
        <f>Q49/Q53</f>
        <v>2.9411764705882353E-2</v>
      </c>
      <c r="S49" s="216">
        <f>R49</f>
        <v>2.9411764705882353E-2</v>
      </c>
      <c r="T49" s="217"/>
      <c r="U49" s="59"/>
      <c r="W49" s="174" t="s">
        <v>51</v>
      </c>
      <c r="X49" s="211">
        <f>COUNTIFS('1. All Data'!$AB$3:$AB$133,"Communities and Housing Standards",'1. All Data'!$V$3:$V$133,"Not yet due")</f>
        <v>0</v>
      </c>
      <c r="Y49" s="216">
        <f>X49/X53</f>
        <v>0</v>
      </c>
      <c r="Z49" s="216">
        <f>Y49</f>
        <v>0</v>
      </c>
      <c r="AA49" s="176"/>
      <c r="AB49" s="59"/>
      <c r="AC49" s="168"/>
    </row>
    <row r="50" spans="2:29" ht="15.75" customHeight="1">
      <c r="B50" s="215" t="s">
        <v>24</v>
      </c>
      <c r="C50" s="211">
        <f>COUNTIFS('1. All Data'!$AC$3:$AC$133,"Communities and Housing Standards",'1. All Data'!$H$3:$H$133,"Update not provided")</f>
        <v>0</v>
      </c>
      <c r="D50" s="216">
        <f>C50/C53</f>
        <v>0</v>
      </c>
      <c r="E50" s="216">
        <f>D50</f>
        <v>0</v>
      </c>
      <c r="F50" s="217"/>
      <c r="G50" s="2"/>
      <c r="I50" s="215" t="s">
        <v>24</v>
      </c>
      <c r="J50" s="211">
        <f>COUNTIFS('1. All Data'!$AC$3:$AC$133,"Communities and Housing Standards",'1. All Data'!$M$3:$M$133,"Update not provided")</f>
        <v>0</v>
      </c>
      <c r="K50" s="216">
        <f>J50/J53</f>
        <v>0</v>
      </c>
      <c r="L50" s="216">
        <f>K50</f>
        <v>0</v>
      </c>
      <c r="M50" s="217"/>
      <c r="N50" s="2"/>
      <c r="P50" s="215" t="s">
        <v>24</v>
      </c>
      <c r="Q50" s="211">
        <f>COUNTIFS('1. All Data'!$AC$3:$AC$133,"Communities and Housing Standards",'1. All Data'!$R$3:$R$133,"Update not provided")</f>
        <v>0</v>
      </c>
      <c r="R50" s="216">
        <f>Q50/Q53</f>
        <v>0</v>
      </c>
      <c r="S50" s="216">
        <f>R50</f>
        <v>0</v>
      </c>
      <c r="T50" s="217"/>
      <c r="U50" s="2"/>
      <c r="W50" s="174" t="s">
        <v>24</v>
      </c>
      <c r="X50" s="211">
        <f>COUNTIFS('1. All Data'!$AB$3:$AB$133,"Communities and Housing Standards",'1. All Data'!$V$3:$V$133,"Update not provided")</f>
        <v>0</v>
      </c>
      <c r="Y50" s="216">
        <f>X50/X53</f>
        <v>0</v>
      </c>
      <c r="Z50" s="216">
        <f>Y50</f>
        <v>0</v>
      </c>
      <c r="AA50" s="176"/>
      <c r="AB50" s="2"/>
      <c r="AC50" s="168"/>
    </row>
    <row r="51" spans="2:29" ht="15.75" customHeight="1">
      <c r="B51" s="218" t="s">
        <v>32</v>
      </c>
      <c r="C51" s="211">
        <f>COUNTIFS('1. All Data'!$AC$3:$AC$133,"Communities and Housing Standards",'1. All Data'!$H$3:$H$133,"Deferred")</f>
        <v>0</v>
      </c>
      <c r="D51" s="219">
        <f>C51/C53</f>
        <v>0</v>
      </c>
      <c r="E51" s="219">
        <f>D51</f>
        <v>0</v>
      </c>
      <c r="F51" s="220"/>
      <c r="G51" s="59"/>
      <c r="I51" s="218" t="s">
        <v>32</v>
      </c>
      <c r="J51" s="211">
        <f>COUNTIFS('1. All Data'!$AC$3:$AC$133,"Communities and Housing Standards",'1. All Data'!$M$3:$M$133,"Deferred")</f>
        <v>0</v>
      </c>
      <c r="K51" s="219">
        <f>J51/J53</f>
        <v>0</v>
      </c>
      <c r="L51" s="219">
        <f>K51</f>
        <v>0</v>
      </c>
      <c r="M51" s="220"/>
      <c r="N51" s="59"/>
      <c r="P51" s="218" t="s">
        <v>32</v>
      </c>
      <c r="Q51" s="211">
        <f>COUNTIFS('1. All Data'!$AC$3:$AC$133,"Communities and Housing Standards",'1. All Data'!$R$3:$R$133,"Deferred")</f>
        <v>0</v>
      </c>
      <c r="R51" s="219">
        <f>Q51/Q53</f>
        <v>0</v>
      </c>
      <c r="S51" s="219">
        <f>R51</f>
        <v>0</v>
      </c>
      <c r="T51" s="220"/>
      <c r="U51" s="59"/>
      <c r="W51" s="177" t="s">
        <v>32</v>
      </c>
      <c r="X51" s="211">
        <f>COUNTIFS('1. All Data'!$AB$3:$AB$133,"Communities and Housing Standards",'1. All Data'!$V$3:$V$133,"Deferred")</f>
        <v>0</v>
      </c>
      <c r="Y51" s="219">
        <f>X51/X53</f>
        <v>0</v>
      </c>
      <c r="Z51" s="219">
        <f>Y51</f>
        <v>0</v>
      </c>
      <c r="AA51" s="179"/>
      <c r="AB51" s="59"/>
      <c r="AC51" s="168"/>
    </row>
    <row r="52" spans="2:29" ht="15.75" customHeight="1">
      <c r="B52" s="218" t="s">
        <v>33</v>
      </c>
      <c r="C52" s="211">
        <f>COUNTIFS('1. All Data'!$AC$3:$AC$133,"Communities and Housing Standards",'1. All Data'!$H$3:$H$133,"Deleted")</f>
        <v>0</v>
      </c>
      <c r="D52" s="219">
        <f>C52/C53</f>
        <v>0</v>
      </c>
      <c r="E52" s="219">
        <f>D52</f>
        <v>0</v>
      </c>
      <c r="F52" s="220"/>
      <c r="G52" s="30"/>
      <c r="I52" s="218" t="s">
        <v>33</v>
      </c>
      <c r="J52" s="211">
        <f>COUNTIFS('1. All Data'!$AC$3:$AC$133,"Communities and Housing Standards",'1. All Data'!$M$3:$M$133,"Deleted")</f>
        <v>0</v>
      </c>
      <c r="K52" s="219">
        <f>J52/J53</f>
        <v>0</v>
      </c>
      <c r="L52" s="219">
        <f>K52</f>
        <v>0</v>
      </c>
      <c r="M52" s="220"/>
      <c r="N52" s="30"/>
      <c r="P52" s="218" t="s">
        <v>33</v>
      </c>
      <c r="Q52" s="211">
        <f>COUNTIFS('1. All Data'!$AC$3:$AC$133,"Communities and Housing Standards",'1. All Data'!$R$3:$R$133,"Deleted")</f>
        <v>0</v>
      </c>
      <c r="R52" s="219">
        <f>Q52/Q53</f>
        <v>0</v>
      </c>
      <c r="S52" s="219">
        <f>R52</f>
        <v>0</v>
      </c>
      <c r="T52" s="220"/>
      <c r="U52" s="30"/>
      <c r="W52" s="177" t="s">
        <v>33</v>
      </c>
      <c r="X52" s="211">
        <f>COUNTIFS('1. All Data'!$AB$3:$AB$133,"Communities and Housing Standards",'1. All Data'!$V$3:$V$133,"Deleted")</f>
        <v>0</v>
      </c>
      <c r="Y52" s="219">
        <f>X52/X53</f>
        <v>0</v>
      </c>
      <c r="Z52" s="219">
        <f>Y52</f>
        <v>0</v>
      </c>
      <c r="AA52" s="179"/>
      <c r="AB52" s="3"/>
      <c r="AC52" s="168"/>
    </row>
    <row r="53" spans="2:29" ht="15.75" customHeight="1">
      <c r="B53" s="221" t="s">
        <v>53</v>
      </c>
      <c r="C53" s="222">
        <f>SUM(C42:C52)</f>
        <v>34</v>
      </c>
      <c r="D53" s="179"/>
      <c r="E53" s="179"/>
      <c r="F53" s="223"/>
      <c r="G53" s="59"/>
      <c r="I53" s="221" t="s">
        <v>53</v>
      </c>
      <c r="J53" s="222">
        <f>SUM(J42:J52)</f>
        <v>34</v>
      </c>
      <c r="K53" s="179"/>
      <c r="L53" s="179"/>
      <c r="M53" s="223"/>
      <c r="N53" s="59"/>
      <c r="P53" s="221" t="s">
        <v>53</v>
      </c>
      <c r="Q53" s="222">
        <f>SUM(Q42:Q52)</f>
        <v>34</v>
      </c>
      <c r="R53" s="179"/>
      <c r="S53" s="179"/>
      <c r="T53" s="223"/>
      <c r="U53" s="59"/>
      <c r="W53" s="180" t="s">
        <v>53</v>
      </c>
      <c r="X53" s="222">
        <f>SUM(X42:X52)</f>
        <v>35</v>
      </c>
      <c r="Y53" s="179"/>
      <c r="Z53" s="179"/>
      <c r="AA53" s="59"/>
      <c r="AB53" s="59"/>
      <c r="AC53" s="168"/>
    </row>
    <row r="54" spans="2:29" ht="15.75" customHeight="1">
      <c r="B54" s="221" t="s">
        <v>54</v>
      </c>
      <c r="C54" s="222">
        <f>C53-C52-C51-C50-C49</f>
        <v>26</v>
      </c>
      <c r="D54" s="59"/>
      <c r="E54" s="59"/>
      <c r="F54" s="223"/>
      <c r="G54" s="59"/>
      <c r="I54" s="221" t="s">
        <v>54</v>
      </c>
      <c r="J54" s="222">
        <f>J53-J52-J51-J50-J49</f>
        <v>32</v>
      </c>
      <c r="K54" s="59"/>
      <c r="L54" s="59"/>
      <c r="M54" s="223"/>
      <c r="N54" s="59"/>
      <c r="P54" s="221" t="s">
        <v>54</v>
      </c>
      <c r="Q54" s="222">
        <f>Q53-Q52-Q51-Q50-Q49</f>
        <v>33</v>
      </c>
      <c r="R54" s="59"/>
      <c r="S54" s="59"/>
      <c r="T54" s="223"/>
      <c r="U54" s="59"/>
      <c r="W54" s="180" t="s">
        <v>54</v>
      </c>
      <c r="X54" s="222">
        <f>X53-X52-X51-X50-X49</f>
        <v>35</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475</v>
      </c>
      <c r="C58" s="207"/>
      <c r="D58" s="207"/>
      <c r="E58" s="207"/>
      <c r="F58" s="208"/>
      <c r="G58" s="207"/>
      <c r="I58" s="228" t="s">
        <v>475</v>
      </c>
      <c r="J58" s="207"/>
      <c r="K58" s="207"/>
      <c r="L58" s="207"/>
      <c r="M58" s="208"/>
      <c r="N58" s="207"/>
      <c r="P58" s="228" t="s">
        <v>475</v>
      </c>
      <c r="Q58" s="207"/>
      <c r="R58" s="207"/>
      <c r="S58" s="207"/>
      <c r="T58" s="208"/>
      <c r="U58" s="207"/>
      <c r="W58" s="228" t="s">
        <v>475</v>
      </c>
      <c r="X58" s="207"/>
      <c r="Y58" s="207"/>
      <c r="Z58" s="207"/>
      <c r="AA58" s="208"/>
      <c r="AB58" s="207"/>
    </row>
    <row r="59" spans="2:29" ht="41.25" customHeight="1">
      <c r="B59" s="209" t="s">
        <v>44</v>
      </c>
      <c r="C59" s="210" t="s">
        <v>45</v>
      </c>
      <c r="D59" s="210" t="s">
        <v>46</v>
      </c>
      <c r="E59" s="210" t="s">
        <v>47</v>
      </c>
      <c r="F59" s="209" t="s">
        <v>48</v>
      </c>
      <c r="G59" s="210" t="s">
        <v>49</v>
      </c>
      <c r="I59" s="209" t="s">
        <v>44</v>
      </c>
      <c r="J59" s="210" t="s">
        <v>45</v>
      </c>
      <c r="K59" s="210" t="s">
        <v>46</v>
      </c>
      <c r="L59" s="210" t="s">
        <v>47</v>
      </c>
      <c r="M59" s="209" t="s">
        <v>48</v>
      </c>
      <c r="N59" s="210" t="s">
        <v>49</v>
      </c>
      <c r="P59" s="209" t="s">
        <v>44</v>
      </c>
      <c r="Q59" s="210" t="s">
        <v>45</v>
      </c>
      <c r="R59" s="210" t="s">
        <v>46</v>
      </c>
      <c r="S59" s="210" t="s">
        <v>47</v>
      </c>
      <c r="T59" s="209" t="s">
        <v>48</v>
      </c>
      <c r="U59" s="210" t="s">
        <v>49</v>
      </c>
      <c r="W59" s="166" t="s">
        <v>44</v>
      </c>
      <c r="X59" s="166" t="s">
        <v>45</v>
      </c>
      <c r="Y59" s="166" t="s">
        <v>46</v>
      </c>
      <c r="Z59" s="166" t="s">
        <v>47</v>
      </c>
      <c r="AA59" s="166" t="s">
        <v>48</v>
      </c>
      <c r="AB59" s="166" t="s">
        <v>49</v>
      </c>
      <c r="AC59" s="168"/>
    </row>
    <row r="60" spans="2:29" ht="27.75" customHeight="1">
      <c r="B60" s="233" t="s">
        <v>50</v>
      </c>
      <c r="C60" s="211">
        <f>COUNTIFS('1. All Data'!$AC$3:$AC$133,"Environment and Climate Change",'1. All Data'!$H$3:$H$133,"Fully Achieved")</f>
        <v>2</v>
      </c>
      <c r="D60" s="212">
        <f>C60/C71</f>
        <v>7.6923076923076927E-2</v>
      </c>
      <c r="E60" s="415">
        <f>D60+D61</f>
        <v>0.53846153846153855</v>
      </c>
      <c r="F60" s="213">
        <f>C60/C72</f>
        <v>0.14285714285714285</v>
      </c>
      <c r="G60" s="420">
        <f>F60+F61</f>
        <v>1</v>
      </c>
      <c r="I60" s="233" t="s">
        <v>50</v>
      </c>
      <c r="J60" s="211">
        <f>COUNTIFS('1. All Data'!$AC$3:$AC$133,"Environment and Climate Change",'1. All Data'!$M$3:$M$133,"Fully Achieved")</f>
        <v>10</v>
      </c>
      <c r="K60" s="212">
        <f>J60/J71</f>
        <v>0.38461538461538464</v>
      </c>
      <c r="L60" s="415">
        <f>K60+K61</f>
        <v>0.88461538461538458</v>
      </c>
      <c r="M60" s="213">
        <f>J60/J72</f>
        <v>0.43478260869565216</v>
      </c>
      <c r="N60" s="420">
        <f>M60+M61</f>
        <v>1</v>
      </c>
      <c r="P60" s="233" t="s">
        <v>50</v>
      </c>
      <c r="Q60" s="211">
        <f>COUNTIFS('1. All Data'!$AC$3:$AC$133,"Environment and Climate Change",'1. All Data'!$R$3:$R$133,"Fully Achieved")</f>
        <v>14</v>
      </c>
      <c r="R60" s="212">
        <f>Q60/Q71</f>
        <v>0.53846153846153844</v>
      </c>
      <c r="S60" s="415">
        <f>R60+R61</f>
        <v>1</v>
      </c>
      <c r="T60" s="213">
        <f>Q60/Q72</f>
        <v>0.53846153846153844</v>
      </c>
      <c r="U60" s="420">
        <f>T60+T61</f>
        <v>1</v>
      </c>
      <c r="W60" s="233" t="s">
        <v>50</v>
      </c>
      <c r="X60" s="211">
        <f>COUNTIFS('1. All Data'!$AB$3:$AB$133,"Environment and Climate Change",'1. All Data'!$V$3:$V$133,"Fully Achieved")</f>
        <v>24</v>
      </c>
      <c r="Y60" s="212">
        <f>X60/X71</f>
        <v>0.92307692307692313</v>
      </c>
      <c r="Z60" s="415">
        <f>Y60+Y61</f>
        <v>0.92307692307692313</v>
      </c>
      <c r="AA60" s="212">
        <f>X60/X72</f>
        <v>0.92307692307692313</v>
      </c>
      <c r="AB60" s="389">
        <f>AA60+AA61</f>
        <v>0.92307692307692313</v>
      </c>
      <c r="AC60" s="168"/>
    </row>
    <row r="61" spans="2:29" ht="27.75" customHeight="1">
      <c r="B61" s="233" t="s">
        <v>34</v>
      </c>
      <c r="C61" s="211">
        <f>COUNTIFS('1. All Data'!$AC$3:$AC$133,"Environment and Climate Change",'1. All Data'!$H$3:$H$133,"On Track to be Achieved")</f>
        <v>12</v>
      </c>
      <c r="D61" s="212">
        <f>C61/C71</f>
        <v>0.46153846153846156</v>
      </c>
      <c r="E61" s="415"/>
      <c r="F61" s="213">
        <f>C61/C72</f>
        <v>0.8571428571428571</v>
      </c>
      <c r="G61" s="420"/>
      <c r="I61" s="233" t="s">
        <v>34</v>
      </c>
      <c r="J61" s="211">
        <f>COUNTIFS('1. All Data'!$AC$3:$AC$133,"Environment and Climate Change",'1. All Data'!$M$3:$M$133,"On Track to be Achieved")</f>
        <v>13</v>
      </c>
      <c r="K61" s="212">
        <f>J61/J71</f>
        <v>0.5</v>
      </c>
      <c r="L61" s="415"/>
      <c r="M61" s="213">
        <f>J61/J72</f>
        <v>0.56521739130434778</v>
      </c>
      <c r="N61" s="420"/>
      <c r="P61" s="233" t="s">
        <v>34</v>
      </c>
      <c r="Q61" s="211">
        <f>COUNTIFS('1. All Data'!$AC$3:$AC$133,"Environment and Climate Change",'1. All Data'!$R$3:$R$133,"On Track to be Achieved")</f>
        <v>12</v>
      </c>
      <c r="R61" s="212">
        <f>Q61/Q71</f>
        <v>0.46153846153846156</v>
      </c>
      <c r="S61" s="415"/>
      <c r="T61" s="213">
        <f>Q61/Q72</f>
        <v>0.46153846153846156</v>
      </c>
      <c r="U61" s="420"/>
      <c r="W61" s="233" t="s">
        <v>26</v>
      </c>
      <c r="X61" s="211">
        <f>COUNTIFS('1. All Data'!$AB$3:$AB$133,"Environment and Climate Change",'1. All Data'!$V$3:$V$133,"Numerical Outturn Within 5% Tolerance")</f>
        <v>0</v>
      </c>
      <c r="Y61" s="212">
        <f>X61/X71</f>
        <v>0</v>
      </c>
      <c r="Z61" s="415"/>
      <c r="AA61" s="212">
        <f>X61/X72</f>
        <v>0</v>
      </c>
      <c r="AB61" s="389"/>
      <c r="AC61" s="168"/>
    </row>
    <row r="62" spans="2:29" ht="21" customHeight="1">
      <c r="B62" s="409" t="s">
        <v>35</v>
      </c>
      <c r="C62" s="412">
        <f>COUNTIFS('1. All Data'!$AC$3:$AC$133,"Environment and Climate Change",'1. All Data'!$H$3:$H$133,"In Danger of Falling Behind Target")</f>
        <v>0</v>
      </c>
      <c r="D62" s="417">
        <f>C62/C71</f>
        <v>0</v>
      </c>
      <c r="E62" s="417">
        <f>D62</f>
        <v>0</v>
      </c>
      <c r="F62" s="403">
        <f>C62/C72</f>
        <v>0</v>
      </c>
      <c r="G62" s="406">
        <f>F62</f>
        <v>0</v>
      </c>
      <c r="I62" s="409" t="s">
        <v>35</v>
      </c>
      <c r="J62" s="412">
        <f>COUNTIFS('1. All Data'!$AC$3:$AC$133,"Environment and Climate Change",'1. All Data'!$M$3:$M$133,"In Danger of Falling Behind Target")</f>
        <v>0</v>
      </c>
      <c r="K62" s="417">
        <f>J62/J71</f>
        <v>0</v>
      </c>
      <c r="L62" s="417">
        <f>K62</f>
        <v>0</v>
      </c>
      <c r="M62" s="403">
        <f>J62/J72</f>
        <v>0</v>
      </c>
      <c r="N62" s="406">
        <f>M62</f>
        <v>0</v>
      </c>
      <c r="P62" s="409" t="s">
        <v>35</v>
      </c>
      <c r="Q62" s="412">
        <f>COUNTIFS('1. All Data'!$AC$3:$AC$133,"Environment and Climate Change",'1. All Data'!$R$3:$R$133,"In Danger of Falling Behind Target")</f>
        <v>0</v>
      </c>
      <c r="R62" s="417">
        <f>Q62/Q71</f>
        <v>0</v>
      </c>
      <c r="S62" s="417">
        <f>R62</f>
        <v>0</v>
      </c>
      <c r="T62" s="403">
        <f>Q62/Q72</f>
        <v>0</v>
      </c>
      <c r="U62" s="406">
        <f>T62</f>
        <v>0</v>
      </c>
      <c r="W62" s="171" t="s">
        <v>27</v>
      </c>
      <c r="X62" s="172">
        <f>COUNTIFS('1. All Data'!$AB$3:$AB$133,"Environment and Climate Change",'1. All Data'!$V$3:$V$133,"Numerical Outturn Within 10% Tolerance")</f>
        <v>0</v>
      </c>
      <c r="Y62" s="170">
        <f>X62/X71</f>
        <v>0</v>
      </c>
      <c r="Z62" s="374">
        <f>SUM(Y62:Y64)</f>
        <v>0</v>
      </c>
      <c r="AA62" s="170">
        <f>X62/X72</f>
        <v>0</v>
      </c>
      <c r="AB62" s="375">
        <f>SUM(AA62:AA64)</f>
        <v>0</v>
      </c>
      <c r="AC62" s="168"/>
    </row>
    <row r="63" spans="2:29" ht="18.75" customHeight="1">
      <c r="B63" s="410"/>
      <c r="C63" s="413"/>
      <c r="D63" s="418"/>
      <c r="E63" s="418"/>
      <c r="F63" s="404"/>
      <c r="G63" s="407"/>
      <c r="I63" s="410"/>
      <c r="J63" s="413"/>
      <c r="K63" s="418"/>
      <c r="L63" s="418"/>
      <c r="M63" s="404"/>
      <c r="N63" s="407"/>
      <c r="P63" s="410"/>
      <c r="Q63" s="413"/>
      <c r="R63" s="418"/>
      <c r="S63" s="418"/>
      <c r="T63" s="404"/>
      <c r="U63" s="407"/>
      <c r="W63" s="171" t="s">
        <v>28</v>
      </c>
      <c r="X63" s="172">
        <f>COUNTIFS('1. All Data'!$AB$3:$AB$133,"Environment and Climate Change",'1. All Data'!$V$3:$V$133,"Target Partially Met")</f>
        <v>0</v>
      </c>
      <c r="Y63" s="170">
        <f>X63/X71</f>
        <v>0</v>
      </c>
      <c r="Z63" s="374"/>
      <c r="AA63" s="170">
        <f>X63/X72</f>
        <v>0</v>
      </c>
      <c r="AB63" s="375"/>
      <c r="AC63" s="168"/>
    </row>
    <row r="64" spans="2:29" ht="20.25" customHeight="1">
      <c r="B64" s="411"/>
      <c r="C64" s="414"/>
      <c r="D64" s="419"/>
      <c r="E64" s="419"/>
      <c r="F64" s="405"/>
      <c r="G64" s="408"/>
      <c r="I64" s="411"/>
      <c r="J64" s="414"/>
      <c r="K64" s="419"/>
      <c r="L64" s="419"/>
      <c r="M64" s="405"/>
      <c r="N64" s="408"/>
      <c r="P64" s="411"/>
      <c r="Q64" s="414"/>
      <c r="R64" s="419"/>
      <c r="S64" s="419"/>
      <c r="T64" s="405"/>
      <c r="U64" s="408"/>
      <c r="W64" s="171" t="s">
        <v>31</v>
      </c>
      <c r="X64" s="172">
        <f>COUNTIFS('1. All Data'!$AB$3:$AB$133,"Environment and Climate Change",'1. All Data'!$V$3:$V$133,"Completion Date Within Reasonable Tolerance")</f>
        <v>0</v>
      </c>
      <c r="Y64" s="170">
        <f>X64/X71</f>
        <v>0</v>
      </c>
      <c r="Z64" s="374"/>
      <c r="AA64" s="170">
        <f>X64/X72</f>
        <v>0</v>
      </c>
      <c r="AB64" s="375"/>
      <c r="AC64" s="168"/>
    </row>
    <row r="65" spans="2:29" ht="30" customHeight="1">
      <c r="B65" s="214" t="s">
        <v>36</v>
      </c>
      <c r="C65" s="211">
        <f>COUNTIFS('1. All Data'!$AC$3:$AC$133,"Environment and Climate Change",'1. All Data'!$H$3:$H$133,"Completed Behind Schedule")</f>
        <v>0</v>
      </c>
      <c r="D65" s="212">
        <f>C65/C71</f>
        <v>0</v>
      </c>
      <c r="E65" s="415">
        <f>D65+D66</f>
        <v>0</v>
      </c>
      <c r="F65" s="213">
        <f>C65/C72</f>
        <v>0</v>
      </c>
      <c r="G65" s="416">
        <f>F65+F66</f>
        <v>0</v>
      </c>
      <c r="I65" s="214" t="s">
        <v>36</v>
      </c>
      <c r="J65" s="211">
        <f>COUNTIFS('1. All Data'!$AC$3:$AC$133,"Environment and Climate Change",'1. All Data'!$M$3:$M$133,"Completed Behind Schedule")</f>
        <v>0</v>
      </c>
      <c r="K65" s="212">
        <f>J65/J71</f>
        <v>0</v>
      </c>
      <c r="L65" s="415">
        <f>K65+K66</f>
        <v>0</v>
      </c>
      <c r="M65" s="213">
        <f>J65/J72</f>
        <v>0</v>
      </c>
      <c r="N65" s="416">
        <f>M65+M66</f>
        <v>0</v>
      </c>
      <c r="P65" s="214" t="s">
        <v>36</v>
      </c>
      <c r="Q65" s="211">
        <f>COUNTIFS('1. All Data'!$AC$3:$AC$133,"Environment and Climate Change",'1. All Data'!$R$3:$R$133,"Completed Behind Schedule")</f>
        <v>0</v>
      </c>
      <c r="R65" s="212">
        <f>Q65/Q71</f>
        <v>0</v>
      </c>
      <c r="S65" s="415">
        <f>R65+R66</f>
        <v>0</v>
      </c>
      <c r="T65" s="213">
        <f>Q65/Q72</f>
        <v>0</v>
      </c>
      <c r="U65" s="416">
        <f>T65+T66</f>
        <v>0</v>
      </c>
      <c r="W65" s="173" t="s">
        <v>30</v>
      </c>
      <c r="X65" s="211">
        <f>COUNTIFS('1. All Data'!$AB$3:$AB$133,"Environment and Climate Change",'1. All Data'!$V$3:$V$133,"Completed Significantly After Target Deadline")</f>
        <v>0</v>
      </c>
      <c r="Y65" s="212">
        <f>X65/X71</f>
        <v>0</v>
      </c>
      <c r="Z65" s="415">
        <f>Y65+Y66</f>
        <v>7.6923076923076927E-2</v>
      </c>
      <c r="AA65" s="170">
        <f>X65/X72</f>
        <v>0</v>
      </c>
      <c r="AB65" s="376">
        <f>AA65+AA66</f>
        <v>7.6923076923076927E-2</v>
      </c>
      <c r="AC65" s="168"/>
    </row>
    <row r="66" spans="2:29" ht="30" customHeight="1">
      <c r="B66" s="214" t="s">
        <v>29</v>
      </c>
      <c r="C66" s="211">
        <f>COUNTIFS('1. All Data'!$AC$3:$AC$133,"Environment and Climate Change",'1. All Data'!$H$3:$H$133,"Off Target")</f>
        <v>0</v>
      </c>
      <c r="D66" s="212">
        <f>C66/C71</f>
        <v>0</v>
      </c>
      <c r="E66" s="415"/>
      <c r="F66" s="213">
        <f>C66/C72</f>
        <v>0</v>
      </c>
      <c r="G66" s="416"/>
      <c r="I66" s="214" t="s">
        <v>29</v>
      </c>
      <c r="J66" s="211">
        <f>COUNTIFS('1. All Data'!$AC$3:$AC$133,"Environment and Climate Change",'1. All Data'!$M$3:$M$133,"Off Target")</f>
        <v>0</v>
      </c>
      <c r="K66" s="212">
        <f>J66/J71</f>
        <v>0</v>
      </c>
      <c r="L66" s="415"/>
      <c r="M66" s="213">
        <f>J66/J72</f>
        <v>0</v>
      </c>
      <c r="N66" s="416"/>
      <c r="P66" s="214" t="s">
        <v>29</v>
      </c>
      <c r="Q66" s="211">
        <f>COUNTIFS('1. All Data'!$AC$3:$AC$133,"Environment and Climate Change",'1. All Data'!$R$3:$R$133,"Off Target")</f>
        <v>0</v>
      </c>
      <c r="R66" s="212">
        <f>Q66/Q71</f>
        <v>0</v>
      </c>
      <c r="S66" s="415"/>
      <c r="T66" s="213">
        <f>Q66/Q72</f>
        <v>0</v>
      </c>
      <c r="U66" s="416"/>
      <c r="W66" s="173" t="s">
        <v>29</v>
      </c>
      <c r="X66" s="211">
        <f>COUNTIFS('1. All Data'!$AB$3:$AB$133,"Environment and Climate Change",'1. All Data'!$V$3:$V$133,"Off Target")</f>
        <v>2</v>
      </c>
      <c r="Y66" s="212">
        <f>X66/X71</f>
        <v>7.6923076923076927E-2</v>
      </c>
      <c r="Z66" s="415"/>
      <c r="AA66" s="170">
        <f>X66/X72</f>
        <v>7.6923076923076927E-2</v>
      </c>
      <c r="AB66" s="376"/>
      <c r="AC66" s="168"/>
    </row>
    <row r="67" spans="2:29" ht="15.75" customHeight="1">
      <c r="B67" s="215" t="s">
        <v>51</v>
      </c>
      <c r="C67" s="211">
        <f>COUNTIFS('1. All Data'!$AC$3:$AC$133,"Environment and Climate Change",'1. All Data'!$H$3:$H$133,"Not yet due")</f>
        <v>12</v>
      </c>
      <c r="D67" s="216">
        <f>C67/C71</f>
        <v>0.46153846153846156</v>
      </c>
      <c r="E67" s="216">
        <f>D67</f>
        <v>0.46153846153846156</v>
      </c>
      <c r="F67" s="217"/>
      <c r="G67" s="59"/>
      <c r="I67" s="215" t="s">
        <v>51</v>
      </c>
      <c r="J67" s="211">
        <f>COUNTIFS('1. All Data'!$AC$3:$AC$133,"Environment and Climate Change",'1. All Data'!$M$3:$M$133,"Not yet due")</f>
        <v>3</v>
      </c>
      <c r="K67" s="216">
        <f>J67/J71</f>
        <v>0.11538461538461539</v>
      </c>
      <c r="L67" s="216">
        <f>K67</f>
        <v>0.11538461538461539</v>
      </c>
      <c r="M67" s="217"/>
      <c r="N67" s="59"/>
      <c r="P67" s="215" t="s">
        <v>51</v>
      </c>
      <c r="Q67" s="211">
        <f>COUNTIFS('1. All Data'!$AC$3:$AC$133,"Environment and Climate Change",'1. All Data'!$R$3:$R$133,"Not yet due")</f>
        <v>0</v>
      </c>
      <c r="R67" s="216">
        <f>Q67/Q71</f>
        <v>0</v>
      </c>
      <c r="S67" s="216">
        <f>R67</f>
        <v>0</v>
      </c>
      <c r="T67" s="217"/>
      <c r="U67" s="59"/>
      <c r="W67" s="174" t="s">
        <v>51</v>
      </c>
      <c r="X67" s="211">
        <f>COUNTIFS('1. All Data'!$AB$3:$AB$133,"Environment and Climate Change",'1. All Data'!$V$3:$V$133,"Not yet due")</f>
        <v>0</v>
      </c>
      <c r="Y67" s="216">
        <f>X67/X71</f>
        <v>0</v>
      </c>
      <c r="Z67" s="216">
        <f>Y67</f>
        <v>0</v>
      </c>
      <c r="AA67" s="176"/>
      <c r="AB67" s="59"/>
      <c r="AC67" s="168"/>
    </row>
    <row r="68" spans="2:29" ht="15.75" customHeight="1">
      <c r="B68" s="215" t="s">
        <v>24</v>
      </c>
      <c r="C68" s="211">
        <f>COUNTIFS('1. All Data'!$AC$3:$AC$133,"Environment and Climate Change",'1. All Data'!$H$3:$H$133,"Update not provided")</f>
        <v>0</v>
      </c>
      <c r="D68" s="216">
        <f>C68/C71</f>
        <v>0</v>
      </c>
      <c r="E68" s="216">
        <f>D68</f>
        <v>0</v>
      </c>
      <c r="F68" s="217"/>
      <c r="G68" s="2"/>
      <c r="I68" s="215" t="s">
        <v>24</v>
      </c>
      <c r="J68" s="211">
        <f>COUNTIFS('1. All Data'!$AC$3:$AC$133,"Environment and Climate Change",'1. All Data'!$M$3:$M$133,"Update not provided")</f>
        <v>0</v>
      </c>
      <c r="K68" s="216">
        <f>J68/J71</f>
        <v>0</v>
      </c>
      <c r="L68" s="216">
        <f>K68</f>
        <v>0</v>
      </c>
      <c r="M68" s="217"/>
      <c r="N68" s="2"/>
      <c r="P68" s="215" t="s">
        <v>24</v>
      </c>
      <c r="Q68" s="211">
        <f>COUNTIFS('1. All Data'!$AC$3:$AC$133,"Environment and Climate Change",'1. All Data'!$R$3:$R$133,"Update not provided")</f>
        <v>0</v>
      </c>
      <c r="R68" s="216">
        <f>Q68/Q71</f>
        <v>0</v>
      </c>
      <c r="S68" s="216">
        <f>R68</f>
        <v>0</v>
      </c>
      <c r="T68" s="217"/>
      <c r="U68" s="2"/>
      <c r="W68" s="174" t="s">
        <v>24</v>
      </c>
      <c r="X68" s="211">
        <f>COUNTIFS('1. All Data'!$AB$3:$AB$133,"Environment and Climate Change",'1. All Data'!$V$3:$V$133,"Update not provided")</f>
        <v>0</v>
      </c>
      <c r="Y68" s="216">
        <f>X68/X71</f>
        <v>0</v>
      </c>
      <c r="Z68" s="216">
        <f>Y68</f>
        <v>0</v>
      </c>
      <c r="AA68" s="176"/>
      <c r="AB68" s="2"/>
      <c r="AC68" s="168"/>
    </row>
    <row r="69" spans="2:29" ht="15.75" customHeight="1">
      <c r="B69" s="218" t="s">
        <v>32</v>
      </c>
      <c r="C69" s="211">
        <f>COUNTIFS('1. All Data'!$AC$3:$AC$133,"Environment and Climate Change",'1. All Data'!$H$3:$H$133,"Deferred")</f>
        <v>0</v>
      </c>
      <c r="D69" s="219">
        <f>C69/C71</f>
        <v>0</v>
      </c>
      <c r="E69" s="219">
        <f>D69</f>
        <v>0</v>
      </c>
      <c r="F69" s="220"/>
      <c r="G69" s="59"/>
      <c r="I69" s="218" t="s">
        <v>32</v>
      </c>
      <c r="J69" s="211">
        <f>COUNTIFS('1. All Data'!$AC$3:$AC$133,"Environment and Climate Change",'1. All Data'!$M$3:$M$133,"Deferred")</f>
        <v>0</v>
      </c>
      <c r="K69" s="219">
        <f>J69/J71</f>
        <v>0</v>
      </c>
      <c r="L69" s="219">
        <f>K69</f>
        <v>0</v>
      </c>
      <c r="M69" s="220"/>
      <c r="N69" s="59"/>
      <c r="P69" s="218" t="s">
        <v>32</v>
      </c>
      <c r="Q69" s="211">
        <f>COUNTIFS('1. All Data'!$AC$3:$AC$133,"Environment and Climate Change",'1. All Data'!$R$3:$R$133,"Deferred")</f>
        <v>0</v>
      </c>
      <c r="R69" s="219">
        <f>Q69/Q71</f>
        <v>0</v>
      </c>
      <c r="S69" s="219">
        <f>R69</f>
        <v>0</v>
      </c>
      <c r="T69" s="220"/>
      <c r="U69" s="59"/>
      <c r="W69" s="177" t="s">
        <v>32</v>
      </c>
      <c r="X69" s="211">
        <f>COUNTIFS('1. All Data'!$AB$3:$AB$133,"Environment and Climate Change",'1. All Data'!$V$3:$V$133,"Deferred")</f>
        <v>0</v>
      </c>
      <c r="Y69" s="219">
        <f>X69/X71</f>
        <v>0</v>
      </c>
      <c r="Z69" s="219">
        <f>Y69</f>
        <v>0</v>
      </c>
      <c r="AA69" s="179"/>
      <c r="AB69" s="59"/>
      <c r="AC69" s="168"/>
    </row>
    <row r="70" spans="2:29" ht="15.75" customHeight="1">
      <c r="B70" s="218" t="s">
        <v>33</v>
      </c>
      <c r="C70" s="211">
        <f>COUNTIFS('1. All Data'!$AC$3:$AC$133,"Environment and Climate Change",'1. All Data'!$H$3:$H$133,"Deleted")</f>
        <v>0</v>
      </c>
      <c r="D70" s="219">
        <f>C70/C71</f>
        <v>0</v>
      </c>
      <c r="E70" s="219">
        <f>D70</f>
        <v>0</v>
      </c>
      <c r="F70" s="220"/>
      <c r="G70" s="30"/>
      <c r="I70" s="218" t="s">
        <v>33</v>
      </c>
      <c r="J70" s="211">
        <f>COUNTIFS('1. All Data'!$AC$3:$AC$133,"Environment and Climate Change",'1. All Data'!$M$3:$M$133,"Deleted")</f>
        <v>0</v>
      </c>
      <c r="K70" s="219">
        <f>J70/J71</f>
        <v>0</v>
      </c>
      <c r="L70" s="219">
        <f>K70</f>
        <v>0</v>
      </c>
      <c r="M70" s="220"/>
      <c r="N70" s="30"/>
      <c r="P70" s="218" t="s">
        <v>33</v>
      </c>
      <c r="Q70" s="211">
        <f>COUNTIFS('1. All Data'!$AC$3:$AC$133,"Environment and Climate Change",'1. All Data'!$R$3:$R$133,"Deleted")</f>
        <v>0</v>
      </c>
      <c r="R70" s="219">
        <f>Q70/Q71</f>
        <v>0</v>
      </c>
      <c r="S70" s="219">
        <f>R70</f>
        <v>0</v>
      </c>
      <c r="T70" s="220"/>
      <c r="U70" s="30"/>
      <c r="W70" s="177" t="s">
        <v>33</v>
      </c>
      <c r="X70" s="211">
        <f>COUNTIFS('1. All Data'!$AB$3:$AB$133,"Environment and Climate Change",'1. All Data'!$V$3:$V$133,"Deleted")</f>
        <v>0</v>
      </c>
      <c r="Y70" s="219">
        <f>X70/X71</f>
        <v>0</v>
      </c>
      <c r="Z70" s="219">
        <f>Y70</f>
        <v>0</v>
      </c>
      <c r="AA70" s="179"/>
      <c r="AB70" s="3"/>
      <c r="AC70" s="168"/>
    </row>
    <row r="71" spans="2:29" ht="15.75" customHeight="1">
      <c r="B71" s="221" t="s">
        <v>53</v>
      </c>
      <c r="C71" s="222">
        <f>SUM(C60:C70)</f>
        <v>26</v>
      </c>
      <c r="D71" s="179"/>
      <c r="E71" s="179"/>
      <c r="F71" s="223"/>
      <c r="G71" s="59"/>
      <c r="I71" s="221" t="s">
        <v>53</v>
      </c>
      <c r="J71" s="222">
        <f>SUM(J60:J70)</f>
        <v>26</v>
      </c>
      <c r="K71" s="179"/>
      <c r="L71" s="179"/>
      <c r="M71" s="223"/>
      <c r="N71" s="59"/>
      <c r="P71" s="221" t="s">
        <v>53</v>
      </c>
      <c r="Q71" s="222">
        <f>SUM(Q60:Q70)</f>
        <v>26</v>
      </c>
      <c r="R71" s="179"/>
      <c r="S71" s="179"/>
      <c r="T71" s="223"/>
      <c r="U71" s="59"/>
      <c r="W71" s="180" t="s">
        <v>53</v>
      </c>
      <c r="X71" s="222">
        <f>SUM(X60:X70)</f>
        <v>26</v>
      </c>
      <c r="Y71" s="179"/>
      <c r="Z71" s="179"/>
      <c r="AA71" s="59"/>
      <c r="AB71" s="59"/>
      <c r="AC71" s="168"/>
    </row>
    <row r="72" spans="2:29" ht="15.75" customHeight="1">
      <c r="B72" s="221" t="s">
        <v>54</v>
      </c>
      <c r="C72" s="222">
        <f>C71-C70-C69-C68-C67</f>
        <v>14</v>
      </c>
      <c r="D72" s="59"/>
      <c r="E72" s="59"/>
      <c r="F72" s="223"/>
      <c r="G72" s="59"/>
      <c r="I72" s="221" t="s">
        <v>54</v>
      </c>
      <c r="J72" s="222">
        <f>J71-J70-J69-J68-J67</f>
        <v>23</v>
      </c>
      <c r="K72" s="59"/>
      <c r="L72" s="59"/>
      <c r="M72" s="223"/>
      <c r="N72" s="59"/>
      <c r="P72" s="221" t="s">
        <v>54</v>
      </c>
      <c r="Q72" s="222">
        <f>Q71-Q70-Q69-Q68-Q67</f>
        <v>26</v>
      </c>
      <c r="R72" s="59"/>
      <c r="S72" s="59"/>
      <c r="T72" s="223"/>
      <c r="U72" s="59"/>
      <c r="W72" s="180" t="s">
        <v>54</v>
      </c>
      <c r="X72" s="222">
        <f>X71-X70-X69-X68-X67</f>
        <v>26</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476</v>
      </c>
      <c r="C76" s="207"/>
      <c r="D76" s="207"/>
      <c r="E76" s="207"/>
      <c r="F76" s="208"/>
      <c r="G76" s="207"/>
      <c r="I76" s="228" t="s">
        <v>476</v>
      </c>
      <c r="J76" s="207"/>
      <c r="K76" s="207"/>
      <c r="L76" s="207"/>
      <c r="M76" s="208"/>
      <c r="N76" s="207"/>
      <c r="P76" s="228" t="s">
        <v>476</v>
      </c>
      <c r="Q76" s="207"/>
      <c r="R76" s="207"/>
      <c r="S76" s="207"/>
      <c r="T76" s="208"/>
      <c r="U76" s="207"/>
      <c r="W76" s="228" t="s">
        <v>810</v>
      </c>
      <c r="X76" s="207"/>
      <c r="Y76" s="207"/>
      <c r="Z76" s="207"/>
      <c r="AA76" s="208"/>
      <c r="AB76" s="207"/>
    </row>
    <row r="77" spans="2:29" ht="36" customHeight="1">
      <c r="B77" s="209" t="s">
        <v>44</v>
      </c>
      <c r="C77" s="210" t="s">
        <v>45</v>
      </c>
      <c r="D77" s="210" t="s">
        <v>46</v>
      </c>
      <c r="E77" s="210" t="s">
        <v>47</v>
      </c>
      <c r="F77" s="209" t="s">
        <v>48</v>
      </c>
      <c r="G77" s="210" t="s">
        <v>49</v>
      </c>
      <c r="I77" s="209" t="s">
        <v>44</v>
      </c>
      <c r="J77" s="210" t="s">
        <v>45</v>
      </c>
      <c r="K77" s="210" t="s">
        <v>46</v>
      </c>
      <c r="L77" s="210" t="s">
        <v>47</v>
      </c>
      <c r="M77" s="209" t="s">
        <v>48</v>
      </c>
      <c r="N77" s="210" t="s">
        <v>49</v>
      </c>
      <c r="P77" s="209" t="s">
        <v>44</v>
      </c>
      <c r="Q77" s="210" t="s">
        <v>45</v>
      </c>
      <c r="R77" s="210" t="s">
        <v>46</v>
      </c>
      <c r="S77" s="210" t="s">
        <v>47</v>
      </c>
      <c r="T77" s="209" t="s">
        <v>48</v>
      </c>
      <c r="U77" s="210" t="s">
        <v>49</v>
      </c>
      <c r="W77" s="166" t="s">
        <v>44</v>
      </c>
      <c r="X77" s="166" t="s">
        <v>45</v>
      </c>
      <c r="Y77" s="166" t="s">
        <v>46</v>
      </c>
      <c r="Z77" s="166" t="s">
        <v>47</v>
      </c>
      <c r="AA77" s="166" t="s">
        <v>48</v>
      </c>
      <c r="AB77" s="166" t="s">
        <v>49</v>
      </c>
      <c r="AC77" s="168"/>
    </row>
    <row r="78" spans="2:29" ht="18.75" customHeight="1">
      <c r="B78" s="233" t="s">
        <v>50</v>
      </c>
      <c r="C78" s="211">
        <f>COUNTIFS('1. All Data'!$AC$3:$AC$133,"Finance, Treasury Management &amp; Communications",'1. All Data'!$H$3:$H$133,"Fully Achieved")</f>
        <v>3</v>
      </c>
      <c r="D78" s="212">
        <f>C78/C89</f>
        <v>0.23076923076923078</v>
      </c>
      <c r="E78" s="415">
        <f>D78+D79</f>
        <v>0.53846153846153855</v>
      </c>
      <c r="F78" s="213">
        <f>C78/C90</f>
        <v>0.42857142857142855</v>
      </c>
      <c r="G78" s="420">
        <f>F78+F79</f>
        <v>1</v>
      </c>
      <c r="I78" s="233" t="s">
        <v>50</v>
      </c>
      <c r="J78" s="211">
        <f>COUNTIFS('1. All Data'!$AC$3:$AC$133,"Finance, Treasury Management &amp; Communications",'1. All Data'!$M$3:$M$133,"Fully Achieved")</f>
        <v>4</v>
      </c>
      <c r="K78" s="212">
        <f>J78/J89</f>
        <v>0.30769230769230771</v>
      </c>
      <c r="L78" s="415">
        <f>K78+K79</f>
        <v>0.69230769230769229</v>
      </c>
      <c r="M78" s="213">
        <f>J78/J90</f>
        <v>0.4</v>
      </c>
      <c r="N78" s="420">
        <f>M78+M79</f>
        <v>0.9</v>
      </c>
      <c r="P78" s="233" t="s">
        <v>50</v>
      </c>
      <c r="Q78" s="211">
        <f>COUNTIFS('1. All Data'!$AC$3:$AC$133,"Finance, Treasury Management &amp; Communications",'1. All Data'!$R$3:$R$133,"Fully Achieved")</f>
        <v>7</v>
      </c>
      <c r="R78" s="212">
        <f>Q78/Q89</f>
        <v>0.53846153846153844</v>
      </c>
      <c r="S78" s="415">
        <f>R78+R79</f>
        <v>0.76923076923076916</v>
      </c>
      <c r="T78" s="213">
        <f>Q78/Q90</f>
        <v>0.58333333333333337</v>
      </c>
      <c r="U78" s="420">
        <f>T78+T79</f>
        <v>0.83333333333333337</v>
      </c>
      <c r="W78" s="233" t="s">
        <v>50</v>
      </c>
      <c r="X78" s="211">
        <f>COUNTIFS('1. All Data'!$AB$3:$AB$133,"Finance &amp; Treasury Management",'1. All Data'!$V$3:$V$133,"Fully Achieved")</f>
        <v>9</v>
      </c>
      <c r="Y78" s="212">
        <f>X78/X89</f>
        <v>0.81818181818181823</v>
      </c>
      <c r="Z78" s="415">
        <f>Y78+Y79</f>
        <v>0.81818181818181823</v>
      </c>
      <c r="AA78" s="212">
        <f>X78/X90</f>
        <v>0.81818181818181823</v>
      </c>
      <c r="AB78" s="389">
        <f>AA78+AA79</f>
        <v>0.81818181818181823</v>
      </c>
      <c r="AC78" s="168"/>
    </row>
    <row r="79" spans="2:29" ht="18.75" customHeight="1">
      <c r="B79" s="233" t="s">
        <v>34</v>
      </c>
      <c r="C79" s="211">
        <f>COUNTIFS('1. All Data'!$AC$3:$AC$133,"Finance, Treasury Management &amp; Communications",'1. All Data'!$H$3:$H$133,"On Track to be Achieved")</f>
        <v>4</v>
      </c>
      <c r="D79" s="212">
        <f>C79/C89</f>
        <v>0.30769230769230771</v>
      </c>
      <c r="E79" s="415"/>
      <c r="F79" s="213">
        <f>C79/C90</f>
        <v>0.5714285714285714</v>
      </c>
      <c r="G79" s="420"/>
      <c r="I79" s="233" t="s">
        <v>34</v>
      </c>
      <c r="J79" s="211">
        <f>COUNTIFS('1. All Data'!$AC$3:$AC$133,"Finance, Treasury Management &amp; Communications",'1. All Data'!$M$3:$M$133,"On Track to be Achieved")</f>
        <v>5</v>
      </c>
      <c r="K79" s="212">
        <f>J79/J89</f>
        <v>0.38461538461538464</v>
      </c>
      <c r="L79" s="415"/>
      <c r="M79" s="213">
        <f>J79/J90</f>
        <v>0.5</v>
      </c>
      <c r="N79" s="420"/>
      <c r="P79" s="233" t="s">
        <v>34</v>
      </c>
      <c r="Q79" s="211">
        <f>COUNTIFS('1. All Data'!$AC$3:$AC$133,"Finance, Treasury Management &amp; Communications",'1. All Data'!$R$3:$R$133,"On Track to be Achieved")</f>
        <v>3</v>
      </c>
      <c r="R79" s="212">
        <f>Q79/Q89</f>
        <v>0.23076923076923078</v>
      </c>
      <c r="S79" s="415"/>
      <c r="T79" s="213">
        <f>Q79/Q90</f>
        <v>0.25</v>
      </c>
      <c r="U79" s="420"/>
      <c r="W79" s="233" t="s">
        <v>26</v>
      </c>
      <c r="X79" s="211">
        <f>COUNTIFS('1. All Data'!$AB$3:$AB$133,"Finance &amp; Treasury Management",'1. All Data'!$V$3:$V$133,"Numerical Outturn Within 5% Tolerance")</f>
        <v>0</v>
      </c>
      <c r="Y79" s="212">
        <f>X79/X89</f>
        <v>0</v>
      </c>
      <c r="Z79" s="415"/>
      <c r="AA79" s="212">
        <f>X79/X90</f>
        <v>0</v>
      </c>
      <c r="AB79" s="389"/>
      <c r="AC79" s="168"/>
    </row>
    <row r="80" spans="2:29" ht="16.5" customHeight="1">
      <c r="B80" s="409" t="s">
        <v>35</v>
      </c>
      <c r="C80" s="412">
        <f>COUNTIFS('1. All Data'!$AC$3:$AC$133,"Finance, Treasury Management &amp; Communications",'1. All Data'!$H$3:$H$133,"In Danger of Falling Behind Target")</f>
        <v>0</v>
      </c>
      <c r="D80" s="417">
        <f>C80/C89</f>
        <v>0</v>
      </c>
      <c r="E80" s="417">
        <f>D80</f>
        <v>0</v>
      </c>
      <c r="F80" s="403">
        <f>C80/C90</f>
        <v>0</v>
      </c>
      <c r="G80" s="406">
        <f>F80</f>
        <v>0</v>
      </c>
      <c r="I80" s="409" t="s">
        <v>35</v>
      </c>
      <c r="J80" s="412">
        <f>COUNTIFS('1. All Data'!$AC$3:$AC$133,"Finance, Treasury Management &amp; Communications",'1. All Data'!$M$3:$M$133,"In Danger of Falling Behind Target")</f>
        <v>1</v>
      </c>
      <c r="K80" s="417">
        <f>J80/J89</f>
        <v>7.6923076923076927E-2</v>
      </c>
      <c r="L80" s="417">
        <f>K80</f>
        <v>7.6923076923076927E-2</v>
      </c>
      <c r="M80" s="403">
        <f>J80/J90</f>
        <v>0.1</v>
      </c>
      <c r="N80" s="406">
        <f>M80</f>
        <v>0.1</v>
      </c>
      <c r="P80" s="409" t="s">
        <v>35</v>
      </c>
      <c r="Q80" s="412">
        <f>COUNTIFS('1. All Data'!$AC$3:$AC$133,"Finance, Treasury Management &amp; Communications",'1. All Data'!$R$3:$R$133,"In Danger of Falling Behind Target")</f>
        <v>0</v>
      </c>
      <c r="R80" s="417">
        <f>Q80/Q89</f>
        <v>0</v>
      </c>
      <c r="S80" s="417">
        <f>R80</f>
        <v>0</v>
      </c>
      <c r="T80" s="403">
        <f>Q80/Q90</f>
        <v>0</v>
      </c>
      <c r="U80" s="406">
        <f>T80</f>
        <v>0</v>
      </c>
      <c r="W80" s="171" t="s">
        <v>27</v>
      </c>
      <c r="X80" s="172">
        <f>COUNTIFS('1. All Data'!$AB$3:$AB$133,"Finance &amp; Treasury Management",'1. All Data'!$V$3:$V$133,"Numerical Outturn Within 10% Tolerance")</f>
        <v>0</v>
      </c>
      <c r="Y80" s="170">
        <f>X80/X89</f>
        <v>0</v>
      </c>
      <c r="Z80" s="374">
        <f>SUM(Y80:Y82)</f>
        <v>0</v>
      </c>
      <c r="AA80" s="170">
        <f>X80/X90</f>
        <v>0</v>
      </c>
      <c r="AB80" s="375">
        <f>SUM(AA80:AA82)</f>
        <v>0</v>
      </c>
      <c r="AC80" s="168"/>
    </row>
    <row r="81" spans="2:29" ht="16.5" customHeight="1">
      <c r="B81" s="410"/>
      <c r="C81" s="413"/>
      <c r="D81" s="418"/>
      <c r="E81" s="418"/>
      <c r="F81" s="404"/>
      <c r="G81" s="407"/>
      <c r="I81" s="410"/>
      <c r="J81" s="413"/>
      <c r="K81" s="418"/>
      <c r="L81" s="418"/>
      <c r="M81" s="404"/>
      <c r="N81" s="407"/>
      <c r="P81" s="410"/>
      <c r="Q81" s="413"/>
      <c r="R81" s="418"/>
      <c r="S81" s="418"/>
      <c r="T81" s="404"/>
      <c r="U81" s="407"/>
      <c r="W81" s="171" t="s">
        <v>28</v>
      </c>
      <c r="X81" s="172">
        <f>COUNTIFS('1. All Data'!$AB$3:$AB$133,"Finance &amp; Treasury Management",'1. All Data'!$V$3:$V$133,"Target Partially Met")</f>
        <v>0</v>
      </c>
      <c r="Y81" s="170">
        <f>X81/X89</f>
        <v>0</v>
      </c>
      <c r="Z81" s="374"/>
      <c r="AA81" s="170">
        <f>X81/X90</f>
        <v>0</v>
      </c>
      <c r="AB81" s="375"/>
      <c r="AC81" s="168"/>
    </row>
    <row r="82" spans="2:29" ht="16.5" customHeight="1">
      <c r="B82" s="411"/>
      <c r="C82" s="414"/>
      <c r="D82" s="419"/>
      <c r="E82" s="419"/>
      <c r="F82" s="405"/>
      <c r="G82" s="408"/>
      <c r="I82" s="411"/>
      <c r="J82" s="414"/>
      <c r="K82" s="419"/>
      <c r="L82" s="419"/>
      <c r="M82" s="405"/>
      <c r="N82" s="408"/>
      <c r="P82" s="411"/>
      <c r="Q82" s="414"/>
      <c r="R82" s="419"/>
      <c r="S82" s="419"/>
      <c r="T82" s="405"/>
      <c r="U82" s="408"/>
      <c r="W82" s="171" t="s">
        <v>31</v>
      </c>
      <c r="X82" s="172">
        <f>COUNTIFS('1. All Data'!$AB$3:$AB$133,"Finance &amp; Treasury Management",'1. All Data'!$V$3:$V$133,"Completion Date Within Reasonable Tolerance")</f>
        <v>0</v>
      </c>
      <c r="Y82" s="170">
        <f>X82/X89</f>
        <v>0</v>
      </c>
      <c r="Z82" s="374"/>
      <c r="AA82" s="170">
        <f>X82/X90</f>
        <v>0</v>
      </c>
      <c r="AB82" s="375"/>
      <c r="AC82" s="168"/>
    </row>
    <row r="83" spans="2:29" ht="22.5" customHeight="1">
      <c r="B83" s="214" t="s">
        <v>36</v>
      </c>
      <c r="C83" s="211">
        <f>COUNTIFS('1. All Data'!$AC$3:$AC$133,"Finance, Treasury Management &amp; Communications",'1. All Data'!$H$3:$H$133,"Completed Behind Schedule")</f>
        <v>0</v>
      </c>
      <c r="D83" s="212">
        <f>C83/C89</f>
        <v>0</v>
      </c>
      <c r="E83" s="415">
        <f>D83+D84</f>
        <v>0</v>
      </c>
      <c r="F83" s="213">
        <f>C83/C90</f>
        <v>0</v>
      </c>
      <c r="G83" s="416">
        <f>F83+F84</f>
        <v>0</v>
      </c>
      <c r="I83" s="214" t="s">
        <v>36</v>
      </c>
      <c r="J83" s="211">
        <f>COUNTIFS('1. All Data'!$AC$3:$AC$133,"Finance, Treasury Management &amp; Communications",'1. All Data'!$M$3:$M$133,"Completed Behind Schedule")</f>
        <v>0</v>
      </c>
      <c r="K83" s="212">
        <f>J83/J89</f>
        <v>0</v>
      </c>
      <c r="L83" s="415">
        <f>K83+K84</f>
        <v>0</v>
      </c>
      <c r="M83" s="213">
        <f>J83/J90</f>
        <v>0</v>
      </c>
      <c r="N83" s="416">
        <f>M83+M84</f>
        <v>0</v>
      </c>
      <c r="P83" s="214" t="s">
        <v>36</v>
      </c>
      <c r="Q83" s="211">
        <f>COUNTIFS('1. All Data'!$AC$3:$AC$133,"Finance, Treasury Management &amp; Communications",'1. All Data'!$R$3:$R$133,"Completed Behind Schedule")</f>
        <v>0</v>
      </c>
      <c r="R83" s="212">
        <f>Q83/Q89</f>
        <v>0</v>
      </c>
      <c r="S83" s="415">
        <f>R83+R84</f>
        <v>0.15384615384615385</v>
      </c>
      <c r="T83" s="213">
        <f>Q83/Q90</f>
        <v>0</v>
      </c>
      <c r="U83" s="416">
        <f>T83+T84</f>
        <v>0.16666666666666666</v>
      </c>
      <c r="W83" s="173" t="s">
        <v>30</v>
      </c>
      <c r="X83" s="211">
        <f>COUNTIFS('1. All Data'!$AB$3:$AB$133,"Finance &amp; Treasury Management",'1. All Data'!$V$3:$V$133,"Completed Significantly After Target Deadline")</f>
        <v>0</v>
      </c>
      <c r="Y83" s="212">
        <f>X83/X89</f>
        <v>0</v>
      </c>
      <c r="Z83" s="415">
        <f>Y83+Y84</f>
        <v>0.18181818181818182</v>
      </c>
      <c r="AA83" s="170">
        <f>X83/X90</f>
        <v>0</v>
      </c>
      <c r="AB83" s="376">
        <f>AA83+AA84</f>
        <v>0.18181818181818182</v>
      </c>
      <c r="AC83" s="168"/>
    </row>
    <row r="84" spans="2:29" ht="22.5" customHeight="1">
      <c r="B84" s="214" t="s">
        <v>29</v>
      </c>
      <c r="C84" s="211">
        <f>COUNTIFS('1. All Data'!$AC$3:$AC$133,"Finance, Treasury Management &amp; Communications",'1. All Data'!$H$3:$H$133,"Off Target")</f>
        <v>0</v>
      </c>
      <c r="D84" s="212">
        <f>C84/C89</f>
        <v>0</v>
      </c>
      <c r="E84" s="415"/>
      <c r="F84" s="213">
        <f>C84/C90</f>
        <v>0</v>
      </c>
      <c r="G84" s="416"/>
      <c r="I84" s="214" t="s">
        <v>29</v>
      </c>
      <c r="J84" s="211">
        <f>COUNTIFS('1. All Data'!$AC$3:$AC$133,"Finance, Treasury Management &amp; Communications",'1. All Data'!$M$3:$M$133,"Off Target")</f>
        <v>0</v>
      </c>
      <c r="K84" s="212">
        <f>J84/J89</f>
        <v>0</v>
      </c>
      <c r="L84" s="415"/>
      <c r="M84" s="213">
        <f>J84/J90</f>
        <v>0</v>
      </c>
      <c r="N84" s="416"/>
      <c r="P84" s="214" t="s">
        <v>29</v>
      </c>
      <c r="Q84" s="211">
        <f>COUNTIFS('1. All Data'!$AC$3:$AC$133,"Finance, Treasury Management &amp; Communications",'1. All Data'!$R$3:$R$133,"Off Target")</f>
        <v>2</v>
      </c>
      <c r="R84" s="212">
        <f>Q84/Q89</f>
        <v>0.15384615384615385</v>
      </c>
      <c r="S84" s="415"/>
      <c r="T84" s="213">
        <f>Q84/Q90</f>
        <v>0.16666666666666666</v>
      </c>
      <c r="U84" s="416"/>
      <c r="W84" s="173" t="s">
        <v>29</v>
      </c>
      <c r="X84" s="211">
        <f>COUNTIFS('1. All Data'!$AB$3:$AB$133,"Finance &amp; Treasury Management",'1. All Data'!$V$3:$V$133,"Off Target")</f>
        <v>2</v>
      </c>
      <c r="Y84" s="212">
        <f>X84/X89</f>
        <v>0.18181818181818182</v>
      </c>
      <c r="Z84" s="415"/>
      <c r="AA84" s="170">
        <f>X84/X90</f>
        <v>0.18181818181818182</v>
      </c>
      <c r="AB84" s="376"/>
      <c r="AC84" s="168"/>
    </row>
    <row r="85" spans="2:29" ht="15.75" customHeight="1">
      <c r="B85" s="215" t="s">
        <v>51</v>
      </c>
      <c r="C85" s="211">
        <f>COUNTIFS('1. All Data'!$AC$3:$AC$133,"Finance, Treasury Management &amp; Communications",'1. All Data'!$H$3:$H$133,"Not yet due")</f>
        <v>6</v>
      </c>
      <c r="D85" s="216">
        <f>C85/C89</f>
        <v>0.46153846153846156</v>
      </c>
      <c r="E85" s="216">
        <f>D85</f>
        <v>0.46153846153846156</v>
      </c>
      <c r="F85" s="217"/>
      <c r="G85" s="59"/>
      <c r="I85" s="215" t="s">
        <v>51</v>
      </c>
      <c r="J85" s="211">
        <f>COUNTIFS('1. All Data'!$AC$3:$AC$133,"Finance, Treasury Management &amp; Communications",'1. All Data'!$M$3:$M$133,"Not yet due")</f>
        <v>3</v>
      </c>
      <c r="K85" s="216">
        <f>J85/J89</f>
        <v>0.23076923076923078</v>
      </c>
      <c r="L85" s="216">
        <f>K85</f>
        <v>0.23076923076923078</v>
      </c>
      <c r="M85" s="217"/>
      <c r="N85" s="59"/>
      <c r="P85" s="215" t="s">
        <v>51</v>
      </c>
      <c r="Q85" s="211">
        <f>COUNTIFS('1. All Data'!$AC$3:$AC$133,"Finance, Treasury Management &amp; Communications",'1. All Data'!$R$3:$R$133,"Not yet due")</f>
        <v>0</v>
      </c>
      <c r="R85" s="216">
        <f>Q85/Q89</f>
        <v>0</v>
      </c>
      <c r="S85" s="216">
        <f>R85</f>
        <v>0</v>
      </c>
      <c r="T85" s="217"/>
      <c r="U85" s="59"/>
      <c r="W85" s="174" t="s">
        <v>51</v>
      </c>
      <c r="X85" s="211">
        <f>COUNTIFS('1. All Data'!$AB$3:$AB$133,"Finance &amp; Treasury Management",'1. All Data'!$V$3:$V$133,"Not yet due")</f>
        <v>0</v>
      </c>
      <c r="Y85" s="216">
        <f>X85/X89</f>
        <v>0</v>
      </c>
      <c r="Z85" s="216">
        <f>Y85</f>
        <v>0</v>
      </c>
      <c r="AA85" s="176"/>
      <c r="AB85" s="59"/>
      <c r="AC85" s="168"/>
    </row>
    <row r="86" spans="2:29" ht="15.75" customHeight="1">
      <c r="B86" s="215" t="s">
        <v>24</v>
      </c>
      <c r="C86" s="211">
        <f>COUNTIFS('1. All Data'!$AC$3:$AC$133,"Finance, Treasury Management &amp; Communications",'1. All Data'!$H$3:$H$133,"Update not provided")</f>
        <v>0</v>
      </c>
      <c r="D86" s="216">
        <f>C86/C89</f>
        <v>0</v>
      </c>
      <c r="E86" s="216">
        <f>D86</f>
        <v>0</v>
      </c>
      <c r="F86" s="217"/>
      <c r="G86" s="2"/>
      <c r="I86" s="215" t="s">
        <v>24</v>
      </c>
      <c r="J86" s="211">
        <f>COUNTIFS('1. All Data'!$AC$3:$AC$133,"Finance, Treasury Management &amp; Communications",'1. All Data'!$M$3:$M$133,"Update not provided")</f>
        <v>0</v>
      </c>
      <c r="K86" s="216">
        <f>J86/J89</f>
        <v>0</v>
      </c>
      <c r="L86" s="216">
        <f>K86</f>
        <v>0</v>
      </c>
      <c r="M86" s="217"/>
      <c r="N86" s="2"/>
      <c r="P86" s="215" t="s">
        <v>24</v>
      </c>
      <c r="Q86" s="211">
        <f>COUNTIFS('1. All Data'!$AC$3:$AC$133,"Finance, Treasury Management &amp; Communications",'1. All Data'!$R$3:$R$133,"Update not provided")</f>
        <v>0</v>
      </c>
      <c r="R86" s="216">
        <f>Q86/Q89</f>
        <v>0</v>
      </c>
      <c r="S86" s="216">
        <f>R86</f>
        <v>0</v>
      </c>
      <c r="T86" s="217"/>
      <c r="U86" s="2"/>
      <c r="W86" s="174" t="s">
        <v>24</v>
      </c>
      <c r="X86" s="211">
        <f>COUNTIFS('1. All Data'!$AB$3:$AB$133,"Finance &amp; Treasury Management",'1. All Data'!$V$3:$V$133,"Update not provided")</f>
        <v>0</v>
      </c>
      <c r="Y86" s="216">
        <f>X86/X89</f>
        <v>0</v>
      </c>
      <c r="Z86" s="216">
        <f>Y86</f>
        <v>0</v>
      </c>
      <c r="AA86" s="176"/>
      <c r="AB86" s="2"/>
      <c r="AC86" s="168"/>
    </row>
    <row r="87" spans="2:29" ht="15.75" customHeight="1">
      <c r="B87" s="218" t="s">
        <v>32</v>
      </c>
      <c r="C87" s="211">
        <f>COUNTIFS('1. All Data'!$AC$3:$AC$133,"Finance, Treasury Management &amp; Communications",'1. All Data'!$H$3:$H$133,"Deferred")</f>
        <v>0</v>
      </c>
      <c r="D87" s="219">
        <f>C87/C89</f>
        <v>0</v>
      </c>
      <c r="E87" s="219">
        <f>D87</f>
        <v>0</v>
      </c>
      <c r="F87" s="220"/>
      <c r="G87" s="59"/>
      <c r="I87" s="218" t="s">
        <v>32</v>
      </c>
      <c r="J87" s="211">
        <f>COUNTIFS('1. All Data'!$AC$3:$AC$133,"Finance, Treasury Management &amp; Communications",'1. All Data'!$M$3:$M$133,"Deferred")</f>
        <v>0</v>
      </c>
      <c r="K87" s="219">
        <f>J87/J89</f>
        <v>0</v>
      </c>
      <c r="L87" s="219">
        <f>K87</f>
        <v>0</v>
      </c>
      <c r="M87" s="220"/>
      <c r="N87" s="59"/>
      <c r="P87" s="218" t="s">
        <v>32</v>
      </c>
      <c r="Q87" s="211">
        <f>COUNTIFS('1. All Data'!$AC$3:$AC$133,"Finance, Treasury Management &amp; Communications",'1. All Data'!$R$3:$R$133,"Deferred")</f>
        <v>1</v>
      </c>
      <c r="R87" s="219">
        <f>Q87/Q89</f>
        <v>7.6923076923076927E-2</v>
      </c>
      <c r="S87" s="219">
        <f>R87</f>
        <v>7.6923076923076927E-2</v>
      </c>
      <c r="T87" s="220"/>
      <c r="U87" s="59"/>
      <c r="W87" s="177" t="s">
        <v>32</v>
      </c>
      <c r="X87" s="211">
        <f>COUNTIFS('1. All Data'!$AB$3:$AB$133,"Finance &amp; Treasury Management",'1. All Data'!$V$3:$V$133,"Deferred")</f>
        <v>0</v>
      </c>
      <c r="Y87" s="219">
        <f>X87/X89</f>
        <v>0</v>
      </c>
      <c r="Z87" s="219">
        <f>Y87</f>
        <v>0</v>
      </c>
      <c r="AA87" s="179"/>
      <c r="AB87" s="59"/>
      <c r="AC87" s="168"/>
    </row>
    <row r="88" spans="2:29" ht="15.75" customHeight="1">
      <c r="B88" s="218" t="s">
        <v>33</v>
      </c>
      <c r="C88" s="211">
        <f>COUNTIFS('1. All Data'!$AC$3:$AC$133,"Finance, Treasury Management &amp; Communications",'1. All Data'!$H$3:$H$133,"Deleted")</f>
        <v>0</v>
      </c>
      <c r="D88" s="219">
        <f>C88/C89</f>
        <v>0</v>
      </c>
      <c r="E88" s="219">
        <f>D88</f>
        <v>0</v>
      </c>
      <c r="F88" s="220"/>
      <c r="G88" s="30"/>
      <c r="I88" s="218" t="s">
        <v>33</v>
      </c>
      <c r="J88" s="211">
        <f>COUNTIFS('1. All Data'!$AC$3:$AC$133,"Finance, Treasury Management &amp; Communications",'1. All Data'!$M$3:$M$133,"Deleted")</f>
        <v>0</v>
      </c>
      <c r="K88" s="219">
        <f>J88/J89</f>
        <v>0</v>
      </c>
      <c r="L88" s="219">
        <f>K88</f>
        <v>0</v>
      </c>
      <c r="M88" s="220"/>
      <c r="N88" s="30"/>
      <c r="P88" s="218" t="s">
        <v>33</v>
      </c>
      <c r="Q88" s="211">
        <f>COUNTIFS('1. All Data'!$AC$3:$AC$133,"Finance, Treasury Management &amp; Communications",'1. All Data'!$R$3:$R$133,"Deleted")</f>
        <v>0</v>
      </c>
      <c r="R88" s="219">
        <f>Q88/Q89</f>
        <v>0</v>
      </c>
      <c r="S88" s="219">
        <f>R88</f>
        <v>0</v>
      </c>
      <c r="T88" s="220"/>
      <c r="U88" s="30"/>
      <c r="W88" s="177" t="s">
        <v>33</v>
      </c>
      <c r="X88" s="211">
        <f>COUNTIFS('1. All Data'!$AB$3:$AB$133,"Finance &amp; Treasury Management",'1. All Data'!$V$3:$V$133,"Deleted")</f>
        <v>0</v>
      </c>
      <c r="Y88" s="219">
        <f>X88/X89</f>
        <v>0</v>
      </c>
      <c r="Z88" s="219">
        <f>Y88</f>
        <v>0</v>
      </c>
      <c r="AA88" s="179"/>
      <c r="AB88" s="3"/>
      <c r="AC88" s="168"/>
    </row>
    <row r="89" spans="2:29" ht="15.75" customHeight="1">
      <c r="B89" s="221" t="s">
        <v>53</v>
      </c>
      <c r="C89" s="222">
        <f>SUM(C78:C88)</f>
        <v>13</v>
      </c>
      <c r="D89" s="179"/>
      <c r="E89" s="179"/>
      <c r="F89" s="223"/>
      <c r="G89" s="59"/>
      <c r="I89" s="221" t="s">
        <v>53</v>
      </c>
      <c r="J89" s="222">
        <f>SUM(J78:J88)</f>
        <v>13</v>
      </c>
      <c r="K89" s="179"/>
      <c r="L89" s="179"/>
      <c r="M89" s="223"/>
      <c r="N89" s="59"/>
      <c r="P89" s="221" t="s">
        <v>53</v>
      </c>
      <c r="Q89" s="222">
        <f>SUM(Q78:Q88)</f>
        <v>13</v>
      </c>
      <c r="R89" s="179"/>
      <c r="S89" s="179"/>
      <c r="T89" s="223"/>
      <c r="U89" s="59"/>
      <c r="W89" s="180" t="s">
        <v>53</v>
      </c>
      <c r="X89" s="222">
        <f>SUM(X78:X88)</f>
        <v>11</v>
      </c>
      <c r="Y89" s="179"/>
      <c r="Z89" s="179"/>
      <c r="AA89" s="59"/>
      <c r="AB89" s="59"/>
      <c r="AC89" s="168"/>
    </row>
    <row r="90" spans="2:29" ht="15.75" customHeight="1">
      <c r="B90" s="221" t="s">
        <v>54</v>
      </c>
      <c r="C90" s="222">
        <f>C89-C88-C87-C86-C85</f>
        <v>7</v>
      </c>
      <c r="D90" s="59"/>
      <c r="E90" s="59"/>
      <c r="F90" s="223"/>
      <c r="G90" s="59"/>
      <c r="I90" s="221" t="s">
        <v>54</v>
      </c>
      <c r="J90" s="222">
        <f>J89-J88-J87-J86-J85</f>
        <v>10</v>
      </c>
      <c r="K90" s="59"/>
      <c r="L90" s="59"/>
      <c r="M90" s="223"/>
      <c r="N90" s="59"/>
      <c r="P90" s="221" t="s">
        <v>54</v>
      </c>
      <c r="Q90" s="222">
        <f>Q89-Q88-Q87-Q86-Q85</f>
        <v>12</v>
      </c>
      <c r="R90" s="59"/>
      <c r="S90" s="59"/>
      <c r="T90" s="223"/>
      <c r="U90" s="59"/>
      <c r="W90" s="180" t="s">
        <v>54</v>
      </c>
      <c r="X90" s="222">
        <f>X89-X88-X87-X86-X85</f>
        <v>11</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ht="15.6">
      <c r="W94" s="228" t="s">
        <v>809</v>
      </c>
      <c r="X94" s="207"/>
      <c r="Y94" s="207"/>
      <c r="Z94" s="207"/>
      <c r="AA94" s="208"/>
      <c r="AB94" s="207"/>
      <c r="AC94" s="168"/>
    </row>
    <row r="95" spans="2:29" ht="31.2">
      <c r="W95" s="166" t="s">
        <v>44</v>
      </c>
      <c r="X95" s="166" t="s">
        <v>45</v>
      </c>
      <c r="Y95" s="166" t="s">
        <v>46</v>
      </c>
      <c r="Z95" s="166" t="s">
        <v>47</v>
      </c>
      <c r="AA95" s="166" t="s">
        <v>48</v>
      </c>
      <c r="AB95" s="166" t="s">
        <v>49</v>
      </c>
      <c r="AC95" s="168"/>
    </row>
    <row r="96" spans="2:29" ht="15.6">
      <c r="W96" s="233" t="s">
        <v>50</v>
      </c>
      <c r="X96" s="211">
        <f>COUNTIFS('1. All Data'!$AB$3:$AB$133,"Regeneration, Business Support &amp; Marketing ",'1. All Data'!$V$3:$V$133,"Fully Achieved")</f>
        <v>13</v>
      </c>
      <c r="Y96" s="338">
        <f>X96/X107</f>
        <v>0.8125</v>
      </c>
      <c r="Z96" s="415">
        <f>Y96+Y97</f>
        <v>0.8125</v>
      </c>
      <c r="AA96" s="338">
        <f>X96/X108</f>
        <v>0.8666666666666667</v>
      </c>
      <c r="AB96" s="389">
        <f>AA96+AA97</f>
        <v>0.8666666666666667</v>
      </c>
      <c r="AC96" s="168"/>
    </row>
    <row r="97" spans="23:29" ht="15.6">
      <c r="W97" s="233" t="s">
        <v>26</v>
      </c>
      <c r="X97" s="211">
        <f>COUNTIFS('1. All Data'!$AB$3:$AB$133,"Regeneration, Business Support &amp; Marketing ",'1. All Data'!$V$3:$V$133,"Numerical Outturn Within 5% Tolerance")</f>
        <v>0</v>
      </c>
      <c r="Y97" s="338">
        <f>X97/X107</f>
        <v>0</v>
      </c>
      <c r="Z97" s="415"/>
      <c r="AA97" s="338">
        <f>X97/X108</f>
        <v>0</v>
      </c>
      <c r="AB97" s="389"/>
      <c r="AC97" s="168"/>
    </row>
    <row r="98" spans="23:29" ht="15.6">
      <c r="W98" s="171" t="s">
        <v>27</v>
      </c>
      <c r="X98" s="172">
        <f>COUNTIFS('1. All Data'!$AB$3:$AB$133,"Regeneration, Business Support &amp; Marketing ",'1. All Data'!$V$3:$V$133,"Numerical Outturn Within 10% Tolerance")</f>
        <v>0</v>
      </c>
      <c r="Y98" s="337">
        <f>X98/X107</f>
        <v>0</v>
      </c>
      <c r="Z98" s="374">
        <f>SUM(Y98:Y100)</f>
        <v>0</v>
      </c>
      <c r="AA98" s="337">
        <f>X98/X108</f>
        <v>0</v>
      </c>
      <c r="AB98" s="375">
        <f>SUM(AA98:AA100)</f>
        <v>0</v>
      </c>
      <c r="AC98" s="168"/>
    </row>
    <row r="99" spans="23:29" ht="15.6">
      <c r="W99" s="171" t="s">
        <v>28</v>
      </c>
      <c r="X99" s="172">
        <f>COUNTIFS('1. All Data'!$AB$3:$AB$133,"Regeneration, Business Support &amp; Marketing ",'1. All Data'!$V$3:$V$133,"Target Partially Met")</f>
        <v>0</v>
      </c>
      <c r="Y99" s="337">
        <f>X99/X107</f>
        <v>0</v>
      </c>
      <c r="Z99" s="374"/>
      <c r="AA99" s="337">
        <f>X99/X108</f>
        <v>0</v>
      </c>
      <c r="AB99" s="375"/>
      <c r="AC99" s="168"/>
    </row>
    <row r="100" spans="23:29" ht="15.6">
      <c r="W100" s="171" t="s">
        <v>31</v>
      </c>
      <c r="X100" s="172">
        <f>COUNTIFS('1. All Data'!$AB$3:$AB$133,"Regeneration, Business Support &amp; Marketing ",'1. All Data'!$V$3:$V$133,"Completion Date Within Reasonable Tolerance")</f>
        <v>0</v>
      </c>
      <c r="Y100" s="337">
        <f>X100/X107</f>
        <v>0</v>
      </c>
      <c r="Z100" s="374"/>
      <c r="AA100" s="337">
        <f>X100/X108</f>
        <v>0</v>
      </c>
      <c r="AB100" s="375"/>
      <c r="AC100" s="168"/>
    </row>
    <row r="101" spans="23:29" ht="15.6">
      <c r="W101" s="173" t="s">
        <v>30</v>
      </c>
      <c r="X101" s="211">
        <f>COUNTIFS('1. All Data'!$AB$3:$AB$133,"Regeneration, Business Support &amp; Marketing ",'1. All Data'!$V$3:$V$133,"Completed Significantly After Target Deadline")</f>
        <v>0</v>
      </c>
      <c r="Y101" s="338">
        <f>X101/X107</f>
        <v>0</v>
      </c>
      <c r="Z101" s="415">
        <f>Y101+Y102</f>
        <v>0.125</v>
      </c>
      <c r="AA101" s="337">
        <f>X101/X108</f>
        <v>0</v>
      </c>
      <c r="AB101" s="376">
        <f>AA101+AA102</f>
        <v>0.13333333333333333</v>
      </c>
      <c r="AC101" s="168"/>
    </row>
    <row r="102" spans="23:29" ht="15.6">
      <c r="W102" s="173" t="s">
        <v>29</v>
      </c>
      <c r="X102" s="211">
        <f>COUNTIFS('1. All Data'!$AB$3:$AB$133,"Regeneration, Business Support &amp; Marketing ",'1. All Data'!$V$3:$V$133,"Off Target")</f>
        <v>2</v>
      </c>
      <c r="Y102" s="338">
        <f>X102/X107</f>
        <v>0.125</v>
      </c>
      <c r="Z102" s="415"/>
      <c r="AA102" s="337">
        <f>X102/X108</f>
        <v>0.13333333333333333</v>
      </c>
      <c r="AB102" s="376"/>
      <c r="AC102" s="168"/>
    </row>
    <row r="103" spans="23:29" ht="15.6">
      <c r="W103" s="174" t="s">
        <v>51</v>
      </c>
      <c r="X103" s="211">
        <f>COUNTIFS('1. All Data'!$AB$3:$AB$133,"Regeneration, Business Support &amp; Marketing ",'1. All Data'!$V$3:$V$133,"Not yet due")</f>
        <v>0</v>
      </c>
      <c r="Y103" s="216">
        <f>X103/X107</f>
        <v>0</v>
      </c>
      <c r="Z103" s="216">
        <f>Y103</f>
        <v>0</v>
      </c>
      <c r="AA103" s="176"/>
      <c r="AB103" s="59"/>
      <c r="AC103" s="168"/>
    </row>
    <row r="104" spans="23:29" ht="15.6">
      <c r="W104" s="174" t="s">
        <v>24</v>
      </c>
      <c r="X104" s="211">
        <f>COUNTIFS('1. All Data'!$AB$3:$AB$133,"Regeneration, Business Support &amp; Marketing ",'1. All Data'!$V$3:$V$133,"Update not provided")</f>
        <v>0</v>
      </c>
      <c r="Y104" s="216">
        <f>X104/X107</f>
        <v>0</v>
      </c>
      <c r="Z104" s="216">
        <f>Y104</f>
        <v>0</v>
      </c>
      <c r="AA104" s="176"/>
      <c r="AB104" s="2"/>
      <c r="AC104" s="168"/>
    </row>
    <row r="105" spans="23:29" ht="15.6">
      <c r="W105" s="177" t="s">
        <v>32</v>
      </c>
      <c r="X105" s="211">
        <f>COUNTIFS('1. All Data'!$AB$3:$AB$133,"Regeneration, Business Support &amp; Marketing ",'1. All Data'!$V$3:$V$133,"Deferred")</f>
        <v>1</v>
      </c>
      <c r="Y105" s="219">
        <f>X105/X107</f>
        <v>6.25E-2</v>
      </c>
      <c r="Z105" s="219">
        <f>Y105</f>
        <v>6.25E-2</v>
      </c>
      <c r="AA105" s="179"/>
      <c r="AB105" s="59"/>
      <c r="AC105" s="168"/>
    </row>
    <row r="106" spans="23:29" ht="15.6">
      <c r="W106" s="177" t="s">
        <v>33</v>
      </c>
      <c r="X106" s="211">
        <f>COUNTIFS('1. All Data'!$AB$3:$AB$133,"Regeneration, Business Support &amp; Marketing ",'1. All Data'!$V$3:$V$133,"Deleted")</f>
        <v>0</v>
      </c>
      <c r="Y106" s="219">
        <f>X106/X107</f>
        <v>0</v>
      </c>
      <c r="Z106" s="219">
        <f>Y106</f>
        <v>0</v>
      </c>
      <c r="AA106" s="179"/>
      <c r="AB106" s="3"/>
      <c r="AC106" s="168"/>
    </row>
    <row r="107" spans="23:29" ht="15.6">
      <c r="W107" s="180" t="s">
        <v>53</v>
      </c>
      <c r="X107" s="222">
        <f>SUM(X96:X106)</f>
        <v>16</v>
      </c>
      <c r="Y107" s="179"/>
      <c r="Z107" s="179"/>
      <c r="AA107" s="59"/>
      <c r="AB107" s="59"/>
      <c r="AC107" s="168"/>
    </row>
    <row r="108" spans="23:29" ht="15.6">
      <c r="W108" s="180" t="s">
        <v>54</v>
      </c>
      <c r="X108" s="222">
        <f>X107-X106-X105-X104-X103</f>
        <v>15</v>
      </c>
      <c r="Y108" s="59"/>
      <c r="Z108" s="59"/>
      <c r="AA108" s="59"/>
      <c r="AB108" s="5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AAZ2k8CgcYMARHZjOYJcDeEQ094UbdywRUF98Sd6G0SmrBU5y7eESUvOSwuEh8G14gjttL2jD5IA8aQQgA3biA==" saltValue="7V6hnR1sQk2H4NSJdEcv5Q==" spinCount="100000" sheet="1" objects="1" scenarios="1"/>
  <mergeCells count="186">
    <mergeCell ref="Z96:Z97"/>
    <mergeCell ref="AB96:AB97"/>
    <mergeCell ref="Z98:Z100"/>
    <mergeCell ref="AB98:AB100"/>
    <mergeCell ref="Z101:Z102"/>
    <mergeCell ref="AB101:AB102"/>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70</v>
      </c>
      <c r="K1" s="421" t="s">
        <v>59</v>
      </c>
      <c r="L1" s="422"/>
      <c r="M1" s="422"/>
      <c r="N1" s="422"/>
      <c r="O1" s="422"/>
      <c r="P1" s="422"/>
      <c r="Q1" s="422"/>
      <c r="R1" s="422"/>
      <c r="S1" s="422"/>
      <c r="T1" s="422"/>
      <c r="U1" s="422"/>
      <c r="V1" s="422"/>
      <c r="W1" s="422"/>
      <c r="X1" s="423"/>
      <c r="AY1" s="74"/>
      <c r="AZ1" s="74"/>
      <c r="BA1" s="74"/>
      <c r="BB1" s="74"/>
      <c r="BC1" s="74"/>
    </row>
    <row r="2" spans="2:56" s="68" customFormat="1" ht="35.4">
      <c r="K2" s="424"/>
      <c r="L2" s="425"/>
      <c r="M2" s="425"/>
      <c r="N2" s="425"/>
      <c r="O2" s="425"/>
      <c r="P2" s="425"/>
      <c r="Q2" s="425"/>
      <c r="R2" s="425"/>
      <c r="S2" s="425"/>
      <c r="T2" s="425"/>
      <c r="U2" s="425"/>
      <c r="V2" s="425"/>
      <c r="W2" s="425"/>
      <c r="X2" s="426"/>
      <c r="AY2" s="74"/>
      <c r="AZ2" s="74"/>
      <c r="BA2" s="74"/>
      <c r="BB2" s="74"/>
      <c r="BC2" s="74"/>
    </row>
    <row r="3" spans="2:56" s="68" customFormat="1" ht="36" thickBot="1">
      <c r="K3" s="427"/>
      <c r="L3" s="428"/>
      <c r="M3" s="428"/>
      <c r="N3" s="428"/>
      <c r="O3" s="428"/>
      <c r="P3" s="428"/>
      <c r="Q3" s="428"/>
      <c r="R3" s="428"/>
      <c r="S3" s="428"/>
      <c r="T3" s="428"/>
      <c r="U3" s="428"/>
      <c r="V3" s="428"/>
      <c r="W3" s="428"/>
      <c r="X3" s="429"/>
      <c r="AY3" s="74"/>
      <c r="AZ3" s="74"/>
      <c r="BA3" s="74"/>
      <c r="BB3" s="74"/>
      <c r="BC3" s="74"/>
    </row>
    <row r="4" spans="2:56" ht="15" thickTop="1">
      <c r="N4" s="71"/>
      <c r="W4" s="71"/>
      <c r="AF4" s="71"/>
      <c r="AO4" s="71"/>
    </row>
    <row r="5" spans="2:56">
      <c r="AY5" s="76" t="s">
        <v>466</v>
      </c>
      <c r="AZ5" s="77"/>
      <c r="BA5" s="77"/>
      <c r="BB5" s="77"/>
      <c r="BC5" s="77"/>
      <c r="BD5" s="70"/>
    </row>
    <row r="6" spans="2:56">
      <c r="AY6" s="78"/>
      <c r="AZ6" s="79" t="s">
        <v>16</v>
      </c>
      <c r="BA6" s="79" t="s">
        <v>17</v>
      </c>
      <c r="BB6" s="79" t="s">
        <v>18</v>
      </c>
      <c r="BC6" s="79" t="s">
        <v>15</v>
      </c>
      <c r="BD6" s="70"/>
    </row>
    <row r="7" spans="2:56">
      <c r="AY7" s="80" t="s">
        <v>61</v>
      </c>
      <c r="AZ7" s="81">
        <f>'3a. % by Portfolio'!G5</f>
        <v>0.92</v>
      </c>
      <c r="BA7" s="81">
        <f>'3a. % by Portfolio'!N5</f>
        <v>0.87096774193548387</v>
      </c>
      <c r="BB7" s="81">
        <f>'3a. % by Portfolio'!U5</f>
        <v>0.90909090909090906</v>
      </c>
      <c r="BC7" s="81">
        <f>'3a. % by Portfolio'!AB5</f>
        <v>0.90909090909090906</v>
      </c>
      <c r="BD7" s="70"/>
    </row>
    <row r="8" spans="2:56">
      <c r="L8" s="72"/>
      <c r="M8" s="72"/>
      <c r="AY8" s="80" t="s">
        <v>62</v>
      </c>
      <c r="AZ8" s="81">
        <f>'3a. % by Portfolio'!G7</f>
        <v>0</v>
      </c>
      <c r="BA8" s="81">
        <f>'3a. % by Portfolio'!N7</f>
        <v>6.4516129032258063E-2</v>
      </c>
      <c r="BB8" s="81">
        <f>'3a. % by Portfolio'!U7</f>
        <v>0</v>
      </c>
      <c r="BC8" s="81">
        <f>'3a. % by Portfolio'!AB7</f>
        <v>4.5454545454545456E-2</v>
      </c>
      <c r="BD8" s="70"/>
    </row>
    <row r="9" spans="2:56">
      <c r="L9" s="72"/>
      <c r="M9" s="72"/>
      <c r="AY9" s="80" t="s">
        <v>63</v>
      </c>
      <c r="AZ9" s="81">
        <f>'3a. % by Portfolio'!G10</f>
        <v>0.08</v>
      </c>
      <c r="BA9" s="81">
        <f>'3a. % by Portfolio'!N10</f>
        <v>6.4516129032258063E-2</v>
      </c>
      <c r="BB9" s="81">
        <f>'3a. % by Portfolio'!U10</f>
        <v>9.0909090909090912E-2</v>
      </c>
      <c r="BC9" s="81">
        <f>'3a. % by Portfolio'!AB10</f>
        <v>4.5454545454545456E-2</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460</v>
      </c>
      <c r="AZ21" s="77"/>
      <c r="BA21" s="77"/>
      <c r="BB21" s="77"/>
      <c r="BC21" s="77"/>
      <c r="BD21" s="70"/>
    </row>
    <row r="22" spans="12:56">
      <c r="AY22" s="78"/>
      <c r="AZ22" s="79" t="s">
        <v>16</v>
      </c>
      <c r="BA22" s="79" t="s">
        <v>17</v>
      </c>
      <c r="BB22" s="79" t="s">
        <v>18</v>
      </c>
      <c r="BC22" s="79" t="s">
        <v>15</v>
      </c>
      <c r="BD22" s="70"/>
    </row>
    <row r="23" spans="12:56">
      <c r="AY23" s="80" t="s">
        <v>61</v>
      </c>
      <c r="AZ23" s="81">
        <f>'3a. % by Portfolio'!G24</f>
        <v>1</v>
      </c>
      <c r="BA23" s="81">
        <f>'3a. % by Portfolio'!N24</f>
        <v>1</v>
      </c>
      <c r="BB23" s="81">
        <f>'3a. % by Portfolio'!U24</f>
        <v>1</v>
      </c>
      <c r="BC23" s="81">
        <f>'3a. % by Portfolio'!AB24</f>
        <v>1</v>
      </c>
      <c r="BD23" s="70"/>
    </row>
    <row r="24" spans="12:56">
      <c r="L24" s="72"/>
      <c r="M24" s="72"/>
      <c r="AY24" s="80" t="s">
        <v>62</v>
      </c>
      <c r="AZ24" s="81">
        <f>'3a. % by Portfolio'!G26</f>
        <v>0</v>
      </c>
      <c r="BA24" s="81">
        <f>'3a. % by Portfolio'!N26</f>
        <v>0</v>
      </c>
      <c r="BB24" s="81">
        <f>'3a. % by Portfolio'!U26</f>
        <v>0</v>
      </c>
      <c r="BC24" s="81">
        <f>'3a. % by Portfolio'!AB26</f>
        <v>0</v>
      </c>
      <c r="BD24" s="70"/>
    </row>
    <row r="25" spans="12:56">
      <c r="L25" s="72"/>
      <c r="M25" s="72"/>
      <c r="AY25" s="80" t="s">
        <v>63</v>
      </c>
      <c r="AZ25" s="81">
        <f>'3a. % by Portfolio'!G29</f>
        <v>0</v>
      </c>
      <c r="BA25" s="81">
        <f>'3a. % by Portfolio'!N29</f>
        <v>0</v>
      </c>
      <c r="BB25" s="81">
        <f>'3a. % by Portfolio'!U29</f>
        <v>0</v>
      </c>
      <c r="BC25" s="81">
        <f>'3a. % by Portfolio'!AB29</f>
        <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459</v>
      </c>
      <c r="AZ37" s="85"/>
      <c r="BA37" s="85"/>
      <c r="BB37" s="85"/>
      <c r="BC37" s="85"/>
      <c r="BD37" s="73"/>
    </row>
    <row r="38" spans="11:56">
      <c r="AY38" s="86"/>
      <c r="AZ38" s="79" t="s">
        <v>16</v>
      </c>
      <c r="BA38" s="79" t="s">
        <v>17</v>
      </c>
      <c r="BB38" s="79" t="s">
        <v>18</v>
      </c>
      <c r="BC38" s="79" t="s">
        <v>15</v>
      </c>
      <c r="BD38" s="73"/>
    </row>
    <row r="39" spans="11:56">
      <c r="AY39" s="80" t="s">
        <v>61</v>
      </c>
      <c r="AZ39" s="81">
        <f>'3a. % by Portfolio'!G42</f>
        <v>1</v>
      </c>
      <c r="BA39" s="81">
        <f>'3a. % by Portfolio'!N42</f>
        <v>1</v>
      </c>
      <c r="BB39" s="81">
        <f>'3a. % by Portfolio'!U42</f>
        <v>1</v>
      </c>
      <c r="BC39" s="81">
        <f>'3a. % by Portfolio'!AB42</f>
        <v>1</v>
      </c>
      <c r="BD39" s="73"/>
    </row>
    <row r="40" spans="11:56">
      <c r="K40" s="72"/>
      <c r="L40" s="72"/>
      <c r="AY40" s="80" t="s">
        <v>62</v>
      </c>
      <c r="AZ40" s="81">
        <f>'3a. % by Portfolio'!G44</f>
        <v>0</v>
      </c>
      <c r="BA40" s="81">
        <f>'3a. % by Portfolio'!N44</f>
        <v>0</v>
      </c>
      <c r="BB40" s="81">
        <f>'3a. % by Portfolio'!U44</f>
        <v>0</v>
      </c>
      <c r="BC40" s="81">
        <f>'3a. % by Portfolio'!AB44</f>
        <v>0</v>
      </c>
      <c r="BD40" s="73"/>
    </row>
    <row r="41" spans="11:56">
      <c r="K41" s="72"/>
      <c r="L41" s="72"/>
      <c r="AY41" s="80" t="s">
        <v>63</v>
      </c>
      <c r="AZ41" s="81">
        <f>'3a. % by Portfolio'!G47</f>
        <v>0</v>
      </c>
      <c r="BA41" s="81">
        <f>'3a. % by Portfolio'!N47</f>
        <v>0</v>
      </c>
      <c r="BB41" s="81">
        <f>'3a. % by Portfolio'!U47</f>
        <v>0</v>
      </c>
      <c r="BC41" s="81">
        <f>'3a. % by Portfolio'!AB47</f>
        <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461</v>
      </c>
      <c r="AZ53" s="85"/>
      <c r="BA53" s="85"/>
      <c r="BB53" s="85"/>
      <c r="BC53" s="85"/>
      <c r="BD53" s="70"/>
    </row>
    <row r="54" spans="12:56">
      <c r="AY54" s="86"/>
      <c r="AZ54" s="79" t="s">
        <v>16</v>
      </c>
      <c r="BA54" s="79" t="s">
        <v>17</v>
      </c>
      <c r="BB54" s="79" t="s">
        <v>18</v>
      </c>
      <c r="BC54" s="79" t="s">
        <v>15</v>
      </c>
      <c r="BD54" s="70"/>
    </row>
    <row r="55" spans="12:56">
      <c r="AY55" s="80" t="s">
        <v>61</v>
      </c>
      <c r="AZ55" s="81">
        <f>'3a. % by Portfolio'!G60</f>
        <v>1</v>
      </c>
      <c r="BA55" s="81">
        <f>'3a. % by Portfolio'!N60</f>
        <v>1</v>
      </c>
      <c r="BB55" s="81">
        <f>'3a. % by Portfolio'!U60</f>
        <v>1</v>
      </c>
      <c r="BC55" s="81">
        <f>'3a. % by Portfolio'!AB60</f>
        <v>0.92307692307692313</v>
      </c>
      <c r="BD55" s="70"/>
    </row>
    <row r="56" spans="12:56">
      <c r="L56" s="72"/>
      <c r="M56" s="72"/>
      <c r="AY56" s="80" t="s">
        <v>62</v>
      </c>
      <c r="AZ56" s="81">
        <f>'3a. % by Portfolio'!G62</f>
        <v>0</v>
      </c>
      <c r="BA56" s="81">
        <f>'3a. % by Portfolio'!N62</f>
        <v>0</v>
      </c>
      <c r="BB56" s="81">
        <f>'3a. % by Portfolio'!U62</f>
        <v>0</v>
      </c>
      <c r="BC56" s="81">
        <f>'3a. % by Portfolio'!AB62</f>
        <v>0</v>
      </c>
      <c r="BD56" s="70"/>
    </row>
    <row r="57" spans="12:56">
      <c r="L57" s="72"/>
      <c r="M57" s="72"/>
      <c r="AY57" s="80" t="s">
        <v>63</v>
      </c>
      <c r="AZ57" s="81">
        <f>'3a. % by Portfolio'!G65</f>
        <v>0</v>
      </c>
      <c r="BA57" s="81">
        <f>'3a. % by Portfolio'!N65</f>
        <v>0</v>
      </c>
      <c r="BB57" s="81">
        <f>'3a. % by Portfolio'!U65</f>
        <v>0</v>
      </c>
      <c r="BC57" s="81">
        <f>'3a. % by Portfolio'!AB65</f>
        <v>7.6923076923076927E-2</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467</v>
      </c>
      <c r="AZ69" s="85"/>
      <c r="BA69" s="85"/>
      <c r="BB69" s="85"/>
      <c r="BC69" s="85"/>
    </row>
    <row r="70" spans="14:56">
      <c r="AY70" s="86"/>
      <c r="AZ70" s="79" t="s">
        <v>16</v>
      </c>
      <c r="BA70" s="79" t="s">
        <v>17</v>
      </c>
      <c r="BB70" s="79" t="s">
        <v>18</v>
      </c>
      <c r="BC70" s="79" t="s">
        <v>15</v>
      </c>
    </row>
    <row r="71" spans="14:56">
      <c r="AY71" s="80" t="s">
        <v>61</v>
      </c>
      <c r="AZ71" s="81">
        <f>'3a. % by Portfolio'!G78</f>
        <v>1</v>
      </c>
      <c r="BA71" s="81">
        <f>'3a. % by Portfolio'!N78</f>
        <v>0.9</v>
      </c>
      <c r="BB71" s="81">
        <f>'3a. % by Portfolio'!U78</f>
        <v>0.83333333333333337</v>
      </c>
      <c r="BC71" s="81">
        <f>'3a. % by Portfolio'!AB78</f>
        <v>0.81818181818181823</v>
      </c>
    </row>
    <row r="72" spans="14:56">
      <c r="AY72" s="80" t="s">
        <v>62</v>
      </c>
      <c r="AZ72" s="81">
        <f>'3a. % by Portfolio'!G80</f>
        <v>0</v>
      </c>
      <c r="BA72" s="81">
        <f>'3a. % by Portfolio'!N80</f>
        <v>0.1</v>
      </c>
      <c r="BB72" s="81">
        <f>'3a. % by Portfolio'!U80</f>
        <v>0</v>
      </c>
      <c r="BC72" s="81">
        <f>'3a. % by Portfolio'!AB80</f>
        <v>0</v>
      </c>
    </row>
    <row r="73" spans="14:56">
      <c r="AY73" s="80" t="s">
        <v>63</v>
      </c>
      <c r="AZ73" s="81">
        <f>'3a. % by Portfolio'!G83</f>
        <v>0</v>
      </c>
      <c r="BA73" s="81">
        <f>'3a. % by Portfolio'!N83</f>
        <v>0</v>
      </c>
      <c r="BB73" s="81">
        <f>'3a. % by Portfolio'!U83</f>
        <v>0.16666666666666666</v>
      </c>
      <c r="BC73" s="81">
        <f>'3a. % by Portfolio'!AB83</f>
        <v>0.18181818181818182</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52</v>
      </c>
      <c r="W116" s="71" t="s">
        <v>52</v>
      </c>
      <c r="AF116" s="71" t="s">
        <v>52</v>
      </c>
      <c r="AO116" s="71" t="s">
        <v>52</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Sean Loughrna</cp:lastModifiedBy>
  <cp:lastPrinted>2022-06-28T17:29:56Z</cp:lastPrinted>
  <dcterms:created xsi:type="dcterms:W3CDTF">2019-02-13T13:28:16Z</dcterms:created>
  <dcterms:modified xsi:type="dcterms:W3CDTF">2023-06-14T16:31:18Z</dcterms:modified>
</cp:coreProperties>
</file>