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omments3.xml" ContentType="application/vnd.openxmlformats-officedocument.spreadsheetml.comments+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201920\Quarter 2\02 LDL\"/>
    </mc:Choice>
  </mc:AlternateContent>
  <bookViews>
    <workbookView xWindow="0" yWindow="0" windowWidth="21600" windowHeight="9735" tabRatio="884" activeTab="1"/>
  </bookViews>
  <sheets>
    <sheet name="Index" sheetId="13" r:id="rId1"/>
    <sheet name="1. All Data" sheetId="1" r:id="rId2"/>
    <sheet name="Q1 Summary" sheetId="9" r:id="rId3"/>
    <sheet name="Q2 Summary" sheetId="14" r:id="rId4"/>
    <sheet name="2a. % By Priority" sheetId="5" r:id="rId5"/>
    <sheet name="2b. Charts by Priority" sheetId="6" r:id="rId6"/>
    <sheet name="3a. % by Portfolio" sheetId="7" r:id="rId7"/>
    <sheet name="3b. Charts by Portfolio" sheetId="8" r:id="rId8"/>
    <sheet name="4. Status Tracking" sheetId="10" r:id="rId9"/>
    <sheet name="Custom Pivot" sheetId="11" r:id="rId10"/>
  </sheets>
  <definedNames>
    <definedName name="_xlnm._FilterDatabase" localSheetId="1" hidden="1">'1. All Data'!$A$2:$AD$111</definedName>
    <definedName name="_Toc382250483" localSheetId="1">'1. All Data'!$B$70</definedName>
    <definedName name="OLE_LINK3" localSheetId="1">'1. All Data'!$D$40</definedName>
    <definedName name="_xlnm.Print_Area" localSheetId="1">'1. All Data'!$B$1:$U$111</definedName>
    <definedName name="_xlnm.Print_Titles" localSheetId="1">'1. All Data'!$2:$2</definedName>
  </definedNames>
  <calcPr calcId="152511"/>
  <pivotCaches>
    <pivotCache cacheId="0" r:id="rId1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5" l="1"/>
  <c r="E8" i="14" s="1"/>
  <c r="J51" i="5"/>
  <c r="J9" i="5"/>
  <c r="E5" i="14" s="1"/>
  <c r="J31" i="5"/>
  <c r="E7" i="14" s="1"/>
  <c r="J29" i="5"/>
  <c r="C9" i="7" l="1"/>
  <c r="C9" i="5"/>
  <c r="C6" i="5"/>
  <c r="J4"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BC73" i="8" s="1"/>
  <c r="AB98" i="7"/>
  <c r="BC72" i="8" s="1"/>
  <c r="AB95" i="7"/>
  <c r="BC71" i="8" s="1"/>
  <c r="AB80" i="7"/>
  <c r="BC57" i="8" s="1"/>
  <c r="AB76" i="7"/>
  <c r="BC56" i="8" s="1"/>
  <c r="AB73" i="7"/>
  <c r="BC55" i="8" s="1"/>
  <c r="AB58" i="7"/>
  <c r="BC41" i="8" s="1"/>
  <c r="AB54" i="7"/>
  <c r="BC40" i="8" s="1"/>
  <c r="AB51" i="7"/>
  <c r="BC39" i="8" s="1"/>
  <c r="AB36" i="7"/>
  <c r="BC25" i="8" s="1"/>
  <c r="AB32" i="7"/>
  <c r="BC24" i="8" s="1"/>
  <c r="AB29" i="7"/>
  <c r="BC23" i="8" s="1"/>
  <c r="AB13" i="7"/>
  <c r="BC9" i="8" s="1"/>
  <c r="AB9" i="7"/>
  <c r="BC8" i="8" s="1"/>
  <c r="AB6" i="7"/>
  <c r="BC7" i="8" s="1"/>
  <c r="Q108" i="7"/>
  <c r="Q107" i="7"/>
  <c r="Q106" i="7"/>
  <c r="Q105" i="7"/>
  <c r="Q103" i="7"/>
  <c r="Q102" i="7"/>
  <c r="Q98" i="7"/>
  <c r="Q96" i="7"/>
  <c r="Q95" i="7"/>
  <c r="Q86" i="7"/>
  <c r="Q85" i="7"/>
  <c r="Q84" i="7"/>
  <c r="Q83" i="7"/>
  <c r="Q81" i="7"/>
  <c r="Q80" i="7"/>
  <c r="Q76" i="7"/>
  <c r="Q74" i="7"/>
  <c r="Q73" i="7"/>
  <c r="Q64" i="7"/>
  <c r="Q63" i="7"/>
  <c r="Q62" i="7"/>
  <c r="Q61" i="7"/>
  <c r="Q59" i="7"/>
  <c r="Q58" i="7"/>
  <c r="Q54" i="7"/>
  <c r="Q52" i="7"/>
  <c r="Q51" i="7"/>
  <c r="Q42" i="7"/>
  <c r="Q41" i="7"/>
  <c r="Q40" i="7"/>
  <c r="Q39" i="7"/>
  <c r="Q37" i="7"/>
  <c r="Q36" i="7"/>
  <c r="Q32" i="7"/>
  <c r="Q30" i="7"/>
  <c r="Q29" i="7"/>
  <c r="Q19" i="7"/>
  <c r="Q18" i="7"/>
  <c r="Q17" i="7"/>
  <c r="Q16" i="7"/>
  <c r="Q14" i="7"/>
  <c r="Q13" i="7"/>
  <c r="Q9" i="7"/>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C11" i="14" l="1"/>
  <c r="G13" i="14"/>
  <c r="C15" i="14"/>
  <c r="G14" i="14"/>
  <c r="G12" i="14"/>
  <c r="G11" i="14"/>
  <c r="C12" i="14"/>
  <c r="C14" i="14"/>
  <c r="G15" i="14"/>
  <c r="G14" i="9"/>
  <c r="C109" i="7"/>
  <c r="C110" i="7" s="1"/>
  <c r="F102" i="7" s="1"/>
  <c r="J43" i="7"/>
  <c r="K36" i="7" s="1"/>
  <c r="Q109" i="7"/>
  <c r="R103" i="7" s="1"/>
  <c r="Q87" i="7"/>
  <c r="R86" i="7" s="1"/>
  <c r="S86" i="7" s="1"/>
  <c r="Q43" i="7"/>
  <c r="R40" i="7" s="1"/>
  <c r="S40" i="7" s="1"/>
  <c r="Q20" i="7"/>
  <c r="Q21" i="7" s="1"/>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E9" i="14" s="1"/>
  <c r="J72" i="5"/>
  <c r="J14" i="5"/>
  <c r="J13" i="5"/>
  <c r="G5" i="14" l="1"/>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R9" i="7"/>
  <c r="S9"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L6" i="7" s="1"/>
  <c r="J21" i="7"/>
  <c r="M7" i="7" s="1"/>
  <c r="K13" i="7"/>
  <c r="R84" i="7"/>
  <c r="S84" i="7" s="1"/>
  <c r="R73" i="7"/>
  <c r="R85" i="7"/>
  <c r="S85" i="7" s="1"/>
  <c r="R80" i="7"/>
  <c r="R81" i="7"/>
  <c r="R74" i="7"/>
  <c r="S73" i="7" s="1"/>
  <c r="Q88" i="7"/>
  <c r="T80" i="7" s="1"/>
  <c r="T7" i="7"/>
  <c r="T13" i="7"/>
  <c r="T9" i="7"/>
  <c r="U9" i="7" s="1"/>
  <c r="BB8" i="8" s="1"/>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AZ9" i="8" s="1"/>
  <c r="D73" i="7"/>
  <c r="F9" i="7"/>
  <c r="G9" i="7" s="1"/>
  <c r="AZ8" i="8" s="1"/>
  <c r="F59" i="7"/>
  <c r="F51" i="7"/>
  <c r="F54" i="7"/>
  <c r="G54" i="7" s="1"/>
  <c r="F98" i="7"/>
  <c r="G98" i="7" s="1"/>
  <c r="F95" i="7"/>
  <c r="F7" i="7"/>
  <c r="F6" i="7"/>
  <c r="D7" i="7"/>
  <c r="AB79" i="5"/>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G9" i="14" l="1"/>
  <c r="G7" i="14"/>
  <c r="G8" i="14"/>
  <c r="C5" i="14"/>
  <c r="J20" i="5"/>
  <c r="K9" i="5" s="1"/>
  <c r="U6" i="7"/>
  <c r="BB7" i="8" s="1"/>
  <c r="C20" i="5"/>
  <c r="D6" i="5" s="1"/>
  <c r="T103" i="7"/>
  <c r="M96" i="7"/>
  <c r="E95" i="7"/>
  <c r="L95" i="7"/>
  <c r="E102" i="7"/>
  <c r="T36" i="7"/>
  <c r="H15" i="9"/>
  <c r="AZ73" i="8"/>
  <c r="F15" i="9"/>
  <c r="AZ72" i="8"/>
  <c r="S36" i="7"/>
  <c r="T37" i="7"/>
  <c r="T29" i="7"/>
  <c r="U29" i="7" s="1"/>
  <c r="BB23" i="8" s="1"/>
  <c r="T32" i="7"/>
  <c r="U32" i="7" s="1"/>
  <c r="BB24" i="8" s="1"/>
  <c r="S29" i="7"/>
  <c r="S51" i="7"/>
  <c r="G95" i="7"/>
  <c r="G51" i="7"/>
  <c r="AZ39" i="8" s="1"/>
  <c r="M76" i="7"/>
  <c r="N76" i="7" s="1"/>
  <c r="G58" i="7"/>
  <c r="H13" i="9" s="1"/>
  <c r="M80" i="7"/>
  <c r="E36" i="7"/>
  <c r="M98" i="7"/>
  <c r="N98" i="7" s="1"/>
  <c r="M102" i="7"/>
  <c r="N102" i="7" s="1"/>
  <c r="E80" i="7"/>
  <c r="E51" i="7"/>
  <c r="E58" i="7"/>
  <c r="L29" i="7"/>
  <c r="S6" i="7"/>
  <c r="M95" i="7"/>
  <c r="T95" i="7"/>
  <c r="U95" i="7" s="1"/>
  <c r="BB71" i="8" s="1"/>
  <c r="S95" i="7"/>
  <c r="L102" i="7"/>
  <c r="S13" i="7"/>
  <c r="G6" i="7"/>
  <c r="AZ7" i="8" s="1"/>
  <c r="F32" i="7"/>
  <c r="G32" i="7" s="1"/>
  <c r="F30" i="7"/>
  <c r="F29" i="7"/>
  <c r="M14" i="7"/>
  <c r="T102" i="7"/>
  <c r="M36" i="7"/>
  <c r="M81" i="7"/>
  <c r="F36" i="7"/>
  <c r="G36" i="7" s="1"/>
  <c r="E73" i="7"/>
  <c r="M32" i="7"/>
  <c r="N32" i="7" s="1"/>
  <c r="M29" i="7"/>
  <c r="N29" i="7" s="1"/>
  <c r="M37" i="7"/>
  <c r="T98" i="7"/>
  <c r="U98" i="7" s="1"/>
  <c r="BB72" i="8" s="1"/>
  <c r="F13" i="9"/>
  <c r="AZ40" i="8"/>
  <c r="C7" i="9"/>
  <c r="L73" i="7"/>
  <c r="M74" i="7"/>
  <c r="N73" i="7" s="1"/>
  <c r="M9" i="7"/>
  <c r="N9" i="7" s="1"/>
  <c r="M6" i="7"/>
  <c r="N6" i="7" s="1"/>
  <c r="L13" i="7"/>
  <c r="L58" i="7"/>
  <c r="M13" i="7"/>
  <c r="T76" i="7"/>
  <c r="U76" i="7" s="1"/>
  <c r="BB56" i="8" s="1"/>
  <c r="S80" i="7"/>
  <c r="T81" i="7"/>
  <c r="U80" i="7" s="1"/>
  <c r="BB57" i="8" s="1"/>
  <c r="T74" i="7"/>
  <c r="T73" i="7"/>
  <c r="U13" i="7"/>
  <c r="BB9" i="8" s="1"/>
  <c r="L80" i="7"/>
  <c r="T59" i="7"/>
  <c r="T54" i="7"/>
  <c r="U54" i="7" s="1"/>
  <c r="BB40" i="8"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AB9" i="5"/>
  <c r="BC8" i="6" s="1"/>
  <c r="Q20" i="5"/>
  <c r="R19" i="5" s="1"/>
  <c r="S19" i="5" s="1"/>
  <c r="J86" i="5"/>
  <c r="K82" i="5" s="1"/>
  <c r="L82" i="5" s="1"/>
  <c r="Q86" i="5"/>
  <c r="R83" i="5" s="1"/>
  <c r="S83" i="5" s="1"/>
  <c r="J64" i="5"/>
  <c r="Q64" i="5"/>
  <c r="R60" i="5" s="1"/>
  <c r="S60" i="5" s="1"/>
  <c r="Q42" i="5"/>
  <c r="R40" i="5" s="1"/>
  <c r="S40" i="5" s="1"/>
  <c r="J42" i="5"/>
  <c r="C42" i="5"/>
  <c r="C43" i="5" s="1"/>
  <c r="K16" i="5" l="1"/>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BB73" i="8" s="1"/>
  <c r="U58" i="7"/>
  <c r="BB41" i="8" s="1"/>
  <c r="U36" i="7"/>
  <c r="BB25" i="8" s="1"/>
  <c r="N80" i="7"/>
  <c r="F14" i="9"/>
  <c r="AZ56" i="8"/>
  <c r="D15" i="9"/>
  <c r="AZ71" i="8"/>
  <c r="D14" i="9"/>
  <c r="AZ55" i="8"/>
  <c r="D13" i="9"/>
  <c r="D61" i="5"/>
  <c r="E61" i="5" s="1"/>
  <c r="AZ41" i="8"/>
  <c r="N36" i="7"/>
  <c r="G29" i="7"/>
  <c r="D12" i="9" s="1"/>
  <c r="N13" i="7"/>
  <c r="F12" i="9"/>
  <c r="AZ24" i="8"/>
  <c r="D72" i="5"/>
  <c r="H12" i="9"/>
  <c r="AZ25" i="8"/>
  <c r="N51" i="7"/>
  <c r="U73" i="7"/>
  <c r="BB55" i="8" s="1"/>
  <c r="U51" i="7"/>
  <c r="BB39" i="8" s="1"/>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Q21" i="5"/>
  <c r="T6" i="5" s="1"/>
  <c r="R6" i="5"/>
  <c r="R7" i="5"/>
  <c r="R9" i="5"/>
  <c r="S9" i="5" s="1"/>
  <c r="R13" i="5"/>
  <c r="R18" i="5"/>
  <c r="S18" i="5" s="1"/>
  <c r="R16" i="5"/>
  <c r="S16" i="5" s="1"/>
  <c r="R14" i="5"/>
  <c r="R17" i="5"/>
  <c r="S17" i="5" s="1"/>
  <c r="J21" i="5"/>
  <c r="L9" i="5"/>
  <c r="K6" i="5"/>
  <c r="K19" i="5"/>
  <c r="L19" i="5" s="1"/>
  <c r="AB6" i="5"/>
  <c r="BC7" i="6" s="1"/>
  <c r="AB13" i="5"/>
  <c r="BC9" i="6" s="1"/>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F72" i="5" l="1"/>
  <c r="BA9" i="8"/>
  <c r="H11" i="14"/>
  <c r="BA57" i="8"/>
  <c r="H14" i="14"/>
  <c r="BA71" i="8"/>
  <c r="D15" i="14"/>
  <c r="BA56" i="6"/>
  <c r="F9" i="14"/>
  <c r="BA41" i="8"/>
  <c r="H13" i="14"/>
  <c r="BA39" i="8"/>
  <c r="D13" i="14"/>
  <c r="BA25" i="8"/>
  <c r="H12" i="14"/>
  <c r="M51" i="5"/>
  <c r="M53" i="5"/>
  <c r="M13" i="5"/>
  <c r="M9" i="5"/>
  <c r="N9" i="5" s="1"/>
  <c r="E57" i="5"/>
  <c r="F80" i="5"/>
  <c r="E50" i="5"/>
  <c r="H14" i="9"/>
  <c r="AZ57" i="8"/>
  <c r="S79" i="5"/>
  <c r="S6" i="5"/>
  <c r="F51" i="5"/>
  <c r="E72" i="5"/>
  <c r="F50" i="5"/>
  <c r="AZ23" i="8"/>
  <c r="G28" i="5"/>
  <c r="E28" i="5"/>
  <c r="N53" i="5"/>
  <c r="T14" i="5"/>
  <c r="F53" i="5"/>
  <c r="G53" i="5" s="1"/>
  <c r="AZ40" i="6" s="1"/>
  <c r="T13" i="5"/>
  <c r="T7" i="5"/>
  <c r="U6" i="5" s="1"/>
  <c r="BB7" i="6" s="1"/>
  <c r="T9" i="5"/>
  <c r="U9" i="5" s="1"/>
  <c r="BB8" i="6" s="1"/>
  <c r="F58" i="5"/>
  <c r="G57" i="5" s="1"/>
  <c r="H8" i="9" s="1"/>
  <c r="F75" i="5"/>
  <c r="G75" i="5" s="1"/>
  <c r="F73" i="5"/>
  <c r="G72" i="5" s="1"/>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N31" i="5"/>
  <c r="M29" i="5"/>
  <c r="M28" i="5"/>
  <c r="M35" i="5"/>
  <c r="M36" i="5"/>
  <c r="E13" i="5"/>
  <c r="F13" i="5"/>
  <c r="F14" i="5"/>
  <c r="F9" i="5"/>
  <c r="G9" i="5" s="1"/>
  <c r="BA24" i="6" l="1"/>
  <c r="F7" i="14"/>
  <c r="BA8" i="6"/>
  <c r="F5" i="14"/>
  <c r="BA40" i="6"/>
  <c r="F8" i="14"/>
  <c r="N13" i="5"/>
  <c r="N50" i="5"/>
  <c r="AZ23" i="6"/>
  <c r="D7" i="9"/>
  <c r="F8" i="9"/>
  <c r="AZ41" i="6"/>
  <c r="G50" i="5"/>
  <c r="D8" i="9" s="1"/>
  <c r="U13" i="5"/>
  <c r="BB9" i="6" s="1"/>
  <c r="AZ57" i="6"/>
  <c r="H9" i="9"/>
  <c r="AZ8" i="6"/>
  <c r="F5" i="9"/>
  <c r="AZ25" i="6"/>
  <c r="H7" i="9"/>
  <c r="AZ55" i="6"/>
  <c r="D9" i="9"/>
  <c r="AZ56" i="6"/>
  <c r="F9" i="9"/>
  <c r="N6" i="5"/>
  <c r="N79" i="5"/>
  <c r="N72" i="5"/>
  <c r="N57" i="5"/>
  <c r="U50" i="5"/>
  <c r="BB39" i="6" s="1"/>
  <c r="U57" i="5"/>
  <c r="BB41" i="6" s="1"/>
  <c r="U35" i="5"/>
  <c r="BB25" i="6" s="1"/>
  <c r="U79" i="5"/>
  <c r="BB57" i="6" s="1"/>
  <c r="N28" i="5"/>
  <c r="U72" i="5"/>
  <c r="BB55" i="6" s="1"/>
  <c r="N35" i="5"/>
  <c r="U28" i="5"/>
  <c r="BB23" i="6" s="1"/>
  <c r="G6" i="5"/>
  <c r="D5" i="9" s="1"/>
  <c r="G13" i="5"/>
  <c r="BA23" i="6" l="1"/>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comments3.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2" authorId="0" shapeId="0">
      <text>
        <r>
          <rPr>
            <b/>
            <sz val="9"/>
            <color indexed="81"/>
            <rFont val="Tahoma"/>
            <family val="2"/>
          </rPr>
          <t>Jennifer Norman:</t>
        </r>
        <r>
          <rPr>
            <sz val="9"/>
            <color indexed="81"/>
            <rFont val="Tahoma"/>
            <family val="2"/>
          </rPr>
          <t xml:space="preserve">
Only Red and Green statuses for Year End??</t>
        </r>
      </text>
    </comment>
    <comment ref="W54" authorId="0" shapeId="0">
      <text>
        <r>
          <rPr>
            <b/>
            <sz val="9"/>
            <color indexed="81"/>
            <rFont val="Tahoma"/>
            <family val="2"/>
          </rPr>
          <t>Jennifer Norman:</t>
        </r>
        <r>
          <rPr>
            <sz val="9"/>
            <color indexed="81"/>
            <rFont val="Tahoma"/>
            <family val="2"/>
          </rPr>
          <t xml:space="preserve">
Only Red and Green statuses for Year End??</t>
        </r>
      </text>
    </comment>
    <comment ref="W76" authorId="0" shapeId="0">
      <text>
        <r>
          <rPr>
            <b/>
            <sz val="9"/>
            <color indexed="81"/>
            <rFont val="Tahoma"/>
            <family val="2"/>
          </rPr>
          <t>Jennifer Norman:</t>
        </r>
        <r>
          <rPr>
            <sz val="9"/>
            <color indexed="81"/>
            <rFont val="Tahoma"/>
            <family val="2"/>
          </rPr>
          <t xml:space="preserve">
Only Red and Green statuses for Year End??</t>
        </r>
      </text>
    </comment>
    <comment ref="W98"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<sst xmlns="http://schemas.openxmlformats.org/spreadsheetml/2006/main" count="2800" uniqueCount="693">
  <si>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</si>
  <si>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</si>
  <si>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</si>
  <si>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</si>
  <si>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</si>
  <si>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</si>
  <si>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</si>
  <si>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</si>
  <si>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</si>
  <si>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</si>
  <si>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</si>
  <si>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</si>
  <si>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</si>
  <si>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</si>
  <si>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</si>
  <si>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</si>
  <si>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</si>
  <si>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</si>
  <si>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</si>
  <si>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</si>
  <si>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</si>
  <si>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</si>
  <si>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</si>
  <si>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</si>
  <si>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</si>
  <si>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</si>
  <si>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</si>
  <si>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</si>
  <si>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</si>
  <si>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</si>
  <si>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</si>
  <si>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</si>
  <si>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</si>
  <si>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</si>
  <si>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</si>
  <si>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</si>
  <si>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</si>
  <si>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</si>
  <si>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</si>
  <si>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</si>
  <si>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</si>
  <si>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</si>
  <si>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</si>
  <si>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</si>
  <si>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</si>
  <si>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</si>
  <si>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</si>
  <si>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</si>
  <si>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</si>
  <si>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</si>
  <si>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</si>
  <si>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</si>
  <si>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</si>
  <si>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</si>
  <si>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</si>
  <si>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</si>
  <si>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</si>
  <si>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</si>
  <si>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</si>
  <si>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</si>
  <si>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</si>
  <si>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</si>
  <si>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</si>
  <si>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</si>
  <si>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</si>
  <si>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</si>
  <si>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</si>
  <si>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</si>
  <si>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</si>
  <si>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</si>
  <si>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</si>
  <si>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</si>
  <si>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</si>
  <si>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</si>
  <si>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</si>
  <si>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</si>
  <si>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</si>
  <si>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</si>
  <si>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</si>
  <si>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</si>
  <si>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</si>
  <si>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</si>
  <si>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</si>
  <si>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</si>
  <si>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</si>
  <si>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</si>
  <si>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</si>
  <si>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</si>
  <si>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</si>
  <si>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</si>
  <si>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</si>
  <si>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</si>
  <si>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</si>
  <si>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</si>
  <si>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</si>
  <si>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</si>
  <si>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</si>
  <si>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</si>
  <si>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</si>
  <si>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</si>
  <si>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</si>
  <si>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</si>
  <si>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</si>
  <si>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</si>
  <si>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</si>
  <si>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</si>
  <si>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</si>
  <si>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</si>
  <si>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</si>
  <si>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</si>
  <si>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</si>
  <si>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</si>
  <si>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</si>
  <si>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</si>
  <si>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</si>
  <si>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</si>
  <si>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</si>
  <si>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</si>
  <si>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</si>
  <si>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</si>
  <si>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</si>
  <si>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</si>
  <si>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</si>
  <si>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</si>
  <si>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</si>
  <si>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</si>
  <si>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</si>
  <si>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</si>
  <si>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</si>
  <si>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</si>
  <si>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</si>
  <si>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</si>
  <si>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</si>
  <si>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</si>
  <si>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</si>
  <si>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</si>
  <si>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</si>
  <si>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</si>
  <si>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</si>
  <si>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</si>
  <si>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</si>
  <si>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</si>
  <si>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</si>
  <si>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</si>
  <si>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</si>
  <si>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</si>
  <si>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</si>
  <si>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</si>
  <si>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</si>
  <si>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</si>
  <si>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</si>
  <si>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</si>
  <si>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</si>
  <si>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</si>
  <si>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</si>
  <si>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</si>
  <si>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</si>
  <si>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</si>
  <si>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</si>
  <si>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</si>
  <si>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</si>
  <si>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</si>
  <si>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</si>
  <si>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</si>
  <si>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</si>
  <si>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</si>
  <si>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</si>
  <si>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</si>
  <si>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</si>
  <si>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</si>
  <si>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</si>
  <si>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</si>
  <si>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</si>
  <si>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</si>
  <si>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</si>
  <si>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</si>
  <si>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</si>
  <si>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</si>
  <si>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</si>
  <si>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</si>
  <si>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</si>
  <si>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</si>
  <si>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</si>
  <si>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</si>
  <si>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</si>
  <si>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</si>
  <si>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</si>
  <si>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</si>
  <si>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</si>
  <si>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</si>
  <si>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</si>
  <si>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</si>
  <si>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</si>
  <si>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</si>
  <si>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</si>
  <si>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</si>
  <si>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</si>
  <si>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</si>
  <si>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</si>
  <si>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</si>
  <si>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</si>
  <si>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</si>
  <si>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</si>
  <si>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</si>
  <si>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</si>
  <si>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</si>
  <si>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</si>
  <si>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</si>
  <si>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</si>
  <si>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</si>
  <si>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</si>
  <si>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</si>
  <si>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</si>
  <si>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</si>
  <si>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</si>
  <si>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</si>
  <si>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</si>
  <si>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</si>
  <si>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</si>
  <si>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</si>
  <si>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</si>
  <si>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</si>
  <si>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</si>
  <si>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</si>
  <si>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</si>
  <si>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</si>
  <si>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</si>
  <si>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</si>
  <si>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</si>
  <si>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</si>
  <si>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</si>
  <si>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</si>
  <si>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</si>
  <si>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</si>
  <si>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</si>
  <si>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</si>
  <si>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</si>
  <si>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</si>
  <si>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</si>
  <si>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</si>
  <si>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</si>
  <si>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</si>
  <si>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</si>
  <si>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</si>
  <si>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</si>
  <si>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</si>
  <si>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</si>
  <si>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</si>
  <si>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</si>
  <si>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</si>
  <si>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</si>
  <si>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</si>
  <si>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</si>
  <si>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</si>
  <si>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</si>
  <si>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</si>
  <si>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</si>
  <si>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</si>
  <si>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</si>
  <si>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</si>
  <si>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</si>
  <si>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</si>
  <si>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</si>
  <si>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</si>
  <si>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</si>
  <si>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</si>
  <si>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</si>
  <si>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</si>
  <si>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</si>
  <si>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</si>
  <si>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</si>
  <si>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</si>
  <si>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</si>
  <si>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</si>
  <si>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</si>
  <si>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</si>
  <si>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</si>
  <si>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</si>
  <si>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</si>
  <si>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</si>
  <si>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</si>
  <si>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</si>
  <si>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</si>
  <si>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</si>
  <si>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</si>
  <si>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</si>
  <si>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</si>
  <si>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</si>
  <si>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</si>
  <si>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</si>
  <si>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</si>
  <si>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</si>
  <si>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</si>
  <si>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</si>
  <si>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</si>
  <si>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</si>
  <si>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</si>
  <si>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</si>
  <si>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</si>
  <si>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</si>
  <si>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</si>
  <si>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</si>
  <si>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</si>
  <si>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</si>
  <si>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</si>
  <si>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</si>
  <si>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</si>
  <si>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</si>
  <si>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</si>
  <si>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</si>
  <si>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</si>
  <si>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</si>
  <si>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</si>
  <si>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</si>
  <si>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</si>
  <si>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</si>
  <si>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</si>
  <si>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</si>
  <si>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</si>
  <si>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</si>
  <si>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</si>
  <si>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</si>
  <si>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</si>
  <si>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</si>
  <si>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</si>
  <si>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</si>
  <si>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</si>
  <si>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</si>
  <si>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</si>
  <si>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</si>
  <si>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</si>
  <si>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</si>
  <si>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</si>
  <si>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</si>
  <si>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</si>
  <si>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</si>
  <si>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</si>
  <si>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</si>
  <si>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</si>
  <si>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</si>
  <si>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</si>
  <si>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</si>
  <si>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</si>
  <si>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</si>
  <si>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</si>
  <si>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</si>
  <si>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</si>
  <si>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</si>
  <si>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</si>
  <si>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</si>
  <si>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</si>
  <si>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</si>
  <si>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</si>
  <si>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</si>
  <si>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</si>
  <si>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</si>
  <si>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</si>
  <si>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</si>
  <si>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</si>
  <si>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</si>
  <si>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</si>
  <si>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</si>
  <si>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</si>
  <si>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</si>
  <si>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</si>
  <si>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</si>
  <si>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</si>
  <si>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</si>
  <si>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</si>
  <si>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</si>
  <si>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</si>
  <si>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</si>
  <si>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</si>
  <si>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</si>
  <si>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</si>
  <si>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</si>
  <si>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</si>
  <si>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</si>
  <si>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</si>
  <si>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</si>
  <si>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</si>
  <si>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</si>
  <si>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</si>
  <si>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</si>
  <si>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</si>
  <si>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</si>
  <si>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</si>
  <si>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</si>
  <si>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</si>
  <si>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</si>
  <si>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</si>
  <si>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</si>
  <si>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</si>
  <si>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</si>
  <si>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</si>
  <si>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</si>
  <si>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</si>
  <si>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</si>
  <si>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</si>
  <si>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</si>
  <si>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</si>
  <si>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</si>
  <si>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</si>
  <si>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</si>
  <si>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</si>
  <si>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</si>
  <si>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</si>
  <si>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</si>
  <si>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</si>
  <si>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</si>
  <si>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</si>
  <si>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</si>
  <si>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</si>
  <si>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</si>
  <si>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</si>
  <si>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</si>
  <si>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</si>
  <si>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</si>
  <si>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</si>
  <si>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</si>
  <si>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</si>
  <si>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</si>
  <si>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</si>
  <si>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</si>
  <si>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</si>
  <si>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</si>
  <si>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</si>
  <si>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</si>
  <si>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</si>
  <si>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</si>
  <si>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</si>
  <si>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</si>
  <si>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</si>
  <si>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</si>
  <si>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</si>
  <si>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</si>
  <si>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</si>
  <si>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</si>
  <si>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</si>
  <si>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</si>
  <si>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</si>
  <si>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</si>
  <si>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</si>
  <si>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</si>
  <si>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</si>
  <si>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</si>
  <si>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</si>
  <si>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</si>
  <si>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</si>
  <si>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</si>
  <si>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</si>
  <si>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</si>
  <si>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</si>
  <si>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</si>
  <si>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</si>
  <si>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</si>
  <si>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</si>
  <si>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</si>
  <si>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</si>
  <si>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</si>
  <si>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</si>
  <si>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</si>
  <si>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Grand Total</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</si>
  <si>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</si>
  <si>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</si>
  <si>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</si>
  <si>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</si>
  <si>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</si>
  <si>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</si>
  <si>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</si>
  <si>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</si>
  <si>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</si>
  <si>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</si>
  <si>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</si>
  <si>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</si>
  <si>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</si>
  <si>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</si>
  <si>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</si>
  <si>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</si>
  <si>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</si>
  <si>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</si>
  <si>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</si>
  <si>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</si>
  <si>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</si>
  <si>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</si>
  <si>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</si>
  <si>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</si>
  <si>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</si>
  <si>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</si>
  <si>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</si>
  <si>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</si>
  <si>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</si>
  <si>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</si>
  <si>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</si>
  <si>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</si>
  <si>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</si>
  <si>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</si>
  <si>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</si>
  <si>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</si>
  <si>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</si>
  <si>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</si>
  <si>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</si>
  <si>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</si>
  <si>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</si>
  <si>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</si>
  <si>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</si>
  <si>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</si>
  <si>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</si>
  <si>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</si>
  <si>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</si>
  <si>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</si>
  <si>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</si>
  <si>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</si>
  <si>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</si>
  <si>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</si>
  <si>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</si>
  <si>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</si>
  <si>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</si>
  <si>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</si>
  <si>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</si>
  <si>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</si>
  <si>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</si>
  <si>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</si>
  <si>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</si>
  <si>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</si>
  <si>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</si>
  <si>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</si>
  <si>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</si>
  <si>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</si>
  <si>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</si>
  <si>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</si>
  <si>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</si>
  <si>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</si>
  <si>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</si>
  <si>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</si>
  <si>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</si>
  <si>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</si>
  <si>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</si>
  <si>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</si>
  <si>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</si>
  <si>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</si>
  <si>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</si>
  <si>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</si>
  <si>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</si>
  <si>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</si>
  <si>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</si>
  <si>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</si>
  <si>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</si>
  <si>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</si>
  <si>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</si>
  <si>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</si>
  <si>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</si>
  <si>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</si>
  <si>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</si>
  <si>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</si>
  <si>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</si>
  <si>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</si>
  <si>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</si>
  <si>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</si>
  <si>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</si>
  <si>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</si>
  <si>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</si>
  <si>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</si>
  <si>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</si>
  <si>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</si>
  <si>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</si>
  <si>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</si>
  <si>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</si>
  <si>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</si>
  <si>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</si>
  <si>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</si>
  <si>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</si>
  <si>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</si>
  <si>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</si>
  <si>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</si>
  <si>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</si>
  <si>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</si>
  <si>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</si>
  <si>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</si>
  <si>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</si>
  <si>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</si>
  <si>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</si>
  <si>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Planning Manager</t>
  </si>
  <si>
    <t>VFM39a</t>
  </si>
  <si>
    <t>VFM39b</t>
  </si>
  <si>
    <t>Target adopted post tender via Q1 report to Cabinet</t>
  </si>
  <si>
    <t>Occupied Property Discounts – March 2020</t>
  </si>
  <si>
    <t xml:space="preserve">Empty Properties – October 2019
</t>
  </si>
  <si>
    <t>Quarter Two (2019/20)</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</si>
  <si>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</si>
  <si>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</si>
  <si>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</si>
  <si>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</si>
  <si>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</si>
  <si>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</si>
  <si>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</si>
  <si>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</si>
  <si>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</si>
  <si>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</si>
  <si>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</si>
  <si>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</si>
  <si>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</si>
  <si>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</si>
  <si>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</si>
  <si>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</si>
  <si>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</si>
  <si>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</si>
  <si>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</si>
  <si>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</si>
  <si>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</si>
  <si>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</si>
  <si>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</si>
  <si>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</si>
  <si>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</si>
  <si>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</si>
  <si>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</si>
  <si>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</si>
  <si>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</si>
  <si>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</si>
  <si>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</si>
  <si>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</si>
  <si>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</si>
  <si>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</si>
  <si>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</si>
  <si>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</si>
  <si>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</si>
  <si>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</si>
  <si>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</si>
  <si>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</si>
  <si>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</si>
  <si>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</si>
  <si>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</si>
  <si>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</si>
  <si>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</si>
  <si>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</si>
  <si>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</si>
  <si>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</si>
  <si>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</si>
  <si>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</si>
  <si>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</si>
  <si>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</si>
  <si>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</si>
  <si>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</si>
  <si>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</si>
  <si>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</si>
  <si>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</si>
  <si>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</si>
  <si>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</si>
  <si>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</si>
  <si>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Consultants have identified the estimated costs for the Cemetery extension. Capital bid to be prepared for 2020/21.</t>
  </si>
  <si>
    <t>Government announced deferral of implementation date to April 2021.</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</si>
  <si>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</si>
  <si>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</si>
  <si>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</si>
  <si>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</si>
  <si>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</si>
  <si>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</si>
  <si>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</si>
  <si>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</si>
  <si>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</si>
  <si>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</si>
  <si>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</si>
  <si>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</si>
  <si>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</si>
  <si>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</si>
  <si>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</si>
  <si>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</si>
  <si>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</si>
  <si>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</si>
  <si>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</si>
  <si>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</si>
  <si>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</si>
  <si>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</si>
  <si>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</si>
  <si>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</si>
  <si>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</si>
  <si>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</si>
  <si>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</si>
  <si>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</si>
  <si>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</si>
  <si>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</si>
  <si>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</si>
  <si>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</si>
  <si>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</si>
  <si>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</si>
  <si>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</si>
  <si>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</si>
  <si>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</si>
  <si>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</si>
  <si>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</si>
  <si>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Judging results received in Q2 and Green Flag status reached for Bramshall. However, the combined Stapenhill Gardens and Washlands entry did not reach Green Flag standard. This was  because the ambitions of the Washlands project have yet to come into fruition. Judges identified that Stapenhill Gardens was worthy of Green Flag status if entered as a separate entry without the Washlands</t>
  </si>
  <si>
    <t>The necessary upgrade to UNIT 4 (part of the Agresso Financial Management System) could potentially delay the delivery of this project depending on the upgrade timescales</t>
  </si>
  <si>
    <t>As previously reported, the report was ready to be presented at the Full Council meeting in June 2019 but following the change in the make-up of Cabinet, a decision was taken to delay the report so that members could review progress made to that point.
The report was presented at the Full Council meeting in September 2019. 
All of the recommendations of the report were approved and the agreement to fund the public realm project has been finalised.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</si>
</sst>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i/>
      <sz val="12"/>
      <name val="Arial"/>
      <family val="2"/>
    </font>
  </fonts>
  <fills count="2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6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0" fontId="24" fillId="0" borderId="0" applyNumberFormat="0" applyFill="0" applyBorder="0" applyAlignment="0" applyProtection="0">
      <alignment vertical="top"/>
      <protection locked="0"/>
    </xf>
    <xf numFmtId="0" fontId="47" fillId="0" borderId="0"/>
  </cellStyleXfs>
  <cellXfs count="417">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6" borderId="0" xfId="0" applyFont="1" applyFill="1"/>
    <xf numFmtId="0" fontId="27" fillId="16" borderId="0" xfId="0" applyFont="1" applyFill="1"/>
    <xf numFmtId="9" fontId="27" fillId="16" borderId="0" xfId="0" applyNumberFormat="1" applyFont="1" applyFill="1"/>
    <xf numFmtId="0" fontId="29" fillId="16" borderId="0" xfId="1" applyFont="1" applyFill="1" applyBorder="1" applyAlignment="1" applyProtection="1">
      <alignment horizontal="left"/>
    </xf>
    <xf numFmtId="0" fontId="1" fillId="16" borderId="0" xfId="0" applyFont="1" applyFill="1"/>
    <xf numFmtId="0" fontId="18" fillId="16" borderId="0" xfId="0" applyFont="1" applyFill="1"/>
    <xf numFmtId="0" fontId="29"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1" fillId="16" borderId="0" xfId="0" applyFont="1" applyFill="1" applyBorder="1"/>
    <xf numFmtId="0" fontId="30" fillId="16" borderId="0" xfId="0" applyFont="1" applyFill="1"/>
    <xf numFmtId="0" fontId="33" fillId="16" borderId="0" xfId="0" applyFont="1" applyFill="1"/>
    <xf numFmtId="9" fontId="19" fillId="16" borderId="0" xfId="0" applyNumberFormat="1" applyFont="1" applyFill="1"/>
    <xf numFmtId="0" fontId="19" fillId="16" borderId="0" xfId="0" applyFont="1" applyFill="1" applyBorder="1"/>
    <xf numFmtId="9" fontId="34" fillId="16" borderId="7" xfId="0" applyNumberFormat="1" applyFont="1" applyFill="1" applyBorder="1" applyAlignment="1">
      <alignment horizontal="center"/>
    </xf>
    <xf numFmtId="0" fontId="34" fillId="16" borderId="7" xfId="0" applyFont="1" applyFill="1" applyBorder="1"/>
    <xf numFmtId="10" fontId="19" fillId="16" borderId="7" xfId="0" applyNumberFormat="1" applyFont="1" applyFill="1" applyBorder="1" applyAlignment="1">
      <alignment horizontal="center" vertical="center"/>
    </xf>
    <xf numFmtId="9" fontId="34" fillId="16" borderId="0" xfId="0" applyNumberFormat="1" applyFont="1" applyFill="1" applyBorder="1" applyAlignment="1">
      <alignment horizontal="center"/>
    </xf>
    <xf numFmtId="0" fontId="35"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4" fillId="16" borderId="0" xfId="0" applyNumberFormat="1" applyFont="1" applyFill="1"/>
    <xf numFmtId="0" fontId="34"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1" fillId="8" borderId="46" xfId="0" applyFont="1" applyFill="1" applyBorder="1" applyAlignment="1">
      <alignment horizontal="center" vertical="center" wrapText="1"/>
    </xf>
    <xf numFmtId="10" fontId="39" fillId="8" borderId="46" xfId="0" applyNumberFormat="1" applyFont="1" applyFill="1" applyBorder="1" applyAlignment="1">
      <alignment horizontal="center" vertical="center" wrapText="1"/>
    </xf>
    <xf numFmtId="0" fontId="7" fillId="18" borderId="47" xfId="0" applyFont="1" applyFill="1" applyBorder="1" applyAlignment="1">
      <alignment vertical="center" wrapText="1"/>
    </xf>
    <xf numFmtId="0" fontId="2" fillId="0" borderId="47"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0" fontId="7" fillId="12" borderId="47" xfId="0" applyFont="1" applyFill="1" applyBorder="1" applyAlignment="1">
      <alignment vertical="center" wrapText="1"/>
    </xf>
    <xf numFmtId="10" fontId="2" fillId="0" borderId="47" xfId="0" applyNumberFormat="1" applyFont="1" applyFill="1" applyBorder="1" applyAlignment="1">
      <alignment horizontal="center" vertical="center"/>
    </xf>
    <xf numFmtId="10" fontId="15" fillId="8" borderId="47" xfId="0" applyNumberFormat="1" applyFont="1" applyFill="1" applyBorder="1" applyAlignment="1">
      <alignment horizontal="center" vertical="center"/>
    </xf>
    <xf numFmtId="0" fontId="7" fillId="0" borderId="47" xfId="0" applyFont="1" applyFill="1" applyBorder="1" applyAlignment="1">
      <alignment vertical="center" wrapText="1"/>
    </xf>
    <xf numFmtId="0" fontId="15" fillId="8" borderId="47" xfId="0" applyFont="1" applyFill="1" applyBorder="1" applyAlignment="1">
      <alignment vertical="center" wrapText="1"/>
    </xf>
    <xf numFmtId="0" fontId="25" fillId="8" borderId="47" xfId="0" applyFont="1" applyFill="1" applyBorder="1" applyAlignment="1">
      <alignment vertical="center" wrapText="1"/>
    </xf>
    <xf numFmtId="0" fontId="2" fillId="8" borderId="47" xfId="0" applyFont="1" applyFill="1" applyBorder="1" applyAlignment="1">
      <alignment horizontal="center" vertical="center"/>
    </xf>
    <xf numFmtId="0" fontId="5" fillId="15" borderId="47" xfId="0" applyFont="1" applyFill="1" applyBorder="1" applyAlignment="1">
      <alignment vertical="center" wrapText="1"/>
    </xf>
    <xf numFmtId="0" fontId="15" fillId="15" borderId="47" xfId="0" applyFont="1" applyFill="1" applyBorder="1" applyAlignment="1">
      <alignment horizontal="center" vertical="center"/>
    </xf>
    <xf numFmtId="0" fontId="15" fillId="15" borderId="47" xfId="0" applyFont="1" applyFill="1" applyBorder="1" applyAlignment="1">
      <alignment vertical="center"/>
    </xf>
    <xf numFmtId="0" fontId="7" fillId="10" borderId="47" xfId="0" applyFont="1" applyFill="1" applyBorder="1" applyAlignment="1">
      <alignment vertical="center" wrapText="1"/>
    </xf>
    <xf numFmtId="0" fontId="7" fillId="10" borderId="47"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7"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40" fillId="0" borderId="44" xfId="0" applyFont="1" applyFill="1" applyBorder="1" applyAlignment="1">
      <alignment horizontal="right" vertical="center" wrapText="1"/>
    </xf>
    <xf numFmtId="0" fontId="41" fillId="0" borderId="37" xfId="0" applyFont="1" applyFill="1" applyBorder="1" applyAlignment="1">
      <alignment horizontal="center" vertical="center" wrapText="1"/>
    </xf>
    <xf numFmtId="10" fontId="39" fillId="0" borderId="37" xfId="0" applyNumberFormat="1" applyFont="1" applyFill="1" applyBorder="1" applyAlignment="1">
      <alignment horizontal="center" vertical="center" wrapText="1"/>
    </xf>
    <xf numFmtId="1" fontId="41" fillId="0" borderId="43" xfId="0" applyNumberFormat="1" applyFont="1" applyFill="1" applyBorder="1" applyAlignment="1">
      <alignment horizontal="center" vertical="center" wrapText="1"/>
    </xf>
    <xf numFmtId="10" fontId="39" fillId="0" borderId="39" xfId="0" applyNumberFormat="1" applyFont="1" applyFill="1" applyBorder="1" applyAlignment="1">
      <alignment horizontal="center" vertical="center" wrapText="1"/>
    </xf>
    <xf numFmtId="0" fontId="41" fillId="0" borderId="46" xfId="0" applyFont="1" applyFill="1" applyBorder="1" applyAlignment="1">
      <alignment horizontal="center" vertical="center" wrapText="1"/>
    </xf>
    <xf numFmtId="10" fontId="39" fillId="0" borderId="46" xfId="0" applyNumberFormat="1" applyFont="1" applyFill="1" applyBorder="1" applyAlignment="1">
      <alignment horizontal="center" vertical="center" wrapText="1"/>
    </xf>
    <xf numFmtId="0" fontId="41" fillId="0" borderId="43" xfId="0" applyFont="1" applyFill="1" applyBorder="1" applyAlignment="1">
      <alignment horizontal="center" vertical="center" wrapText="1"/>
    </xf>
    <xf numFmtId="0" fontId="27" fillId="19" borderId="0" xfId="0" applyFont="1" applyFill="1"/>
    <xf numFmtId="0" fontId="1" fillId="19" borderId="0" xfId="0" applyFont="1" applyFill="1"/>
    <xf numFmtId="0" fontId="18" fillId="19" borderId="0" xfId="0" applyFont="1" applyFill="1"/>
    <xf numFmtId="0" fontId="29"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30" fillId="19" borderId="0" xfId="0" applyFont="1" applyFill="1"/>
    <xf numFmtId="0" fontId="42" fillId="19" borderId="0" xfId="0" applyFont="1" applyFill="1"/>
    <xf numFmtId="0" fontId="12" fillId="19" borderId="0" xfId="0" applyFont="1" applyFill="1"/>
    <xf numFmtId="0" fontId="33" fillId="19" borderId="0" xfId="0" applyFont="1" applyFill="1"/>
    <xf numFmtId="0" fontId="19" fillId="19" borderId="0" xfId="0" applyFont="1" applyFill="1"/>
    <xf numFmtId="0" fontId="19" fillId="19" borderId="0" xfId="0" applyFont="1" applyFill="1" applyBorder="1"/>
    <xf numFmtId="0" fontId="34" fillId="19" borderId="7" xfId="0" applyFont="1" applyFill="1" applyBorder="1" applyAlignment="1">
      <alignment horizontal="center"/>
    </xf>
    <xf numFmtId="0" fontId="34" fillId="19" borderId="7" xfId="0" applyFont="1" applyFill="1" applyBorder="1"/>
    <xf numFmtId="10" fontId="19" fillId="19" borderId="7" xfId="0" applyNumberFormat="1" applyFont="1" applyFill="1" applyBorder="1" applyAlignment="1">
      <alignment horizontal="center" vertical="center"/>
    </xf>
    <xf numFmtId="0" fontId="34" fillId="19" borderId="0" xfId="0" applyFont="1" applyFill="1" applyBorder="1" applyAlignment="1">
      <alignment horizontal="center"/>
    </xf>
    <xf numFmtId="0" fontId="35" fillId="19" borderId="0" xfId="0" applyFont="1" applyFill="1" applyBorder="1"/>
    <xf numFmtId="10" fontId="19" fillId="19" borderId="0" xfId="0" applyNumberFormat="1" applyFont="1" applyFill="1" applyBorder="1" applyAlignment="1">
      <alignment horizontal="center" vertical="center"/>
    </xf>
    <xf numFmtId="0" fontId="34" fillId="19" borderId="0" xfId="0" applyFont="1" applyFill="1"/>
    <xf numFmtId="0" fontId="34" fillId="19" borderId="0" xfId="0" applyFont="1" applyFill="1" applyBorder="1"/>
    <xf numFmtId="0" fontId="12" fillId="19" borderId="0" xfId="0" applyFont="1" applyFill="1" applyBorder="1"/>
    <xf numFmtId="0" fontId="1" fillId="19" borderId="0" xfId="0" applyFont="1" applyFill="1" applyBorder="1"/>
    <xf numFmtId="0" fontId="33" fillId="19" borderId="0" xfId="0" applyFont="1" applyFill="1" applyBorder="1"/>
    <xf numFmtId="0" fontId="44" fillId="0" borderId="0" xfId="1" applyFont="1" applyFill="1" applyBorder="1" applyAlignment="1" applyProtection="1">
      <alignment horizontal="left"/>
    </xf>
    <xf numFmtId="0" fontId="45" fillId="8" borderId="0" xfId="0" applyFont="1" applyFill="1" applyProtection="1"/>
    <xf numFmtId="0" fontId="45" fillId="8" borderId="0" xfId="0" applyFont="1" applyFill="1" applyAlignment="1" applyProtection="1">
      <alignment horizontal="left" vertical="top" wrapText="1"/>
    </xf>
    <xf numFmtId="0" fontId="48" fillId="8" borderId="0" xfId="0" applyFont="1" applyFill="1" applyProtection="1"/>
    <xf numFmtId="0" fontId="48"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wrapText="1"/>
    </xf>
    <xf numFmtId="0" fontId="51" fillId="8" borderId="7" xfId="0" applyFont="1" applyFill="1" applyBorder="1" applyAlignment="1" applyProtection="1">
      <alignment horizontal="center" vertical="center"/>
    </xf>
    <xf numFmtId="0" fontId="0" fillId="8" borderId="0" xfId="0" applyFill="1" applyProtection="1"/>
    <xf numFmtId="0" fontId="52" fillId="8" borderId="53" xfId="0" applyFont="1" applyFill="1" applyBorder="1" applyAlignment="1" applyProtection="1">
      <alignment horizontal="center" vertical="center" wrapText="1"/>
    </xf>
    <xf numFmtId="0" fontId="0" fillId="0" borderId="0" xfId="0" applyProtection="1"/>
    <xf numFmtId="0" fontId="53" fillId="8" borderId="0" xfId="0" applyFont="1" applyFill="1" applyProtection="1"/>
    <xf numFmtId="0" fontId="51" fillId="0" borderId="7" xfId="0" applyFont="1" applyFill="1" applyBorder="1" applyAlignment="1" applyProtection="1">
      <alignment horizontal="center" vertical="center"/>
    </xf>
    <xf numFmtId="0" fontId="50" fillId="8" borderId="53" xfId="0" applyFont="1" applyFill="1" applyBorder="1" applyAlignment="1" applyProtection="1">
      <alignment horizontal="center" vertical="center" wrapText="1"/>
    </xf>
    <xf numFmtId="0" fontId="54" fillId="8" borderId="0" xfId="0" applyFont="1" applyFill="1" applyAlignment="1" applyProtection="1">
      <alignment horizontal="center" vertical="center"/>
    </xf>
    <xf numFmtId="0" fontId="55" fillId="8" borderId="51"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1" fillId="8" borderId="10" xfId="0" applyFont="1" applyFill="1" applyBorder="1" applyAlignment="1" applyProtection="1">
      <alignment horizontal="center" vertical="center"/>
    </xf>
    <xf numFmtId="1" fontId="5" fillId="17" borderId="51" xfId="0" applyNumberFormat="1" applyFont="1" applyFill="1" applyBorder="1" applyAlignment="1" applyProtection="1">
      <alignment horizontal="center" vertical="center" wrapText="1"/>
    </xf>
    <xf numFmtId="0" fontId="56" fillId="0" borderId="54" xfId="0" applyFont="1" applyFill="1" applyBorder="1" applyAlignment="1" applyProtection="1">
      <alignment horizontal="center" vertical="center"/>
    </xf>
    <xf numFmtId="0" fontId="57" fillId="8" borderId="0" xfId="0" applyFont="1" applyFill="1" applyProtection="1"/>
    <xf numFmtId="0" fontId="57"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8" fillId="8" borderId="0" xfId="0" applyFont="1" applyFill="1" applyBorder="1" applyAlignment="1" applyProtection="1">
      <alignment horizontal="center" vertical="center" wrapText="1"/>
    </xf>
    <xf numFmtId="0" fontId="56"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9" fillId="22" borderId="51" xfId="0" applyNumberFormat="1" applyFont="1" applyFill="1" applyBorder="1" applyAlignment="1" applyProtection="1">
      <alignment horizontal="center" vertical="center" wrapText="1"/>
    </xf>
    <xf numFmtId="17" fontId="49" fillId="22" borderId="52" xfId="0" applyNumberFormat="1" applyFont="1" applyFill="1" applyBorder="1" applyAlignment="1" applyProtection="1">
      <alignment horizontal="center" vertical="center" wrapText="1"/>
    </xf>
    <xf numFmtId="17" fontId="49" fillId="22" borderId="7" xfId="0" applyNumberFormat="1" applyFont="1" applyFill="1" applyBorder="1" applyAlignment="1" applyProtection="1">
      <alignment horizontal="center" vertical="center" wrapText="1"/>
    </xf>
    <xf numFmtId="0" fontId="59" fillId="20" borderId="51" xfId="0" applyFont="1" applyFill="1" applyBorder="1" applyAlignment="1" applyProtection="1">
      <alignment horizontal="left" vertical="center" wrapText="1"/>
    </xf>
    <xf numFmtId="0" fontId="60" fillId="21" borderId="7" xfId="0" applyFont="1" applyFill="1" applyBorder="1" applyAlignment="1" applyProtection="1">
      <alignment horizontal="left" vertical="center" wrapText="1"/>
    </xf>
    <xf numFmtId="0" fontId="60" fillId="21" borderId="51" xfId="0" applyFont="1" applyFill="1" applyBorder="1" applyAlignment="1" applyProtection="1">
      <alignment horizontal="left" vertical="center" wrapText="1"/>
    </xf>
    <xf numFmtId="0" fontId="50" fillId="8" borderId="51" xfId="0" applyFont="1" applyFill="1" applyBorder="1" applyAlignment="1" applyProtection="1">
      <alignment horizontal="center" vertical="center" wrapText="1"/>
    </xf>
    <xf numFmtId="0" fontId="51" fillId="8" borderId="51" xfId="0" applyFont="1" applyFill="1" applyBorder="1" applyAlignment="1" applyProtection="1">
      <alignment horizontal="center" vertical="center"/>
    </xf>
    <xf numFmtId="0" fontId="46"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3" fillId="8" borderId="0" xfId="0" applyFont="1" applyFill="1"/>
    <xf numFmtId="0" fontId="0" fillId="0" borderId="0" xfId="0" applyFill="1"/>
    <xf numFmtId="0" fontId="61" fillId="0" borderId="0" xfId="0" applyFont="1" applyFill="1"/>
    <xf numFmtId="0" fontId="24" fillId="8" borderId="0" xfId="1" applyFill="1" applyAlignment="1" applyProtection="1"/>
    <xf numFmtId="0" fontId="0" fillId="0" borderId="0" xfId="0" applyAlignment="1">
      <alignment horizontal="left"/>
    </xf>
    <xf numFmtId="0" fontId="0" fillId="0" borderId="0" xfId="0" applyAlignment="1">
      <alignment horizontal="left" indent="1"/>
    </xf>
    <xf numFmtId="17" fontId="14" fillId="8" borderId="56" xfId="0" applyNumberFormat="1" applyFont="1" applyFill="1" applyBorder="1" applyAlignment="1" applyProtection="1">
      <alignment horizontal="left" vertical="center" wrapText="1" indent="1"/>
      <protection locked="0"/>
    </xf>
    <xf numFmtId="17" fontId="15" fillId="8" borderId="56" xfId="0" applyNumberFormat="1" applyFont="1" applyFill="1" applyBorder="1" applyAlignment="1" applyProtection="1">
      <alignment horizontal="left" vertical="center" wrapText="1" indent="1"/>
      <protection locked="0"/>
    </xf>
    <xf numFmtId="0" fontId="14" fillId="8" borderId="56" xfId="0" applyFont="1" applyFill="1" applyBorder="1" applyAlignment="1" applyProtection="1">
      <alignment horizontal="left" vertical="center" wrapText="1" indent="1"/>
      <protection locked="0"/>
    </xf>
    <xf numFmtId="0" fontId="15" fillId="8" borderId="56"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6" xfId="0" applyNumberFormat="1" applyFont="1" applyFill="1" applyBorder="1" applyAlignment="1" applyProtection="1">
      <alignment horizontal="left" vertical="center" wrapText="1" indent="1"/>
    </xf>
    <xf numFmtId="17" fontId="14" fillId="8" borderId="55"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6" xfId="0" applyNumberFormat="1" applyFont="1" applyFill="1" applyBorder="1" applyAlignment="1" applyProtection="1">
      <alignment horizontal="left" vertical="center" wrapText="1" indent="1"/>
    </xf>
    <xf numFmtId="17" fontId="15" fillId="8" borderId="55"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6" xfId="0" applyFont="1" applyFill="1" applyBorder="1" applyAlignment="1" applyProtection="1">
      <alignment horizontal="left" vertical="center" wrapText="1" indent="1"/>
    </xf>
    <xf numFmtId="0" fontId="14" fillId="8" borderId="55"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6" xfId="0" applyFont="1" applyFill="1" applyBorder="1" applyAlignment="1" applyProtection="1">
      <alignment horizontal="left" vertical="center" wrapText="1" indent="1"/>
    </xf>
    <xf numFmtId="0" fontId="16" fillId="8" borderId="55"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6" xfId="0" applyFont="1" applyFill="1" applyBorder="1" applyAlignment="1" applyProtection="1">
      <alignment horizontal="left" vertical="center" wrapText="1" indent="1"/>
    </xf>
    <xf numFmtId="0" fontId="15" fillId="8" borderId="55"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6"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17" fontId="14" fillId="8" borderId="5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6"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17" fontId="62" fillId="2" borderId="2" xfId="0" applyNumberFormat="1" applyFont="1" applyFill="1" applyBorder="1" applyAlignment="1" applyProtection="1">
      <alignment horizontal="center" vertical="center" wrapText="1"/>
    </xf>
    <xf numFmtId="9" fontId="15" fillId="8" borderId="5" xfId="0" applyNumberFormat="1" applyFont="1" applyFill="1" applyBorder="1" applyAlignment="1" applyProtection="1">
      <alignment horizontal="left" vertical="center" wrapText="1" indent="1"/>
      <protection locked="0"/>
    </xf>
    <xf numFmtId="10" fontId="14" fillId="8" borderId="55"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8" fontId="14" fillId="8" borderId="55"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9" fontId="14" fillId="8" borderId="55" xfId="0" applyNumberFormat="1" applyFont="1" applyFill="1" applyBorder="1" applyAlignment="1" applyProtection="1">
      <alignment horizontal="left" vertical="center" wrapText="1" indent="1"/>
      <protection locked="0"/>
    </xf>
    <xf numFmtId="17" fontId="24" fillId="8" borderId="56" xfId="1" applyNumberFormat="1" applyFill="1" applyBorder="1" applyAlignment="1" applyProtection="1">
      <alignment horizontal="left" vertical="center" wrapText="1" indent="1"/>
      <protection locked="0"/>
    </xf>
    <xf numFmtId="0" fontId="13" fillId="8" borderId="56" xfId="0"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protection locked="0"/>
    </xf>
    <xf numFmtId="1" fontId="15" fillId="8" borderId="5" xfId="0" applyNumberFormat="1" applyFont="1" applyFill="1" applyBorder="1" applyAlignment="1" applyProtection="1">
      <alignment horizontal="left" vertical="center" wrapText="1" indent="1"/>
      <protection locked="0"/>
    </xf>
    <xf numFmtId="1" fontId="15" fillId="8" borderId="55"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7" borderId="32"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2" borderId="45"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28" fillId="16" borderId="23"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6" borderId="26" xfId="0" applyFont="1" applyFill="1" applyBorder="1" applyAlignment="1">
      <alignment horizontal="left" vertical="center" wrapText="1"/>
    </xf>
    <xf numFmtId="0" fontId="28" fillId="16" borderId="0" xfId="0" applyFont="1" applyFill="1" applyBorder="1" applyAlignment="1">
      <alignment horizontal="left" vertical="center" wrapText="1"/>
    </xf>
    <xf numFmtId="0" fontId="28" fillId="16" borderId="27" xfId="0" applyFont="1" applyFill="1" applyBorder="1" applyAlignment="1">
      <alignment horizontal="left" vertical="center" wrapText="1"/>
    </xf>
    <xf numFmtId="0" fontId="28" fillId="16" borderId="28" xfId="0" applyFont="1" applyFill="1" applyBorder="1" applyAlignment="1">
      <alignment horizontal="left" vertical="center" wrapText="1"/>
    </xf>
    <xf numFmtId="0" fontId="28" fillId="16" borderId="29" xfId="0" applyFont="1" applyFill="1" applyBorder="1" applyAlignment="1">
      <alignment horizontal="left" vertical="center" wrapText="1"/>
    </xf>
    <xf numFmtId="0" fontId="28" fillId="16" borderId="30" xfId="0" applyFont="1" applyFill="1" applyBorder="1" applyAlignment="1">
      <alignment horizontal="lef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 fillId="0" borderId="50" xfId="0" applyNumberFormat="1" applyFont="1" applyFill="1" applyBorder="1" applyAlignment="1">
      <alignment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1" borderId="50" xfId="0" applyNumberFormat="1" applyFont="1" applyFill="1" applyBorder="1" applyAlignment="1">
      <alignment horizontal="center"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11" borderId="50" xfId="0" applyFont="1" applyFill="1" applyBorder="1" applyAlignment="1">
      <alignment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2" fillId="12"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50" xfId="0" applyNumberFormat="1" applyFont="1" applyFill="1" applyBorder="1" applyAlignment="1">
      <alignment horizontal="center" vertical="center" wrapText="1"/>
    </xf>
    <xf numFmtId="10" fontId="22" fillId="18" borderId="47" xfId="0" applyNumberFormat="1" applyFont="1" applyFill="1" applyBorder="1" applyAlignment="1">
      <alignment horizontal="center" vertical="center" wrapText="1"/>
    </xf>
    <xf numFmtId="0" fontId="28" fillId="19" borderId="23" xfId="0" applyFont="1" applyFill="1" applyBorder="1" applyAlignment="1">
      <alignment horizontal="left" vertical="center" wrapText="1"/>
    </xf>
    <xf numFmtId="0" fontId="28" fillId="19" borderId="24" xfId="0" applyFont="1" applyFill="1" applyBorder="1" applyAlignment="1">
      <alignment horizontal="left" vertical="center" wrapText="1"/>
    </xf>
    <xf numFmtId="0" fontId="28" fillId="19" borderId="25" xfId="0" applyFont="1" applyFill="1" applyBorder="1" applyAlignment="1">
      <alignment horizontal="left" vertical="center" wrapText="1"/>
    </xf>
    <xf numFmtId="0" fontId="28" fillId="19" borderId="26" xfId="0" applyFont="1" applyFill="1" applyBorder="1" applyAlignment="1">
      <alignment horizontal="left" vertical="center" wrapText="1"/>
    </xf>
    <xf numFmtId="0" fontId="28" fillId="19" borderId="0" xfId="0" applyFont="1" applyFill="1" applyBorder="1" applyAlignment="1">
      <alignment horizontal="left" vertical="center" wrapText="1"/>
    </xf>
    <xf numFmtId="0" fontId="28" fillId="19" borderId="27" xfId="0" applyFont="1" applyFill="1" applyBorder="1" applyAlignment="1">
      <alignment horizontal="left" vertical="center" wrapText="1"/>
    </xf>
    <xf numFmtId="0" fontId="28" fillId="19" borderId="28" xfId="0" applyFont="1" applyFill="1" applyBorder="1" applyAlignment="1">
      <alignment horizontal="left" vertical="center" wrapText="1"/>
    </xf>
    <xf numFmtId="0" fontId="28" fillId="19" borderId="29" xfId="0" applyFont="1" applyFill="1" applyBorder="1" applyAlignment="1">
      <alignment horizontal="left" vertical="center" wrapText="1"/>
    </xf>
    <xf numFmtId="0" fontId="28" fillId="19" borderId="30" xfId="0" applyFont="1" applyFill="1" applyBorder="1" applyAlignment="1">
      <alignment horizontal="left" vertical="center" wrapText="1"/>
    </xf>
  </cellXfs>
  <cellStyles count="3">
    <cellStyle name="Hyperlink" xfId="1" builtinId="8"/>
    <cellStyle name="Normal" xfId="0" builtinId="0"/>
    <cellStyle name="Normal 2 2" xfId="2"/>
  </cellStyles>
  <dxfs count="425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7048672"/>
        <c:axId val="337045928"/>
      </c:lineChart>
      <c:catAx>
        <c:axId val="337048672"/>
        <c:scaling>
          <c:orientation val="minMax"/>
        </c:scaling>
        <c:delete val="0"/>
        <c:axPos val="b"/>
        <c:numFmt formatCode="General" sourceLinked="0"/>
        <c:majorTickMark val="out"/>
        <c:minorTickMark val="none"/>
        <c:tickLblPos val="nextTo"/>
        <c:txPr>
          <a:bodyPr/>
          <a:lstStyle/>
          <a:p>
            <a:pPr>
              <a:defRPr lang="en-US"/>
            </a:pPr>
            <a:endParaRPr lang="en-US"/>
          </a:p>
        </c:txPr>
        <c:crossAx val="337045928"/>
        <c:crosses val="autoZero"/>
        <c:auto val="1"/>
        <c:lblAlgn val="ctr"/>
        <c:lblOffset val="100"/>
        <c:noMultiLvlLbl val="0"/>
      </c:catAx>
      <c:valAx>
        <c:axId val="337045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048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7047496"/>
        <c:axId val="337044360"/>
      </c:lineChart>
      <c:catAx>
        <c:axId val="337047496"/>
        <c:scaling>
          <c:orientation val="minMax"/>
        </c:scaling>
        <c:delete val="0"/>
        <c:axPos val="b"/>
        <c:numFmt formatCode="General" sourceLinked="0"/>
        <c:majorTickMark val="out"/>
        <c:minorTickMark val="none"/>
        <c:tickLblPos val="nextTo"/>
        <c:txPr>
          <a:bodyPr/>
          <a:lstStyle/>
          <a:p>
            <a:pPr>
              <a:defRPr lang="en-US"/>
            </a:pPr>
            <a:endParaRPr lang="en-US"/>
          </a:p>
        </c:txPr>
        <c:crossAx val="337044360"/>
        <c:crosses val="autoZero"/>
        <c:auto val="1"/>
        <c:lblAlgn val="ctr"/>
        <c:lblOffset val="100"/>
        <c:noMultiLvlLbl val="0"/>
      </c:catAx>
      <c:valAx>
        <c:axId val="3370443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047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7474032"/>
        <c:axId val="447474816"/>
      </c:lineChart>
      <c:catAx>
        <c:axId val="447474032"/>
        <c:scaling>
          <c:orientation val="minMax"/>
        </c:scaling>
        <c:delete val="0"/>
        <c:axPos val="b"/>
        <c:numFmt formatCode="General" sourceLinked="1"/>
        <c:majorTickMark val="out"/>
        <c:minorTickMark val="none"/>
        <c:tickLblPos val="nextTo"/>
        <c:txPr>
          <a:bodyPr/>
          <a:lstStyle/>
          <a:p>
            <a:pPr>
              <a:defRPr lang="en-US"/>
            </a:pPr>
            <a:endParaRPr lang="en-US"/>
          </a:p>
        </c:txPr>
        <c:crossAx val="447474816"/>
        <c:crosses val="autoZero"/>
        <c:auto val="1"/>
        <c:lblAlgn val="ctr"/>
        <c:lblOffset val="100"/>
        <c:noMultiLvlLbl val="0"/>
      </c:catAx>
      <c:valAx>
        <c:axId val="4474748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74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7476776"/>
        <c:axId val="337046712"/>
      </c:lineChart>
      <c:catAx>
        <c:axId val="447476776"/>
        <c:scaling>
          <c:orientation val="minMax"/>
        </c:scaling>
        <c:delete val="0"/>
        <c:axPos val="b"/>
        <c:numFmt formatCode="General" sourceLinked="0"/>
        <c:majorTickMark val="out"/>
        <c:minorTickMark val="none"/>
        <c:tickLblPos val="nextTo"/>
        <c:txPr>
          <a:bodyPr/>
          <a:lstStyle/>
          <a:p>
            <a:pPr>
              <a:defRPr lang="en-US"/>
            </a:pPr>
            <a:endParaRPr lang="en-US"/>
          </a:p>
        </c:txPr>
        <c:crossAx val="337046712"/>
        <c:crosses val="autoZero"/>
        <c:auto val="1"/>
        <c:lblAlgn val="ctr"/>
        <c:lblOffset val="100"/>
        <c:noMultiLvlLbl val="0"/>
      </c:catAx>
      <c:valAx>
        <c:axId val="337046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74767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8234656"/>
        <c:axId val="448238968"/>
      </c:lineChart>
      <c:catAx>
        <c:axId val="448234656"/>
        <c:scaling>
          <c:orientation val="minMax"/>
        </c:scaling>
        <c:delete val="0"/>
        <c:axPos val="b"/>
        <c:numFmt formatCode="General" sourceLinked="0"/>
        <c:majorTickMark val="out"/>
        <c:minorTickMark val="none"/>
        <c:tickLblPos val="nextTo"/>
        <c:txPr>
          <a:bodyPr/>
          <a:lstStyle/>
          <a:p>
            <a:pPr>
              <a:defRPr lang="en-US"/>
            </a:pPr>
            <a:endParaRPr lang="en-US"/>
          </a:p>
        </c:txPr>
        <c:crossAx val="448238968"/>
        <c:crosses val="autoZero"/>
        <c:auto val="1"/>
        <c:lblAlgn val="ctr"/>
        <c:lblOffset val="100"/>
        <c:noMultiLvlLbl val="0"/>
      </c:catAx>
      <c:valAx>
        <c:axId val="448238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82346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8238184"/>
        <c:axId val="448235048"/>
      </c:lineChart>
      <c:catAx>
        <c:axId val="448238184"/>
        <c:scaling>
          <c:orientation val="minMax"/>
        </c:scaling>
        <c:delete val="0"/>
        <c:axPos val="b"/>
        <c:numFmt formatCode="General" sourceLinked="0"/>
        <c:majorTickMark val="out"/>
        <c:minorTickMark val="none"/>
        <c:tickLblPos val="nextTo"/>
        <c:txPr>
          <a:bodyPr/>
          <a:lstStyle/>
          <a:p>
            <a:pPr>
              <a:defRPr lang="en-US"/>
            </a:pPr>
            <a:endParaRPr lang="en-US"/>
          </a:p>
        </c:txPr>
        <c:crossAx val="448235048"/>
        <c:crosses val="autoZero"/>
        <c:auto val="1"/>
        <c:lblAlgn val="ctr"/>
        <c:lblOffset val="100"/>
        <c:noMultiLvlLbl val="0"/>
      </c:catAx>
      <c:valAx>
        <c:axId val="4482350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82381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7044752"/>
        <c:axId val="337047888"/>
      </c:lineChart>
      <c:catAx>
        <c:axId val="337044752"/>
        <c:scaling>
          <c:orientation val="minMax"/>
        </c:scaling>
        <c:delete val="0"/>
        <c:axPos val="b"/>
        <c:numFmt formatCode="General" sourceLinked="0"/>
        <c:majorTickMark val="out"/>
        <c:minorTickMark val="none"/>
        <c:tickLblPos val="nextTo"/>
        <c:txPr>
          <a:bodyPr/>
          <a:lstStyle/>
          <a:p>
            <a:pPr>
              <a:defRPr lang="en-US"/>
            </a:pPr>
            <a:endParaRPr lang="en-US"/>
          </a:p>
        </c:txPr>
        <c:crossAx val="337047888"/>
        <c:crosses val="autoZero"/>
        <c:auto val="1"/>
        <c:lblAlgn val="ctr"/>
        <c:lblOffset val="100"/>
        <c:noMultiLvlLbl val="0"/>
      </c:catAx>
      <c:valAx>
        <c:axId val="337047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0447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37045536"/>
        <c:axId val="337050240"/>
      </c:lineChart>
      <c:catAx>
        <c:axId val="337045536"/>
        <c:scaling>
          <c:orientation val="minMax"/>
        </c:scaling>
        <c:delete val="0"/>
        <c:axPos val="b"/>
        <c:numFmt formatCode="General" sourceLinked="0"/>
        <c:majorTickMark val="out"/>
        <c:minorTickMark val="none"/>
        <c:tickLblPos val="nextTo"/>
        <c:txPr>
          <a:bodyPr/>
          <a:lstStyle/>
          <a:p>
            <a:pPr>
              <a:defRPr lang="en-US"/>
            </a:pPr>
            <a:endParaRPr lang="en-US"/>
          </a:p>
        </c:txPr>
        <c:crossAx val="337050240"/>
        <c:crosses val="autoZero"/>
        <c:auto val="1"/>
        <c:lblAlgn val="ctr"/>
        <c:lblOffset val="100"/>
        <c:noMultiLvlLbl val="0"/>
      </c:catAx>
      <c:valAx>
        <c:axId val="3370502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7045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50022544"/>
        <c:axId val="450023328"/>
      </c:lineChart>
      <c:catAx>
        <c:axId val="450022544"/>
        <c:scaling>
          <c:orientation val="minMax"/>
        </c:scaling>
        <c:delete val="0"/>
        <c:axPos val="b"/>
        <c:numFmt formatCode="General" sourceLinked="0"/>
        <c:majorTickMark val="out"/>
        <c:minorTickMark val="none"/>
        <c:tickLblPos val="nextTo"/>
        <c:txPr>
          <a:bodyPr/>
          <a:lstStyle/>
          <a:p>
            <a:pPr>
              <a:defRPr lang="en-US"/>
            </a:pPr>
            <a:endParaRPr lang="en-US"/>
          </a:p>
        </c:txPr>
        <c:crossAx val="450023328"/>
        <c:crosses val="autoZero"/>
        <c:auto val="1"/>
        <c:lblAlgn val="ctr"/>
        <c:lblOffset val="100"/>
        <c:noMultiLvlLbl val="0"/>
      </c:catAx>
      <c:valAx>
        <c:axId val="4500233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00225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A53" firstHeaderRow="0" firstDataRow="0" firstDataCol="1"/>
  <pivotFields count="29">
    <pivotField axis="axisRow"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axis="axisRow"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rowFields count="2">
    <field x="0"/>
    <field x="12"/>
  </rowFields>
  <rowItems count="52">
    <i>
      <x/>
    </i>
    <i r="1">
      <x/>
    </i>
    <i>
      <x v="2"/>
    </i>
    <i r="1">
      <x/>
    </i>
    <i r="1">
      <x v="1"/>
    </i>
    <i>
      <x v="3"/>
    </i>
    <i r="1">
      <x/>
    </i>
    <i>
      <x v="4"/>
    </i>
    <i r="1">
      <x/>
    </i>
    <i>
      <x v="5"/>
    </i>
    <i r="1">
      <x/>
    </i>
    <i r="1">
      <x v="1"/>
    </i>
    <i>
      <x v="6"/>
    </i>
    <i r="1">
      <x/>
    </i>
    <i>
      <x v="7"/>
    </i>
    <i r="1">
      <x/>
    </i>
    <i>
      <x v="8"/>
    </i>
    <i r="1">
      <x/>
    </i>
    <i>
      <x v="9"/>
    </i>
    <i r="1">
      <x/>
    </i>
    <i>
      <x v="10"/>
    </i>
    <i r="1">
      <x/>
    </i>
    <i r="1">
      <x v="1"/>
    </i>
    <i>
      <x v="11"/>
    </i>
    <i r="1">
      <x/>
    </i>
    <i>
      <x v="12"/>
    </i>
    <i r="1">
      <x/>
    </i>
    <i>
      <x v="13"/>
    </i>
    <i r="1">
      <x/>
    </i>
    <i>
      <x v="14"/>
    </i>
    <i r="1">
      <x/>
    </i>
    <i r="1">
      <x v="1"/>
    </i>
    <i>
      <x v="15"/>
    </i>
    <i r="1">
      <x v="1"/>
    </i>
    <i>
      <x v="16"/>
    </i>
    <i r="1">
      <x/>
    </i>
    <i>
      <x v="17"/>
    </i>
    <i r="1">
      <x/>
    </i>
    <i>
      <x v="18"/>
    </i>
    <i r="1">
      <x/>
    </i>
    <i>
      <x v="19"/>
    </i>
    <i r="1">
      <x/>
    </i>
    <i r="1">
      <x v="1"/>
    </i>
    <i>
      <x v="20"/>
    </i>
    <i r="1">
      <x/>
    </i>
    <i>
      <x v="21"/>
    </i>
    <i r="1">
      <x/>
    </i>
    <i>
      <x v="22"/>
    </i>
    <i r="1">
      <x/>
    </i>
    <i>
      <x v="23"/>
    </i>
    <i r="1">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8" sqref="B8"/>
    </sheetView>
  </sheetViews>
  <sheetFormatPr defaultRowHeight="15"/>
  <cols>
    <col min="1" max="16384" width="9.140625" style="260"/>
  </cols>
  <sheetData>
    <row r="1" spans="1:7">
      <c r="A1" s="260" t="s">
        <v>461</v>
      </c>
    </row>
    <row r="2" spans="1:7">
      <c r="A2" s="263" t="s">
        <v>446</v>
      </c>
      <c r="B2" s="262"/>
      <c r="C2" s="262"/>
      <c r="D2" s="262"/>
      <c r="E2" s="262"/>
      <c r="F2" s="262"/>
      <c r="G2" s="262"/>
    </row>
    <row r="4" spans="1:7">
      <c r="A4" s="264" t="s">
        <v>447</v>
      </c>
    </row>
    <row r="6" spans="1:7">
      <c r="A6" s="261" t="s">
        <v>455</v>
      </c>
    </row>
    <row r="7" spans="1:7">
      <c r="B7" s="264" t="s">
        <v>454</v>
      </c>
    </row>
    <row r="8" spans="1:7">
      <c r="B8" s="264" t="s">
        <v>456</v>
      </c>
    </row>
    <row r="9" spans="1:7">
      <c r="B9" s="260" t="s">
        <v>457</v>
      </c>
    </row>
    <row r="10" spans="1:7">
      <c r="B10" s="260" t="s">
        <v>458</v>
      </c>
    </row>
    <row r="12" spans="1:7">
      <c r="A12" s="261" t="s">
        <v>459</v>
      </c>
    </row>
    <row r="13" spans="1:7">
      <c r="B13" s="264" t="s">
        <v>449</v>
      </c>
    </row>
    <row r="14" spans="1:7">
      <c r="B14" s="264" t="s">
        <v>451</v>
      </c>
    </row>
    <row r="16" spans="1:7">
      <c r="A16" s="261" t="s">
        <v>460</v>
      </c>
    </row>
    <row r="17" spans="1:2">
      <c r="B17" s="264" t="s">
        <v>450</v>
      </c>
    </row>
    <row r="18" spans="1:2">
      <c r="B18" s="264" t="s">
        <v>452</v>
      </c>
    </row>
    <row r="20" spans="1:2">
      <c r="A20" s="264" t="s">
        <v>453</v>
      </c>
    </row>
    <row r="22" spans="1:2">
      <c r="A22" s="264" t="s">
        <v>448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3"/>
  <sheetViews>
    <sheetView workbookViewId="0">
      <selection activeCell="B10" sqref="B10"/>
    </sheetView>
  </sheetViews>
  <sheetFormatPr defaultRowHeight="15"/>
  <cols>
    <col min="1" max="1" width="36"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1">
      <c r="A2" s="265" t="s">
        <v>296</v>
      </c>
    </row>
    <row r="3" spans="1:1">
      <c r="A3" s="266" t="s">
        <v>347</v>
      </c>
    </row>
    <row r="4" spans="1:1">
      <c r="A4" s="265" t="s">
        <v>316</v>
      </c>
    </row>
    <row r="5" spans="1:1">
      <c r="A5" s="266" t="s">
        <v>347</v>
      </c>
    </row>
    <row r="6" spans="1:1">
      <c r="A6" s="266" t="s">
        <v>335</v>
      </c>
    </row>
    <row r="7" spans="1:1">
      <c r="A7" s="265" t="s">
        <v>327</v>
      </c>
    </row>
    <row r="8" spans="1:1">
      <c r="A8" s="266" t="s">
        <v>347</v>
      </c>
    </row>
    <row r="9" spans="1:1">
      <c r="A9" s="265" t="s">
        <v>322</v>
      </c>
    </row>
    <row r="10" spans="1:1">
      <c r="A10" s="266" t="s">
        <v>347</v>
      </c>
    </row>
    <row r="11" spans="1:1">
      <c r="A11" s="265" t="s">
        <v>291</v>
      </c>
    </row>
    <row r="12" spans="1:1">
      <c r="A12" s="266" t="s">
        <v>347</v>
      </c>
    </row>
    <row r="13" spans="1:1">
      <c r="A13" s="266" t="s">
        <v>335</v>
      </c>
    </row>
    <row r="14" spans="1:1">
      <c r="A14" s="265" t="s">
        <v>292</v>
      </c>
    </row>
    <row r="15" spans="1:1">
      <c r="A15" s="266" t="s">
        <v>347</v>
      </c>
    </row>
    <row r="16" spans="1:1">
      <c r="A16" s="265" t="s">
        <v>297</v>
      </c>
    </row>
    <row r="17" spans="1:1">
      <c r="A17" s="266" t="s">
        <v>347</v>
      </c>
    </row>
    <row r="18" spans="1:1">
      <c r="A18" s="265" t="s">
        <v>295</v>
      </c>
    </row>
    <row r="19" spans="1:1">
      <c r="A19" s="266" t="s">
        <v>347</v>
      </c>
    </row>
    <row r="20" spans="1:1">
      <c r="A20" s="265" t="s">
        <v>293</v>
      </c>
    </row>
    <row r="21" spans="1:1">
      <c r="A21" s="266" t="s">
        <v>347</v>
      </c>
    </row>
    <row r="22" spans="1:1">
      <c r="A22" s="265" t="s">
        <v>324</v>
      </c>
    </row>
    <row r="23" spans="1:1">
      <c r="A23" s="266" t="s">
        <v>347</v>
      </c>
    </row>
    <row r="24" spans="1:1">
      <c r="A24" s="266" t="s">
        <v>335</v>
      </c>
    </row>
    <row r="25" spans="1:1">
      <c r="A25" s="265" t="s">
        <v>300</v>
      </c>
    </row>
    <row r="26" spans="1:1">
      <c r="A26" s="266" t="s">
        <v>347</v>
      </c>
    </row>
    <row r="27" spans="1:1">
      <c r="A27" s="265" t="s">
        <v>325</v>
      </c>
    </row>
    <row r="28" spans="1:1">
      <c r="A28" s="266" t="s">
        <v>347</v>
      </c>
    </row>
    <row r="29" spans="1:1">
      <c r="A29" s="265" t="s">
        <v>304</v>
      </c>
    </row>
    <row r="30" spans="1:1">
      <c r="A30" s="266" t="s">
        <v>347</v>
      </c>
    </row>
    <row r="31" spans="1:1">
      <c r="A31" s="265" t="s">
        <v>302</v>
      </c>
    </row>
    <row r="32" spans="1:1">
      <c r="A32" s="266" t="s">
        <v>347</v>
      </c>
    </row>
    <row r="33" spans="1:1">
      <c r="A33" s="266" t="s">
        <v>335</v>
      </c>
    </row>
    <row r="34" spans="1:1">
      <c r="A34" s="265" t="s">
        <v>320</v>
      </c>
    </row>
    <row r="35" spans="1:1">
      <c r="A35" s="266" t="s">
        <v>335</v>
      </c>
    </row>
    <row r="36" spans="1:1">
      <c r="A36" s="265" t="s">
        <v>311</v>
      </c>
    </row>
    <row r="37" spans="1:1">
      <c r="A37" s="266" t="s">
        <v>347</v>
      </c>
    </row>
    <row r="38" spans="1:1">
      <c r="A38" s="265" t="s">
        <v>366</v>
      </c>
    </row>
    <row r="39" spans="1:1">
      <c r="A39" s="266" t="s">
        <v>347</v>
      </c>
    </row>
    <row r="40" spans="1:1">
      <c r="A40" s="265" t="s">
        <v>307</v>
      </c>
    </row>
    <row r="41" spans="1:1">
      <c r="A41" s="266" t="s">
        <v>347</v>
      </c>
    </row>
    <row r="42" spans="1:1">
      <c r="A42" s="265" t="s">
        <v>313</v>
      </c>
    </row>
    <row r="43" spans="1:1">
      <c r="A43" s="266" t="s">
        <v>347</v>
      </c>
    </row>
    <row r="44" spans="1:1">
      <c r="A44" s="266" t="s">
        <v>335</v>
      </c>
    </row>
    <row r="45" spans="1:1">
      <c r="A45" s="265" t="s">
        <v>503</v>
      </c>
    </row>
    <row r="46" spans="1:1">
      <c r="A46" s="266" t="s">
        <v>347</v>
      </c>
    </row>
    <row r="47" spans="1:1">
      <c r="A47" s="265" t="s">
        <v>582</v>
      </c>
    </row>
    <row r="48" spans="1:1">
      <c r="A48" s="266" t="s">
        <v>347</v>
      </c>
    </row>
    <row r="49" spans="1:1">
      <c r="A49" s="265" t="s">
        <v>494</v>
      </c>
    </row>
    <row r="50" spans="1:1">
      <c r="A50" s="266" t="s">
        <v>347</v>
      </c>
    </row>
    <row r="51" spans="1:1">
      <c r="A51" s="265" t="s">
        <v>275</v>
      </c>
    </row>
    <row r="52" spans="1:1">
      <c r="A52" s="266" t="s">
        <v>347</v>
      </c>
    </row>
    <row r="53" spans="1:1">
      <c r="A53" s="265" t="s">
        <v>462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2"/>
  <sheetViews>
    <sheetView tabSelected="1" zoomScale="70" zoomScaleNormal="70" workbookViewId="0">
      <pane xSplit="5" ySplit="2" topLeftCell="G64" activePane="bottomRight" state="frozen"/>
      <selection pane="topRight" activeCell="F1" sqref="F1"/>
      <selection pane="bottomLeft" activeCell="A3" sqref="A3"/>
      <selection pane="bottomRight" activeCell="I65" sqref="I65"/>
    </sheetView>
  </sheetViews>
  <sheetFormatPr defaultRowHeight="15.75"/>
  <cols>
    <col min="1" max="1" width="20.42578125" style="271" customWidth="1"/>
    <col min="2" max="2" width="14.85546875" style="272" customWidth="1"/>
    <col min="3" max="3" width="49.5703125" style="273" customWidth="1"/>
    <col min="4" max="4" width="50" style="273" customWidth="1"/>
    <col min="5" max="5" width="10.28515625" style="272" bestFit="1" customWidth="1"/>
    <col min="6" max="6" width="45.85546875" style="328" customWidth="1"/>
    <col min="7" max="8" width="18.5703125" style="328" customWidth="1"/>
    <col min="9" max="9" width="32.28515625" style="328" customWidth="1"/>
    <col min="10" max="10" width="52" style="328" customWidth="1"/>
    <col min="11" max="12" width="18.42578125" style="328" customWidth="1"/>
    <col min="13" max="13" width="18.5703125" style="328" customWidth="1"/>
    <col min="14" max="14" width="50.42578125" style="328" customWidth="1"/>
    <col min="15" max="15" width="37.140625" style="328" hidden="1" customWidth="1"/>
    <col min="16" max="16" width="18.42578125" style="328" hidden="1" customWidth="1"/>
    <col min="17" max="18" width="18.5703125" style="328" hidden="1" customWidth="1"/>
    <col min="19" max="19" width="32.28515625" style="328" hidden="1" customWidth="1"/>
    <col min="20" max="20" width="37.140625" style="328" hidden="1" customWidth="1"/>
    <col min="21" max="22" width="18.5703125" style="328" hidden="1" customWidth="1"/>
    <col min="23" max="23" width="32.28515625" style="328" hidden="1" customWidth="1"/>
    <col min="24" max="24" width="9.140625" style="272"/>
    <col min="25" max="25" width="19.7109375" style="273" customWidth="1"/>
    <col min="26" max="27" width="20.42578125" style="271" customWidth="1"/>
    <col min="28" max="28" width="19.7109375" style="273" hidden="1" customWidth="1"/>
    <col min="29" max="29" width="19.7109375" style="273" customWidth="1"/>
    <col min="30" max="30" width="9.140625" style="276"/>
    <col min="31" max="16384" width="9.140625" style="277"/>
  </cols>
  <sheetData>
    <row r="1" spans="1:30" ht="27.75" customHeight="1">
      <c r="E1" s="274"/>
      <c r="F1" s="357" t="s">
        <v>352</v>
      </c>
      <c r="G1" s="357"/>
      <c r="H1" s="357"/>
      <c r="I1" s="357"/>
      <c r="J1" s="357" t="s">
        <v>362</v>
      </c>
      <c r="K1" s="357"/>
      <c r="L1" s="357"/>
      <c r="M1" s="357"/>
      <c r="N1" s="357"/>
      <c r="O1" s="357" t="s">
        <v>361</v>
      </c>
      <c r="P1" s="357"/>
      <c r="Q1" s="357"/>
      <c r="R1" s="357"/>
      <c r="S1" s="357"/>
      <c r="T1" s="357" t="s">
        <v>358</v>
      </c>
      <c r="U1" s="357"/>
      <c r="V1" s="357"/>
      <c r="W1" s="357"/>
      <c r="X1" s="275"/>
    </row>
    <row r="2" spans="1:30" s="285" customFormat="1" ht="103.5" customHeight="1">
      <c r="A2" s="278" t="s">
        <v>287</v>
      </c>
      <c r="B2" s="279" t="s">
        <v>333</v>
      </c>
      <c r="C2" s="280" t="s">
        <v>0</v>
      </c>
      <c r="D2" s="280" t="s">
        <v>1</v>
      </c>
      <c r="E2" s="281" t="s">
        <v>328</v>
      </c>
      <c r="F2" s="282" t="s">
        <v>332</v>
      </c>
      <c r="G2" s="282" t="s">
        <v>329</v>
      </c>
      <c r="H2" s="282" t="s">
        <v>330</v>
      </c>
      <c r="I2" s="282" t="s">
        <v>331</v>
      </c>
      <c r="J2" s="282" t="s">
        <v>353</v>
      </c>
      <c r="K2" s="282" t="s">
        <v>471</v>
      </c>
      <c r="L2" s="282" t="s">
        <v>349</v>
      </c>
      <c r="M2" s="282" t="s">
        <v>350</v>
      </c>
      <c r="N2" s="282" t="s">
        <v>351</v>
      </c>
      <c r="O2" s="282" t="s">
        <v>354</v>
      </c>
      <c r="P2" s="282" t="s">
        <v>472</v>
      </c>
      <c r="Q2" s="282" t="s">
        <v>355</v>
      </c>
      <c r="R2" s="282" t="s">
        <v>356</v>
      </c>
      <c r="S2" s="282" t="s">
        <v>357</v>
      </c>
      <c r="T2" s="282" t="s">
        <v>359</v>
      </c>
      <c r="U2" s="282" t="s">
        <v>473</v>
      </c>
      <c r="V2" s="282" t="s">
        <v>474</v>
      </c>
      <c r="W2" s="282" t="s">
        <v>360</v>
      </c>
      <c r="X2" s="283" t="s">
        <v>279</v>
      </c>
      <c r="Y2" s="278" t="s">
        <v>272</v>
      </c>
      <c r="Z2" s="278" t="s">
        <v>286</v>
      </c>
      <c r="AA2" s="278" t="s">
        <v>422</v>
      </c>
      <c r="AB2" s="278" t="s">
        <v>363</v>
      </c>
      <c r="AC2" s="278" t="s">
        <v>264</v>
      </c>
      <c r="AD2" s="284" t="s">
        <v>319</v>
      </c>
    </row>
    <row r="3" spans="1:30" ht="99.95" customHeight="1">
      <c r="A3" s="286" t="s">
        <v>293</v>
      </c>
      <c r="B3" s="287" t="s">
        <v>2</v>
      </c>
      <c r="C3" s="288" t="s">
        <v>3</v>
      </c>
      <c r="D3" s="289" t="s">
        <v>4</v>
      </c>
      <c r="E3" s="290">
        <v>43890</v>
      </c>
      <c r="F3" s="291" t="s">
        <v>575</v>
      </c>
      <c r="G3" s="291"/>
      <c r="H3" s="292" t="s">
        <v>344</v>
      </c>
      <c r="I3" s="293"/>
      <c r="J3" s="340" t="s">
        <v>590</v>
      </c>
      <c r="K3" s="340"/>
      <c r="L3" s="7"/>
      <c r="M3" s="8" t="s">
        <v>344</v>
      </c>
      <c r="N3" s="267"/>
      <c r="O3" s="294"/>
      <c r="P3" s="294"/>
      <c r="Q3" s="291"/>
      <c r="R3" s="292" t="s">
        <v>347</v>
      </c>
      <c r="S3" s="293"/>
      <c r="T3" s="294"/>
      <c r="U3" s="291"/>
      <c r="V3" s="292" t="s">
        <v>334</v>
      </c>
      <c r="W3" s="293"/>
      <c r="X3" s="295" t="s">
        <v>280</v>
      </c>
      <c r="Y3" s="286" t="s">
        <v>273</v>
      </c>
      <c r="Z3" s="286" t="s">
        <v>288</v>
      </c>
      <c r="AA3" s="286" t="s">
        <v>278</v>
      </c>
      <c r="AB3" s="286" t="s">
        <v>265</v>
      </c>
      <c r="AC3" s="286" t="s">
        <v>369</v>
      </c>
      <c r="AD3" s="296">
        <v>1</v>
      </c>
    </row>
    <row r="4" spans="1:30" ht="99.95" customHeight="1">
      <c r="A4" s="286" t="s">
        <v>293</v>
      </c>
      <c r="B4" s="287" t="s">
        <v>5</v>
      </c>
      <c r="C4" s="288" t="s">
        <v>6</v>
      </c>
      <c r="D4" s="289" t="s">
        <v>7</v>
      </c>
      <c r="E4" s="290">
        <v>43921</v>
      </c>
      <c r="F4" s="291" t="s">
        <v>513</v>
      </c>
      <c r="G4" s="291"/>
      <c r="H4" s="292" t="s">
        <v>348</v>
      </c>
      <c r="I4" s="293"/>
      <c r="J4" s="340" t="s">
        <v>589</v>
      </c>
      <c r="K4" s="340"/>
      <c r="L4" s="7"/>
      <c r="M4" s="8" t="s">
        <v>348</v>
      </c>
      <c r="N4" s="267"/>
      <c r="O4" s="294"/>
      <c r="P4" s="294"/>
      <c r="Q4" s="291"/>
      <c r="R4" s="292" t="s">
        <v>347</v>
      </c>
      <c r="S4" s="293"/>
      <c r="T4" s="294"/>
      <c r="U4" s="291"/>
      <c r="V4" s="292" t="s">
        <v>334</v>
      </c>
      <c r="W4" s="293"/>
      <c r="X4" s="295" t="s">
        <v>280</v>
      </c>
      <c r="Y4" s="286" t="s">
        <v>273</v>
      </c>
      <c r="Z4" s="286" t="s">
        <v>288</v>
      </c>
      <c r="AA4" s="286" t="s">
        <v>278</v>
      </c>
      <c r="AB4" s="286" t="s">
        <v>265</v>
      </c>
      <c r="AC4" s="286" t="s">
        <v>369</v>
      </c>
      <c r="AD4" s="296">
        <v>2</v>
      </c>
    </row>
    <row r="5" spans="1:30" ht="99.95" customHeight="1">
      <c r="A5" s="286" t="s">
        <v>293</v>
      </c>
      <c r="B5" s="287" t="s">
        <v>8</v>
      </c>
      <c r="C5" s="288" t="s">
        <v>9</v>
      </c>
      <c r="D5" s="297" t="s">
        <v>10</v>
      </c>
      <c r="E5" s="298">
        <v>43677</v>
      </c>
      <c r="F5" s="299" t="s">
        <v>514</v>
      </c>
      <c r="G5" s="299"/>
      <c r="H5" s="300" t="s">
        <v>344</v>
      </c>
      <c r="I5" s="301"/>
      <c r="J5" s="341" t="s">
        <v>591</v>
      </c>
      <c r="K5" s="341"/>
      <c r="L5" s="9"/>
      <c r="M5" s="10" t="s">
        <v>335</v>
      </c>
      <c r="N5" s="268"/>
      <c r="O5" s="302"/>
      <c r="P5" s="302"/>
      <c r="Q5" s="299"/>
      <c r="R5" s="300" t="s">
        <v>347</v>
      </c>
      <c r="S5" s="301"/>
      <c r="T5" s="302"/>
      <c r="U5" s="299"/>
      <c r="V5" s="292" t="s">
        <v>334</v>
      </c>
      <c r="W5" s="301"/>
      <c r="X5" s="303" t="s">
        <v>282</v>
      </c>
      <c r="Y5" s="286" t="s">
        <v>273</v>
      </c>
      <c r="Z5" s="286" t="s">
        <v>288</v>
      </c>
      <c r="AA5" s="286" t="s">
        <v>278</v>
      </c>
      <c r="AB5" s="286" t="s">
        <v>265</v>
      </c>
      <c r="AC5" s="286" t="s">
        <v>369</v>
      </c>
      <c r="AD5" s="296">
        <v>3</v>
      </c>
    </row>
    <row r="6" spans="1:30" ht="99.95" customHeight="1">
      <c r="A6" s="286" t="s">
        <v>293</v>
      </c>
      <c r="B6" s="287" t="s">
        <v>11</v>
      </c>
      <c r="C6" s="304" t="s">
        <v>12</v>
      </c>
      <c r="D6" s="289" t="s">
        <v>13</v>
      </c>
      <c r="E6" s="290">
        <v>43921</v>
      </c>
      <c r="F6" s="291" t="s">
        <v>515</v>
      </c>
      <c r="G6" s="291"/>
      <c r="H6" s="292" t="s">
        <v>344</v>
      </c>
      <c r="I6" s="293"/>
      <c r="J6" s="7" t="s">
        <v>650</v>
      </c>
      <c r="K6" s="340"/>
      <c r="L6" s="7"/>
      <c r="M6" s="8" t="s">
        <v>344</v>
      </c>
      <c r="N6" s="267"/>
      <c r="O6" s="294"/>
      <c r="P6" s="294"/>
      <c r="Q6" s="291"/>
      <c r="R6" s="292" t="s">
        <v>347</v>
      </c>
      <c r="S6" s="293"/>
      <c r="T6" s="294"/>
      <c r="U6" s="291"/>
      <c r="V6" s="292" t="s">
        <v>334</v>
      </c>
      <c r="W6" s="293"/>
      <c r="X6" s="303" t="s">
        <v>280</v>
      </c>
      <c r="Y6" s="286" t="s">
        <v>273</v>
      </c>
      <c r="Z6" s="286" t="s">
        <v>288</v>
      </c>
      <c r="AA6" s="286" t="s">
        <v>278</v>
      </c>
      <c r="AB6" s="286" t="s">
        <v>265</v>
      </c>
      <c r="AC6" s="286" t="s">
        <v>369</v>
      </c>
      <c r="AD6" s="296">
        <v>4</v>
      </c>
    </row>
    <row r="7" spans="1:30" ht="99.95" customHeight="1">
      <c r="A7" s="286" t="s">
        <v>293</v>
      </c>
      <c r="B7" s="287" t="s">
        <v>14</v>
      </c>
      <c r="C7" s="288" t="s">
        <v>15</v>
      </c>
      <c r="D7" s="297" t="s">
        <v>16</v>
      </c>
      <c r="E7" s="290">
        <v>43921</v>
      </c>
      <c r="F7" s="299" t="s">
        <v>537</v>
      </c>
      <c r="G7" s="299"/>
      <c r="H7" s="300" t="s">
        <v>344</v>
      </c>
      <c r="I7" s="301"/>
      <c r="J7" s="341" t="s">
        <v>684</v>
      </c>
      <c r="K7" s="341"/>
      <c r="L7" s="9"/>
      <c r="M7" s="10" t="s">
        <v>344</v>
      </c>
      <c r="N7" s="268"/>
      <c r="O7" s="302"/>
      <c r="P7" s="302"/>
      <c r="Q7" s="299"/>
      <c r="R7" s="300" t="s">
        <v>347</v>
      </c>
      <c r="S7" s="301"/>
      <c r="T7" s="302"/>
      <c r="U7" s="299"/>
      <c r="V7" s="292" t="s">
        <v>334</v>
      </c>
      <c r="W7" s="301"/>
      <c r="X7" s="303" t="s">
        <v>280</v>
      </c>
      <c r="Y7" s="286" t="s">
        <v>273</v>
      </c>
      <c r="Z7" s="286" t="s">
        <v>288</v>
      </c>
      <c r="AA7" s="286" t="s">
        <v>278</v>
      </c>
      <c r="AB7" s="286" t="s">
        <v>265</v>
      </c>
      <c r="AC7" s="286" t="s">
        <v>369</v>
      </c>
      <c r="AD7" s="296">
        <v>5</v>
      </c>
    </row>
    <row r="8" spans="1:30" ht="99.95" customHeight="1">
      <c r="A8" s="286" t="s">
        <v>293</v>
      </c>
      <c r="B8" s="287" t="s">
        <v>17</v>
      </c>
      <c r="C8" s="288" t="s">
        <v>18</v>
      </c>
      <c r="D8" s="297" t="s">
        <v>19</v>
      </c>
      <c r="E8" s="290">
        <v>43921</v>
      </c>
      <c r="F8" s="299"/>
      <c r="G8" s="299"/>
      <c r="H8" s="300" t="s">
        <v>348</v>
      </c>
      <c r="I8" s="301"/>
      <c r="J8" s="341" t="s">
        <v>669</v>
      </c>
      <c r="K8" s="341"/>
      <c r="L8" s="9"/>
      <c r="M8" s="10" t="s">
        <v>344</v>
      </c>
      <c r="N8" s="268"/>
      <c r="O8" s="302"/>
      <c r="P8" s="302"/>
      <c r="Q8" s="299"/>
      <c r="R8" s="300" t="s">
        <v>347</v>
      </c>
      <c r="S8" s="301"/>
      <c r="T8" s="302"/>
      <c r="U8" s="299"/>
      <c r="V8" s="292" t="s">
        <v>334</v>
      </c>
      <c r="W8" s="301"/>
      <c r="X8" s="303" t="s">
        <v>280</v>
      </c>
      <c r="Y8" s="286" t="s">
        <v>273</v>
      </c>
      <c r="Z8" s="286" t="s">
        <v>288</v>
      </c>
      <c r="AA8" s="286" t="s">
        <v>278</v>
      </c>
      <c r="AB8" s="286" t="s">
        <v>265</v>
      </c>
      <c r="AC8" s="286" t="s">
        <v>369</v>
      </c>
      <c r="AD8" s="296">
        <v>6</v>
      </c>
    </row>
    <row r="9" spans="1:30" ht="99.95" customHeight="1">
      <c r="A9" s="286" t="s">
        <v>503</v>
      </c>
      <c r="B9" s="287" t="s">
        <v>20</v>
      </c>
      <c r="C9" s="288" t="s">
        <v>21</v>
      </c>
      <c r="D9" s="297" t="s">
        <v>22</v>
      </c>
      <c r="E9" s="298">
        <v>43830</v>
      </c>
      <c r="F9" s="299" t="s">
        <v>536</v>
      </c>
      <c r="G9" s="299"/>
      <c r="H9" s="300" t="s">
        <v>344</v>
      </c>
      <c r="I9" s="301"/>
      <c r="J9" s="341" t="s">
        <v>691</v>
      </c>
      <c r="K9" s="341"/>
      <c r="L9" s="9"/>
      <c r="M9" s="10" t="s">
        <v>345</v>
      </c>
      <c r="N9" s="268"/>
      <c r="O9" s="302"/>
      <c r="P9" s="302"/>
      <c r="Q9" s="299"/>
      <c r="R9" s="300" t="s">
        <v>347</v>
      </c>
      <c r="S9" s="301"/>
      <c r="T9" s="302"/>
      <c r="U9" s="299"/>
      <c r="V9" s="292" t="s">
        <v>334</v>
      </c>
      <c r="W9" s="301"/>
      <c r="X9" s="303" t="s">
        <v>283</v>
      </c>
      <c r="Y9" s="286" t="s">
        <v>273</v>
      </c>
      <c r="Z9" s="286" t="s">
        <v>290</v>
      </c>
      <c r="AA9" s="286" t="s">
        <v>278</v>
      </c>
      <c r="AB9" s="286" t="s">
        <v>265</v>
      </c>
      <c r="AC9" s="286" t="s">
        <v>369</v>
      </c>
      <c r="AD9" s="296">
        <v>7</v>
      </c>
    </row>
    <row r="10" spans="1:30" ht="134.25" customHeight="1">
      <c r="A10" s="286" t="s">
        <v>291</v>
      </c>
      <c r="B10" s="287" t="s">
        <v>23</v>
      </c>
      <c r="C10" s="288" t="s">
        <v>21</v>
      </c>
      <c r="D10" s="297" t="s">
        <v>24</v>
      </c>
      <c r="E10" s="298">
        <v>43738</v>
      </c>
      <c r="F10" s="299" t="s">
        <v>538</v>
      </c>
      <c r="G10" s="299"/>
      <c r="H10" s="300" t="s">
        <v>344</v>
      </c>
      <c r="I10" s="301"/>
      <c r="J10" s="341" t="s">
        <v>640</v>
      </c>
      <c r="K10" s="341"/>
      <c r="L10" s="9"/>
      <c r="M10" s="10" t="s">
        <v>335</v>
      </c>
      <c r="N10" s="268"/>
      <c r="O10" s="302"/>
      <c r="P10" s="302"/>
      <c r="Q10" s="299"/>
      <c r="R10" s="300" t="s">
        <v>347</v>
      </c>
      <c r="S10" s="301"/>
      <c r="T10" s="302"/>
      <c r="U10" s="299"/>
      <c r="V10" s="292" t="s">
        <v>334</v>
      </c>
      <c r="W10" s="301"/>
      <c r="X10" s="303" t="s">
        <v>282</v>
      </c>
      <c r="Y10" s="286" t="s">
        <v>273</v>
      </c>
      <c r="Z10" s="286" t="s">
        <v>290</v>
      </c>
      <c r="AA10" s="286" t="s">
        <v>278</v>
      </c>
      <c r="AB10" s="286" t="s">
        <v>265</v>
      </c>
      <c r="AC10" s="286" t="s">
        <v>369</v>
      </c>
      <c r="AD10" s="296">
        <v>8</v>
      </c>
    </row>
    <row r="11" spans="1:30" ht="99.95" customHeight="1">
      <c r="A11" s="286" t="s">
        <v>503</v>
      </c>
      <c r="B11" s="287" t="s">
        <v>25</v>
      </c>
      <c r="C11" s="288" t="s">
        <v>21</v>
      </c>
      <c r="D11" s="297" t="s">
        <v>26</v>
      </c>
      <c r="E11" s="290">
        <v>43921</v>
      </c>
      <c r="F11" s="299"/>
      <c r="G11" s="299"/>
      <c r="H11" s="300" t="s">
        <v>348</v>
      </c>
      <c r="I11" s="301"/>
      <c r="J11" s="341" t="s">
        <v>615</v>
      </c>
      <c r="K11" s="341"/>
      <c r="L11" s="346">
        <v>0.86</v>
      </c>
      <c r="M11" s="10" t="s">
        <v>344</v>
      </c>
      <c r="N11" s="268" t="s">
        <v>616</v>
      </c>
      <c r="O11" s="302"/>
      <c r="P11" s="302"/>
      <c r="Q11" s="299"/>
      <c r="R11" s="300" t="s">
        <v>347</v>
      </c>
      <c r="S11" s="301"/>
      <c r="T11" s="302"/>
      <c r="U11" s="299"/>
      <c r="V11" s="292" t="s">
        <v>334</v>
      </c>
      <c r="W11" s="301"/>
      <c r="X11" s="303" t="s">
        <v>280</v>
      </c>
      <c r="Y11" s="286" t="s">
        <v>273</v>
      </c>
      <c r="Z11" s="286" t="s">
        <v>290</v>
      </c>
      <c r="AA11" s="286" t="s">
        <v>278</v>
      </c>
      <c r="AB11" s="286" t="s">
        <v>265</v>
      </c>
      <c r="AC11" s="286" t="s">
        <v>369</v>
      </c>
      <c r="AD11" s="296">
        <v>9</v>
      </c>
    </row>
    <row r="12" spans="1:30" ht="99.95" customHeight="1">
      <c r="A12" s="286" t="s">
        <v>292</v>
      </c>
      <c r="B12" s="287" t="s">
        <v>27</v>
      </c>
      <c r="C12" s="288" t="s">
        <v>28</v>
      </c>
      <c r="D12" s="297" t="s">
        <v>29</v>
      </c>
      <c r="E12" s="290">
        <v>43921</v>
      </c>
      <c r="F12" s="299" t="s">
        <v>496</v>
      </c>
      <c r="G12" s="299"/>
      <c r="H12" s="300" t="s">
        <v>344</v>
      </c>
      <c r="I12" s="301"/>
      <c r="J12" s="9" t="s">
        <v>496</v>
      </c>
      <c r="K12" s="341"/>
      <c r="L12" s="9"/>
      <c r="M12" s="10" t="s">
        <v>344</v>
      </c>
      <c r="N12" s="268"/>
      <c r="O12" s="302"/>
      <c r="P12" s="302"/>
      <c r="Q12" s="299"/>
      <c r="R12" s="300" t="s">
        <v>347</v>
      </c>
      <c r="S12" s="301"/>
      <c r="T12" s="302"/>
      <c r="U12" s="299"/>
      <c r="V12" s="292" t="s">
        <v>334</v>
      </c>
      <c r="W12" s="301"/>
      <c r="X12" s="303" t="s">
        <v>280</v>
      </c>
      <c r="Y12" s="286" t="s">
        <v>273</v>
      </c>
      <c r="Z12" s="286" t="s">
        <v>289</v>
      </c>
      <c r="AA12" s="286" t="s">
        <v>278</v>
      </c>
      <c r="AB12" s="286" t="s">
        <v>265</v>
      </c>
      <c r="AC12" s="286" t="s">
        <v>369</v>
      </c>
      <c r="AD12" s="296">
        <v>10</v>
      </c>
    </row>
    <row r="13" spans="1:30" ht="99.95" customHeight="1">
      <c r="A13" s="286" t="s">
        <v>292</v>
      </c>
      <c r="B13" s="287" t="s">
        <v>30</v>
      </c>
      <c r="C13" s="288" t="s">
        <v>31</v>
      </c>
      <c r="D13" s="289" t="s">
        <v>32</v>
      </c>
      <c r="E13" s="298">
        <v>43830</v>
      </c>
      <c r="F13" s="291" t="s">
        <v>497</v>
      </c>
      <c r="G13" s="291"/>
      <c r="H13" s="292" t="s">
        <v>344</v>
      </c>
      <c r="I13" s="293"/>
      <c r="J13" s="340" t="s">
        <v>592</v>
      </c>
      <c r="K13" s="340"/>
      <c r="L13" s="7"/>
      <c r="M13" s="8" t="s">
        <v>335</v>
      </c>
      <c r="N13" s="267"/>
      <c r="O13" s="294"/>
      <c r="P13" s="294"/>
      <c r="Q13" s="291"/>
      <c r="R13" s="292" t="s">
        <v>347</v>
      </c>
      <c r="S13" s="293"/>
      <c r="T13" s="294"/>
      <c r="U13" s="291"/>
      <c r="V13" s="292" t="s">
        <v>334</v>
      </c>
      <c r="W13" s="293"/>
      <c r="X13" s="295" t="s">
        <v>283</v>
      </c>
      <c r="Y13" s="286" t="s">
        <v>273</v>
      </c>
      <c r="Z13" s="286" t="s">
        <v>289</v>
      </c>
      <c r="AA13" s="286" t="s">
        <v>278</v>
      </c>
      <c r="AB13" s="286" t="s">
        <v>265</v>
      </c>
      <c r="AC13" s="286" t="s">
        <v>369</v>
      </c>
      <c r="AD13" s="296">
        <v>11</v>
      </c>
    </row>
    <row r="14" spans="1:30" ht="99.95" customHeight="1">
      <c r="A14" s="286" t="s">
        <v>291</v>
      </c>
      <c r="B14" s="287" t="s">
        <v>33</v>
      </c>
      <c r="C14" s="304" t="s">
        <v>34</v>
      </c>
      <c r="D14" s="289" t="s">
        <v>35</v>
      </c>
      <c r="E14" s="290">
        <v>43616</v>
      </c>
      <c r="F14" s="291" t="s">
        <v>539</v>
      </c>
      <c r="G14" s="291"/>
      <c r="H14" s="292" t="s">
        <v>335</v>
      </c>
      <c r="I14" s="293"/>
      <c r="J14" s="340" t="s">
        <v>641</v>
      </c>
      <c r="K14" s="340"/>
      <c r="L14" s="7"/>
      <c r="M14" s="8" t="s">
        <v>335</v>
      </c>
      <c r="N14" s="267"/>
      <c r="O14" s="294"/>
      <c r="P14" s="294"/>
      <c r="Q14" s="291"/>
      <c r="R14" s="292" t="s">
        <v>347</v>
      </c>
      <c r="S14" s="293"/>
      <c r="T14" s="294"/>
      <c r="U14" s="291"/>
      <c r="V14" s="292" t="s">
        <v>334</v>
      </c>
      <c r="W14" s="293"/>
      <c r="X14" s="295" t="s">
        <v>281</v>
      </c>
      <c r="Y14" s="286" t="s">
        <v>274</v>
      </c>
      <c r="Z14" s="286" t="s">
        <v>318</v>
      </c>
      <c r="AA14" s="286" t="s">
        <v>278</v>
      </c>
      <c r="AB14" s="286" t="s">
        <v>265</v>
      </c>
      <c r="AC14" s="286" t="s">
        <v>369</v>
      </c>
      <c r="AD14" s="296">
        <v>12</v>
      </c>
    </row>
    <row r="15" spans="1:30" ht="99.95" customHeight="1">
      <c r="A15" s="286" t="s">
        <v>291</v>
      </c>
      <c r="B15" s="287" t="s">
        <v>36</v>
      </c>
      <c r="C15" s="304" t="s">
        <v>37</v>
      </c>
      <c r="D15" s="289" t="s">
        <v>38</v>
      </c>
      <c r="E15" s="298">
        <v>43830</v>
      </c>
      <c r="F15" s="291"/>
      <c r="G15" s="291"/>
      <c r="H15" s="292" t="s">
        <v>348</v>
      </c>
      <c r="I15" s="293"/>
      <c r="J15" s="340"/>
      <c r="K15" s="340"/>
      <c r="L15" s="7"/>
      <c r="M15" s="8" t="s">
        <v>348</v>
      </c>
      <c r="N15" s="267"/>
      <c r="O15" s="294"/>
      <c r="P15" s="294"/>
      <c r="Q15" s="291"/>
      <c r="R15" s="292" t="s">
        <v>347</v>
      </c>
      <c r="S15" s="293"/>
      <c r="T15" s="294"/>
      <c r="U15" s="291"/>
      <c r="V15" s="292" t="s">
        <v>334</v>
      </c>
      <c r="W15" s="293"/>
      <c r="X15" s="295" t="s">
        <v>283</v>
      </c>
      <c r="Y15" s="286" t="s">
        <v>273</v>
      </c>
      <c r="Z15" s="286" t="s">
        <v>290</v>
      </c>
      <c r="AA15" s="286" t="s">
        <v>278</v>
      </c>
      <c r="AB15" s="286" t="s">
        <v>265</v>
      </c>
      <c r="AC15" s="286" t="s">
        <v>369</v>
      </c>
      <c r="AD15" s="296">
        <v>13</v>
      </c>
    </row>
    <row r="16" spans="1:30" ht="99.95" customHeight="1">
      <c r="A16" s="286" t="s">
        <v>295</v>
      </c>
      <c r="B16" s="287" t="s">
        <v>39</v>
      </c>
      <c r="C16" s="288" t="s">
        <v>40</v>
      </c>
      <c r="D16" s="305" t="s">
        <v>463</v>
      </c>
      <c r="E16" s="306"/>
      <c r="F16" s="307" t="s">
        <v>626</v>
      </c>
      <c r="G16" s="307"/>
      <c r="H16" s="308" t="s">
        <v>344</v>
      </c>
      <c r="I16" s="309"/>
      <c r="J16" s="342">
        <v>0.62</v>
      </c>
      <c r="K16" s="342">
        <v>1.32</v>
      </c>
      <c r="L16" s="11">
        <v>2.75</v>
      </c>
      <c r="M16" s="12" t="s">
        <v>344</v>
      </c>
      <c r="N16" s="269" t="s">
        <v>651</v>
      </c>
      <c r="O16" s="310"/>
      <c r="P16" s="310"/>
      <c r="Q16" s="307"/>
      <c r="R16" s="308" t="s">
        <v>347</v>
      </c>
      <c r="S16" s="309"/>
      <c r="T16" s="310"/>
      <c r="U16" s="307"/>
      <c r="V16" s="292" t="s">
        <v>334</v>
      </c>
      <c r="W16" s="309"/>
      <c r="X16" s="311" t="s">
        <v>284</v>
      </c>
      <c r="Y16" s="286" t="s">
        <v>274</v>
      </c>
      <c r="Z16" s="286" t="s">
        <v>294</v>
      </c>
      <c r="AA16" s="286" t="s">
        <v>278</v>
      </c>
      <c r="AB16" s="286" t="s">
        <v>265</v>
      </c>
      <c r="AC16" s="286" t="s">
        <v>369</v>
      </c>
      <c r="AD16" s="296">
        <v>14</v>
      </c>
    </row>
    <row r="17" spans="1:30" ht="99.95" customHeight="1">
      <c r="A17" s="286" t="s">
        <v>295</v>
      </c>
      <c r="B17" s="287" t="s">
        <v>41</v>
      </c>
      <c r="C17" s="288" t="s">
        <v>42</v>
      </c>
      <c r="D17" s="305" t="s">
        <v>464</v>
      </c>
      <c r="E17" s="306"/>
      <c r="F17" s="307">
        <v>10</v>
      </c>
      <c r="G17" s="307"/>
      <c r="H17" s="308" t="s">
        <v>344</v>
      </c>
      <c r="I17" s="309"/>
      <c r="J17" s="342">
        <v>10</v>
      </c>
      <c r="K17" s="342">
        <v>10</v>
      </c>
      <c r="L17" s="11">
        <v>12</v>
      </c>
      <c r="M17" s="12" t="s">
        <v>344</v>
      </c>
      <c r="N17" s="269"/>
      <c r="O17" s="310"/>
      <c r="P17" s="310"/>
      <c r="Q17" s="307"/>
      <c r="R17" s="308" t="s">
        <v>347</v>
      </c>
      <c r="S17" s="309"/>
      <c r="T17" s="310"/>
      <c r="U17" s="307"/>
      <c r="V17" s="292" t="s">
        <v>334</v>
      </c>
      <c r="W17" s="309"/>
      <c r="X17" s="311" t="s">
        <v>284</v>
      </c>
      <c r="Y17" s="286" t="s">
        <v>274</v>
      </c>
      <c r="Z17" s="286" t="s">
        <v>294</v>
      </c>
      <c r="AA17" s="286" t="s">
        <v>278</v>
      </c>
      <c r="AB17" s="286" t="s">
        <v>265</v>
      </c>
      <c r="AC17" s="286" t="s">
        <v>369</v>
      </c>
      <c r="AD17" s="296">
        <v>15</v>
      </c>
    </row>
    <row r="18" spans="1:30" ht="99.95" customHeight="1">
      <c r="A18" s="286" t="s">
        <v>296</v>
      </c>
      <c r="B18" s="287" t="s">
        <v>43</v>
      </c>
      <c r="C18" s="288" t="s">
        <v>44</v>
      </c>
      <c r="D18" s="289" t="s">
        <v>45</v>
      </c>
      <c r="E18" s="290">
        <v>43921</v>
      </c>
      <c r="F18" s="291"/>
      <c r="G18" s="291"/>
      <c r="H18" s="292" t="s">
        <v>348</v>
      </c>
      <c r="I18" s="293"/>
      <c r="J18" s="340"/>
      <c r="K18" s="340"/>
      <c r="L18" s="7"/>
      <c r="M18" s="8" t="s">
        <v>344</v>
      </c>
      <c r="N18" s="267"/>
      <c r="O18" s="294"/>
      <c r="P18" s="294"/>
      <c r="Q18" s="291"/>
      <c r="R18" s="292" t="s">
        <v>347</v>
      </c>
      <c r="S18" s="293"/>
      <c r="T18" s="294"/>
      <c r="U18" s="291"/>
      <c r="V18" s="292" t="s">
        <v>334</v>
      </c>
      <c r="W18" s="293"/>
      <c r="X18" s="312" t="s">
        <v>280</v>
      </c>
      <c r="Y18" s="313" t="s">
        <v>274</v>
      </c>
      <c r="Z18" s="313" t="s">
        <v>299</v>
      </c>
      <c r="AA18" s="313" t="s">
        <v>278</v>
      </c>
      <c r="AB18" s="313" t="s">
        <v>265</v>
      </c>
      <c r="AC18" s="286" t="s">
        <v>369</v>
      </c>
      <c r="AD18" s="296">
        <v>16</v>
      </c>
    </row>
    <row r="19" spans="1:30" ht="99.95" customHeight="1">
      <c r="A19" s="286" t="s">
        <v>296</v>
      </c>
      <c r="B19" s="287" t="s">
        <v>46</v>
      </c>
      <c r="C19" s="288" t="s">
        <v>44</v>
      </c>
      <c r="D19" s="289" t="s">
        <v>47</v>
      </c>
      <c r="E19" s="290">
        <v>43769</v>
      </c>
      <c r="F19" s="291"/>
      <c r="G19" s="291"/>
      <c r="H19" s="292" t="s">
        <v>348</v>
      </c>
      <c r="I19" s="293"/>
      <c r="J19" s="340"/>
      <c r="K19" s="340"/>
      <c r="L19" s="7"/>
      <c r="M19" s="8" t="s">
        <v>335</v>
      </c>
      <c r="N19" s="267"/>
      <c r="O19" s="294"/>
      <c r="P19" s="294"/>
      <c r="Q19" s="291"/>
      <c r="R19" s="292" t="s">
        <v>347</v>
      </c>
      <c r="S19" s="293"/>
      <c r="T19" s="294"/>
      <c r="U19" s="291"/>
      <c r="V19" s="292" t="s">
        <v>334</v>
      </c>
      <c r="W19" s="293"/>
      <c r="X19" s="312" t="s">
        <v>283</v>
      </c>
      <c r="Y19" s="313" t="s">
        <v>274</v>
      </c>
      <c r="Z19" s="313" t="s">
        <v>299</v>
      </c>
      <c r="AA19" s="313" t="s">
        <v>278</v>
      </c>
      <c r="AB19" s="313" t="s">
        <v>265</v>
      </c>
      <c r="AC19" s="286" t="s">
        <v>369</v>
      </c>
      <c r="AD19" s="296">
        <v>17</v>
      </c>
    </row>
    <row r="20" spans="1:30" ht="105">
      <c r="A20" s="286" t="s">
        <v>297</v>
      </c>
      <c r="B20" s="287" t="s">
        <v>48</v>
      </c>
      <c r="C20" s="288" t="s">
        <v>49</v>
      </c>
      <c r="D20" s="289" t="s">
        <v>50</v>
      </c>
      <c r="E20" s="306" t="s">
        <v>51</v>
      </c>
      <c r="F20" s="307" t="s">
        <v>481</v>
      </c>
      <c r="G20" s="307"/>
      <c r="H20" s="308" t="s">
        <v>344</v>
      </c>
      <c r="I20" s="309" t="s">
        <v>674</v>
      </c>
      <c r="J20" s="11" t="s">
        <v>624</v>
      </c>
      <c r="K20" s="342"/>
      <c r="L20" s="11"/>
      <c r="M20" s="12" t="s">
        <v>344</v>
      </c>
      <c r="N20" s="269" t="s">
        <v>652</v>
      </c>
      <c r="O20" s="310"/>
      <c r="P20" s="310"/>
      <c r="Q20" s="307"/>
      <c r="R20" s="308" t="s">
        <v>347</v>
      </c>
      <c r="S20" s="309"/>
      <c r="T20" s="310"/>
      <c r="U20" s="307"/>
      <c r="V20" s="292" t="s">
        <v>334</v>
      </c>
      <c r="W20" s="309"/>
      <c r="X20" s="311" t="s">
        <v>284</v>
      </c>
      <c r="Y20" s="286" t="s">
        <v>275</v>
      </c>
      <c r="Z20" s="286" t="s">
        <v>298</v>
      </c>
      <c r="AA20" s="286" t="s">
        <v>278</v>
      </c>
      <c r="AB20" s="286" t="s">
        <v>266</v>
      </c>
      <c r="AC20" s="286" t="s">
        <v>424</v>
      </c>
      <c r="AD20" s="296">
        <v>18</v>
      </c>
    </row>
    <row r="21" spans="1:30" ht="180">
      <c r="A21" s="286" t="s">
        <v>297</v>
      </c>
      <c r="B21" s="287" t="s">
        <v>52</v>
      </c>
      <c r="C21" s="288" t="s">
        <v>53</v>
      </c>
      <c r="D21" s="289" t="s">
        <v>54</v>
      </c>
      <c r="E21" s="290">
        <v>43799</v>
      </c>
      <c r="F21" s="291" t="s">
        <v>482</v>
      </c>
      <c r="G21" s="291"/>
      <c r="H21" s="292" t="s">
        <v>348</v>
      </c>
      <c r="I21" s="293"/>
      <c r="J21" s="340" t="s">
        <v>653</v>
      </c>
      <c r="K21" s="340"/>
      <c r="L21" s="7"/>
      <c r="M21" s="8" t="s">
        <v>344</v>
      </c>
      <c r="N21" s="267" t="s">
        <v>654</v>
      </c>
      <c r="O21" s="294"/>
      <c r="P21" s="294"/>
      <c r="Q21" s="291"/>
      <c r="R21" s="292" t="s">
        <v>347</v>
      </c>
      <c r="S21" s="293"/>
      <c r="T21" s="294"/>
      <c r="U21" s="291"/>
      <c r="V21" s="292" t="s">
        <v>334</v>
      </c>
      <c r="W21" s="293"/>
      <c r="X21" s="295" t="s">
        <v>283</v>
      </c>
      <c r="Y21" s="286" t="s">
        <v>275</v>
      </c>
      <c r="Z21" s="286" t="s">
        <v>298</v>
      </c>
      <c r="AA21" s="286" t="s">
        <v>278</v>
      </c>
      <c r="AB21" s="286" t="s">
        <v>266</v>
      </c>
      <c r="AC21" s="286" t="s">
        <v>424</v>
      </c>
      <c r="AD21" s="296">
        <v>19</v>
      </c>
    </row>
    <row r="22" spans="1:30" ht="136.5" customHeight="1">
      <c r="A22" s="286" t="s">
        <v>297</v>
      </c>
      <c r="B22" s="287" t="s">
        <v>55</v>
      </c>
      <c r="C22" s="288" t="s">
        <v>56</v>
      </c>
      <c r="D22" s="289" t="s">
        <v>57</v>
      </c>
      <c r="E22" s="290">
        <v>43921</v>
      </c>
      <c r="F22" s="291" t="s">
        <v>480</v>
      </c>
      <c r="G22" s="291"/>
      <c r="H22" s="292" t="s">
        <v>344</v>
      </c>
      <c r="I22" s="293"/>
      <c r="J22" s="7" t="s">
        <v>625</v>
      </c>
      <c r="K22" s="340"/>
      <c r="L22" s="7"/>
      <c r="M22" s="8" t="s">
        <v>344</v>
      </c>
      <c r="N22" s="267"/>
      <c r="O22" s="294"/>
      <c r="P22" s="294"/>
      <c r="Q22" s="291"/>
      <c r="R22" s="292" t="s">
        <v>347</v>
      </c>
      <c r="S22" s="293"/>
      <c r="T22" s="294"/>
      <c r="U22" s="291"/>
      <c r="V22" s="292" t="s">
        <v>334</v>
      </c>
      <c r="W22" s="293"/>
      <c r="X22" s="303" t="s">
        <v>280</v>
      </c>
      <c r="Y22" s="286" t="s">
        <v>275</v>
      </c>
      <c r="Z22" s="286" t="s">
        <v>298</v>
      </c>
      <c r="AA22" s="286" t="s">
        <v>278</v>
      </c>
      <c r="AB22" s="286" t="s">
        <v>266</v>
      </c>
      <c r="AC22" s="286" t="s">
        <v>424</v>
      </c>
      <c r="AD22" s="296">
        <v>20</v>
      </c>
    </row>
    <row r="23" spans="1:30" ht="99.95" customHeight="1">
      <c r="A23" s="286" t="s">
        <v>300</v>
      </c>
      <c r="B23" s="287" t="s">
        <v>58</v>
      </c>
      <c r="C23" s="288" t="s">
        <v>59</v>
      </c>
      <c r="D23" s="297" t="s">
        <v>60</v>
      </c>
      <c r="E23" s="290">
        <v>43921</v>
      </c>
      <c r="F23" s="299" t="s">
        <v>540</v>
      </c>
      <c r="G23" s="299"/>
      <c r="H23" s="300" t="s">
        <v>344</v>
      </c>
      <c r="I23" s="301"/>
      <c r="J23" s="341"/>
      <c r="K23" s="341"/>
      <c r="L23" s="9"/>
      <c r="M23" s="10" t="s">
        <v>348</v>
      </c>
      <c r="N23" s="268"/>
      <c r="O23" s="302"/>
      <c r="P23" s="302"/>
      <c r="Q23" s="299"/>
      <c r="R23" s="300" t="s">
        <v>347</v>
      </c>
      <c r="S23" s="301"/>
      <c r="T23" s="302"/>
      <c r="U23" s="299"/>
      <c r="V23" s="292" t="s">
        <v>334</v>
      </c>
      <c r="W23" s="301"/>
      <c r="X23" s="303" t="s">
        <v>280</v>
      </c>
      <c r="Y23" s="286" t="s">
        <v>275</v>
      </c>
      <c r="Z23" s="286" t="s">
        <v>301</v>
      </c>
      <c r="AA23" s="286" t="s">
        <v>278</v>
      </c>
      <c r="AB23" s="286" t="s">
        <v>266</v>
      </c>
      <c r="AC23" s="286" t="s">
        <v>424</v>
      </c>
      <c r="AD23" s="296">
        <v>21</v>
      </c>
    </row>
    <row r="24" spans="1:30" ht="99.95" customHeight="1">
      <c r="A24" s="286" t="s">
        <v>300</v>
      </c>
      <c r="B24" s="287" t="s">
        <v>61</v>
      </c>
      <c r="C24" s="288" t="s">
        <v>59</v>
      </c>
      <c r="D24" s="297" t="s">
        <v>62</v>
      </c>
      <c r="E24" s="298">
        <v>43708</v>
      </c>
      <c r="F24" s="337" t="s">
        <v>541</v>
      </c>
      <c r="G24" s="299"/>
      <c r="H24" s="300" t="s">
        <v>344</v>
      </c>
      <c r="I24" s="301"/>
      <c r="J24" s="341" t="s">
        <v>649</v>
      </c>
      <c r="K24" s="341"/>
      <c r="L24" s="9"/>
      <c r="M24" s="10" t="s">
        <v>335</v>
      </c>
      <c r="N24" s="268"/>
      <c r="O24" s="302"/>
      <c r="P24" s="302"/>
      <c r="Q24" s="299"/>
      <c r="R24" s="300" t="s">
        <v>347</v>
      </c>
      <c r="S24" s="301"/>
      <c r="T24" s="302"/>
      <c r="U24" s="299"/>
      <c r="V24" s="292" t="s">
        <v>334</v>
      </c>
      <c r="W24" s="301"/>
      <c r="X24" s="303" t="s">
        <v>282</v>
      </c>
      <c r="Y24" s="286" t="s">
        <v>275</v>
      </c>
      <c r="Z24" s="286" t="s">
        <v>301</v>
      </c>
      <c r="AA24" s="286" t="s">
        <v>278</v>
      </c>
      <c r="AB24" s="286" t="s">
        <v>266</v>
      </c>
      <c r="AC24" s="286" t="s">
        <v>424</v>
      </c>
      <c r="AD24" s="296">
        <v>22</v>
      </c>
    </row>
    <row r="25" spans="1:30" ht="99.95" customHeight="1">
      <c r="A25" s="286" t="s">
        <v>300</v>
      </c>
      <c r="B25" s="287" t="s">
        <v>63</v>
      </c>
      <c r="C25" s="288" t="s">
        <v>59</v>
      </c>
      <c r="D25" s="297" t="s">
        <v>64</v>
      </c>
      <c r="E25" s="298">
        <v>43677</v>
      </c>
      <c r="F25" s="337" t="s">
        <v>542</v>
      </c>
      <c r="G25" s="299"/>
      <c r="H25" s="300" t="s">
        <v>344</v>
      </c>
      <c r="I25" s="301"/>
      <c r="J25" s="341" t="s">
        <v>656</v>
      </c>
      <c r="K25" s="341"/>
      <c r="L25" s="9"/>
      <c r="M25" s="10" t="s">
        <v>335</v>
      </c>
      <c r="N25" s="268" t="s">
        <v>655</v>
      </c>
      <c r="O25" s="302"/>
      <c r="P25" s="302"/>
      <c r="Q25" s="299"/>
      <c r="R25" s="300" t="s">
        <v>347</v>
      </c>
      <c r="S25" s="301"/>
      <c r="T25" s="302"/>
      <c r="U25" s="299"/>
      <c r="V25" s="292" t="s">
        <v>334</v>
      </c>
      <c r="W25" s="301"/>
      <c r="X25" s="303" t="s">
        <v>282</v>
      </c>
      <c r="Y25" s="286" t="s">
        <v>275</v>
      </c>
      <c r="Z25" s="286" t="s">
        <v>301</v>
      </c>
      <c r="AA25" s="286" t="s">
        <v>278</v>
      </c>
      <c r="AB25" s="286" t="s">
        <v>266</v>
      </c>
      <c r="AC25" s="286" t="s">
        <v>424</v>
      </c>
      <c r="AD25" s="296">
        <v>23</v>
      </c>
    </row>
    <row r="26" spans="1:30" ht="99.95" customHeight="1">
      <c r="A26" s="286" t="s">
        <v>320</v>
      </c>
      <c r="B26" s="287" t="s">
        <v>65</v>
      </c>
      <c r="C26" s="288" t="s">
        <v>59</v>
      </c>
      <c r="D26" s="297" t="s">
        <v>66</v>
      </c>
      <c r="E26" s="298">
        <v>43646</v>
      </c>
      <c r="F26" s="299" t="s">
        <v>543</v>
      </c>
      <c r="G26" s="299"/>
      <c r="H26" s="300" t="s">
        <v>335</v>
      </c>
      <c r="I26" s="301" t="s">
        <v>516</v>
      </c>
      <c r="J26" s="341"/>
      <c r="K26" s="341"/>
      <c r="L26" s="9"/>
      <c r="M26" s="10" t="s">
        <v>335</v>
      </c>
      <c r="N26" s="268"/>
      <c r="O26" s="302"/>
      <c r="P26" s="302"/>
      <c r="Q26" s="299"/>
      <c r="R26" s="300" t="s">
        <v>347</v>
      </c>
      <c r="S26" s="301"/>
      <c r="T26" s="302"/>
      <c r="U26" s="299"/>
      <c r="V26" s="292" t="s">
        <v>334</v>
      </c>
      <c r="W26" s="301"/>
      <c r="X26" s="295" t="s">
        <v>281</v>
      </c>
      <c r="Y26" s="286" t="s">
        <v>275</v>
      </c>
      <c r="Z26" s="286" t="s">
        <v>321</v>
      </c>
      <c r="AA26" s="286" t="s">
        <v>278</v>
      </c>
      <c r="AB26" s="286" t="s">
        <v>266</v>
      </c>
      <c r="AC26" s="286" t="s">
        <v>424</v>
      </c>
      <c r="AD26" s="296">
        <v>24</v>
      </c>
    </row>
    <row r="27" spans="1:30" ht="99.95" customHeight="1">
      <c r="A27" s="286" t="s">
        <v>322</v>
      </c>
      <c r="B27" s="287" t="s">
        <v>67</v>
      </c>
      <c r="C27" s="304" t="s">
        <v>68</v>
      </c>
      <c r="D27" s="297" t="s">
        <v>69</v>
      </c>
      <c r="E27" s="290">
        <v>43921</v>
      </c>
      <c r="F27" s="299" t="s">
        <v>519</v>
      </c>
      <c r="G27" s="299"/>
      <c r="H27" s="300" t="s">
        <v>344</v>
      </c>
      <c r="I27" s="301"/>
      <c r="J27" s="341" t="s">
        <v>657</v>
      </c>
      <c r="K27" s="341"/>
      <c r="L27" s="9"/>
      <c r="M27" s="10" t="s">
        <v>344</v>
      </c>
      <c r="N27" s="268"/>
      <c r="O27" s="302"/>
      <c r="P27" s="302"/>
      <c r="Q27" s="299"/>
      <c r="R27" s="300" t="s">
        <v>347</v>
      </c>
      <c r="S27" s="301"/>
      <c r="T27" s="302"/>
      <c r="U27" s="299"/>
      <c r="V27" s="292" t="s">
        <v>334</v>
      </c>
      <c r="W27" s="301"/>
      <c r="X27" s="303" t="s">
        <v>280</v>
      </c>
      <c r="Y27" s="286" t="s">
        <v>275</v>
      </c>
      <c r="Z27" s="286" t="s">
        <v>323</v>
      </c>
      <c r="AA27" s="286" t="s">
        <v>278</v>
      </c>
      <c r="AB27" s="286" t="s">
        <v>266</v>
      </c>
      <c r="AC27" s="286" t="s">
        <v>424</v>
      </c>
      <c r="AD27" s="296">
        <v>25</v>
      </c>
    </row>
    <row r="28" spans="1:30" ht="99.95" customHeight="1">
      <c r="A28" s="286" t="s">
        <v>304</v>
      </c>
      <c r="B28" s="287" t="s">
        <v>70</v>
      </c>
      <c r="C28" s="304" t="s">
        <v>71</v>
      </c>
      <c r="D28" s="297" t="s">
        <v>72</v>
      </c>
      <c r="E28" s="290">
        <v>43921</v>
      </c>
      <c r="F28" s="299" t="s">
        <v>500</v>
      </c>
      <c r="G28" s="299"/>
      <c r="H28" s="300" t="s">
        <v>344</v>
      </c>
      <c r="I28" s="301" t="s">
        <v>501</v>
      </c>
      <c r="J28" s="268" t="s">
        <v>501</v>
      </c>
      <c r="K28" s="341"/>
      <c r="L28" s="9"/>
      <c r="M28" s="10" t="s">
        <v>344</v>
      </c>
      <c r="N28" s="268"/>
      <c r="O28" s="302"/>
      <c r="P28" s="302"/>
      <c r="Q28" s="299"/>
      <c r="R28" s="300" t="s">
        <v>347</v>
      </c>
      <c r="S28" s="301"/>
      <c r="T28" s="302"/>
      <c r="U28" s="299"/>
      <c r="V28" s="292" t="s">
        <v>334</v>
      </c>
      <c r="W28" s="301"/>
      <c r="X28" s="303" t="s">
        <v>280</v>
      </c>
      <c r="Y28" s="286" t="s">
        <v>275</v>
      </c>
      <c r="Z28" s="286" t="s">
        <v>303</v>
      </c>
      <c r="AA28" s="286" t="s">
        <v>278</v>
      </c>
      <c r="AB28" s="286" t="s">
        <v>266</v>
      </c>
      <c r="AC28" s="286" t="s">
        <v>424</v>
      </c>
      <c r="AD28" s="296">
        <v>26</v>
      </c>
    </row>
    <row r="29" spans="1:30" ht="99.95" customHeight="1">
      <c r="A29" s="286" t="s">
        <v>304</v>
      </c>
      <c r="B29" s="287" t="s">
        <v>73</v>
      </c>
      <c r="C29" s="304" t="s">
        <v>74</v>
      </c>
      <c r="D29" s="297" t="s">
        <v>75</v>
      </c>
      <c r="E29" s="298">
        <v>43830</v>
      </c>
      <c r="F29" s="299" t="s">
        <v>544</v>
      </c>
      <c r="G29" s="299"/>
      <c r="H29" s="300" t="s">
        <v>344</v>
      </c>
      <c r="I29" s="301"/>
      <c r="J29" s="341" t="s">
        <v>617</v>
      </c>
      <c r="K29" s="341"/>
      <c r="L29" s="9"/>
      <c r="M29" s="10" t="s">
        <v>344</v>
      </c>
      <c r="N29" s="268"/>
      <c r="O29" s="302"/>
      <c r="P29" s="302"/>
      <c r="Q29" s="299"/>
      <c r="R29" s="300" t="s">
        <v>347</v>
      </c>
      <c r="S29" s="301"/>
      <c r="T29" s="302"/>
      <c r="U29" s="299"/>
      <c r="V29" s="292" t="s">
        <v>334</v>
      </c>
      <c r="W29" s="301"/>
      <c r="X29" s="295" t="s">
        <v>283</v>
      </c>
      <c r="Y29" s="286" t="s">
        <v>275</v>
      </c>
      <c r="Z29" s="286" t="s">
        <v>303</v>
      </c>
      <c r="AA29" s="286" t="s">
        <v>278</v>
      </c>
      <c r="AB29" s="286" t="s">
        <v>266</v>
      </c>
      <c r="AC29" s="286" t="s">
        <v>424</v>
      </c>
      <c r="AD29" s="296">
        <v>27</v>
      </c>
    </row>
    <row r="30" spans="1:30" ht="99.95" customHeight="1">
      <c r="A30" s="286" t="s">
        <v>304</v>
      </c>
      <c r="B30" s="287" t="s">
        <v>76</v>
      </c>
      <c r="C30" s="304" t="s">
        <v>71</v>
      </c>
      <c r="D30" s="297" t="s">
        <v>77</v>
      </c>
      <c r="E30" s="290">
        <v>43921</v>
      </c>
      <c r="F30" s="299" t="s">
        <v>545</v>
      </c>
      <c r="G30" s="299"/>
      <c r="H30" s="300" t="s">
        <v>344</v>
      </c>
      <c r="I30" s="301" t="s">
        <v>502</v>
      </c>
      <c r="J30" s="341" t="s">
        <v>618</v>
      </c>
      <c r="K30" s="341"/>
      <c r="L30" s="9"/>
      <c r="M30" s="10" t="s">
        <v>344</v>
      </c>
      <c r="N30" s="268"/>
      <c r="O30" s="302"/>
      <c r="P30" s="302"/>
      <c r="Q30" s="299"/>
      <c r="R30" s="300" t="s">
        <v>347</v>
      </c>
      <c r="S30" s="301"/>
      <c r="T30" s="302"/>
      <c r="U30" s="299"/>
      <c r="V30" s="292" t="s">
        <v>334</v>
      </c>
      <c r="W30" s="301"/>
      <c r="X30" s="303" t="s">
        <v>280</v>
      </c>
      <c r="Y30" s="286" t="s">
        <v>275</v>
      </c>
      <c r="Z30" s="286" t="s">
        <v>303</v>
      </c>
      <c r="AA30" s="286" t="s">
        <v>278</v>
      </c>
      <c r="AB30" s="286" t="s">
        <v>266</v>
      </c>
      <c r="AC30" s="286" t="s">
        <v>424</v>
      </c>
      <c r="AD30" s="296">
        <v>28</v>
      </c>
    </row>
    <row r="31" spans="1:30" ht="99.95" customHeight="1">
      <c r="A31" s="286" t="s">
        <v>302</v>
      </c>
      <c r="B31" s="287" t="s">
        <v>78</v>
      </c>
      <c r="C31" s="304" t="s">
        <v>79</v>
      </c>
      <c r="D31" s="289" t="s">
        <v>149</v>
      </c>
      <c r="E31" s="290">
        <v>43921</v>
      </c>
      <c r="F31" s="291" t="s">
        <v>477</v>
      </c>
      <c r="G31" s="291"/>
      <c r="H31" s="292" t="s">
        <v>344</v>
      </c>
      <c r="I31" s="293"/>
      <c r="J31" s="340" t="s">
        <v>658</v>
      </c>
      <c r="K31" s="340"/>
      <c r="L31" s="7"/>
      <c r="M31" s="8" t="s">
        <v>344</v>
      </c>
      <c r="N31" s="267"/>
      <c r="O31" s="294"/>
      <c r="P31" s="294"/>
      <c r="Q31" s="291"/>
      <c r="R31" s="292" t="s">
        <v>347</v>
      </c>
      <c r="S31" s="293"/>
      <c r="T31" s="294"/>
      <c r="U31" s="291"/>
      <c r="V31" s="292" t="s">
        <v>334</v>
      </c>
      <c r="W31" s="293"/>
      <c r="X31" s="303" t="s">
        <v>280</v>
      </c>
      <c r="Y31" s="286" t="s">
        <v>273</v>
      </c>
      <c r="Z31" s="286" t="s">
        <v>267</v>
      </c>
      <c r="AA31" s="286" t="s">
        <v>278</v>
      </c>
      <c r="AB31" s="286" t="s">
        <v>267</v>
      </c>
      <c r="AC31" s="286" t="s">
        <v>368</v>
      </c>
      <c r="AD31" s="296">
        <v>29</v>
      </c>
    </row>
    <row r="32" spans="1:30" ht="99.95" customHeight="1">
      <c r="A32" s="286" t="s">
        <v>302</v>
      </c>
      <c r="B32" s="287" t="s">
        <v>80</v>
      </c>
      <c r="C32" s="304" t="s">
        <v>81</v>
      </c>
      <c r="D32" s="289" t="s">
        <v>150</v>
      </c>
      <c r="E32" s="290">
        <v>43921</v>
      </c>
      <c r="F32" s="291"/>
      <c r="G32" s="291"/>
      <c r="H32" s="292" t="s">
        <v>348</v>
      </c>
      <c r="I32" s="293"/>
      <c r="J32" s="340" t="s">
        <v>642</v>
      </c>
      <c r="K32" s="340"/>
      <c r="L32" s="7"/>
      <c r="M32" s="8" t="s">
        <v>344</v>
      </c>
      <c r="N32" s="267"/>
      <c r="O32" s="294"/>
      <c r="P32" s="294"/>
      <c r="Q32" s="291"/>
      <c r="R32" s="292" t="s">
        <v>347</v>
      </c>
      <c r="S32" s="293"/>
      <c r="T32" s="294"/>
      <c r="U32" s="291"/>
      <c r="V32" s="292" t="s">
        <v>334</v>
      </c>
      <c r="W32" s="293"/>
      <c r="X32" s="303" t="s">
        <v>280</v>
      </c>
      <c r="Y32" s="286" t="s">
        <v>273</v>
      </c>
      <c r="Z32" s="286" t="s">
        <v>267</v>
      </c>
      <c r="AA32" s="286" t="s">
        <v>278</v>
      </c>
      <c r="AB32" s="286" t="s">
        <v>267</v>
      </c>
      <c r="AC32" s="286" t="s">
        <v>368</v>
      </c>
      <c r="AD32" s="296">
        <v>30</v>
      </c>
    </row>
    <row r="33" spans="1:30" ht="99.95" customHeight="1">
      <c r="A33" s="286" t="s">
        <v>302</v>
      </c>
      <c r="B33" s="287" t="s">
        <v>82</v>
      </c>
      <c r="C33" s="304" t="s">
        <v>81</v>
      </c>
      <c r="D33" s="289" t="s">
        <v>83</v>
      </c>
      <c r="E33" s="298">
        <v>43646</v>
      </c>
      <c r="F33" s="291" t="s">
        <v>478</v>
      </c>
      <c r="G33" s="291"/>
      <c r="H33" s="292" t="s">
        <v>335</v>
      </c>
      <c r="I33" s="293"/>
      <c r="J33" s="340"/>
      <c r="K33" s="340"/>
      <c r="L33" s="7"/>
      <c r="M33" s="8" t="s">
        <v>335</v>
      </c>
      <c r="N33" s="267"/>
      <c r="O33" s="294"/>
      <c r="P33" s="294"/>
      <c r="Q33" s="291"/>
      <c r="R33" s="292" t="s">
        <v>347</v>
      </c>
      <c r="S33" s="293"/>
      <c r="T33" s="294"/>
      <c r="U33" s="291"/>
      <c r="V33" s="292" t="s">
        <v>334</v>
      </c>
      <c r="W33" s="293"/>
      <c r="X33" s="295" t="s">
        <v>281</v>
      </c>
      <c r="Y33" s="286" t="s">
        <v>273</v>
      </c>
      <c r="Z33" s="286" t="s">
        <v>267</v>
      </c>
      <c r="AA33" s="286" t="s">
        <v>278</v>
      </c>
      <c r="AB33" s="286" t="s">
        <v>267</v>
      </c>
      <c r="AC33" s="286" t="s">
        <v>368</v>
      </c>
      <c r="AD33" s="296">
        <v>31</v>
      </c>
    </row>
    <row r="34" spans="1:30" ht="99.95" customHeight="1">
      <c r="A34" s="286" t="s">
        <v>302</v>
      </c>
      <c r="B34" s="287" t="s">
        <v>84</v>
      </c>
      <c r="C34" s="304" t="s">
        <v>85</v>
      </c>
      <c r="D34" s="297" t="s">
        <v>86</v>
      </c>
      <c r="E34" s="290">
        <v>43921</v>
      </c>
      <c r="F34" s="299"/>
      <c r="G34" s="299"/>
      <c r="H34" s="300" t="s">
        <v>348</v>
      </c>
      <c r="I34" s="301"/>
      <c r="J34" s="341" t="s">
        <v>611</v>
      </c>
      <c r="K34" s="341"/>
      <c r="L34" s="9"/>
      <c r="M34" s="10" t="s">
        <v>344</v>
      </c>
      <c r="N34" s="268"/>
      <c r="O34" s="302"/>
      <c r="P34" s="302"/>
      <c r="Q34" s="299"/>
      <c r="R34" s="300" t="s">
        <v>347</v>
      </c>
      <c r="S34" s="301"/>
      <c r="T34" s="302"/>
      <c r="U34" s="299"/>
      <c r="V34" s="292" t="s">
        <v>334</v>
      </c>
      <c r="W34" s="301"/>
      <c r="X34" s="303" t="s">
        <v>280</v>
      </c>
      <c r="Y34" s="286" t="s">
        <v>273</v>
      </c>
      <c r="Z34" s="286" t="s">
        <v>305</v>
      </c>
      <c r="AA34" s="286" t="s">
        <v>278</v>
      </c>
      <c r="AB34" s="286" t="s">
        <v>267</v>
      </c>
      <c r="AC34" s="286" t="s">
        <v>368</v>
      </c>
      <c r="AD34" s="296">
        <v>32</v>
      </c>
    </row>
    <row r="35" spans="1:30" ht="117.75" customHeight="1">
      <c r="A35" s="286" t="s">
        <v>302</v>
      </c>
      <c r="B35" s="287" t="s">
        <v>87</v>
      </c>
      <c r="C35" s="288" t="s">
        <v>88</v>
      </c>
      <c r="D35" s="289" t="s">
        <v>285</v>
      </c>
      <c r="E35" s="290">
        <v>43921</v>
      </c>
      <c r="F35" s="291" t="s">
        <v>517</v>
      </c>
      <c r="G35" s="291" t="s">
        <v>518</v>
      </c>
      <c r="H35" s="292" t="s">
        <v>345</v>
      </c>
      <c r="I35" s="293" t="s">
        <v>577</v>
      </c>
      <c r="J35" s="340" t="s">
        <v>614</v>
      </c>
      <c r="K35" s="340" t="s">
        <v>613</v>
      </c>
      <c r="L35" s="7"/>
      <c r="M35" s="8" t="s">
        <v>345</v>
      </c>
      <c r="N35" s="267" t="s">
        <v>675</v>
      </c>
      <c r="O35" s="294"/>
      <c r="P35" s="294"/>
      <c r="Q35" s="291"/>
      <c r="R35" s="292" t="s">
        <v>347</v>
      </c>
      <c r="S35" s="293"/>
      <c r="T35" s="294"/>
      <c r="U35" s="291"/>
      <c r="V35" s="292" t="s">
        <v>334</v>
      </c>
      <c r="W35" s="293"/>
      <c r="X35" s="303" t="s">
        <v>280</v>
      </c>
      <c r="Y35" s="286" t="s">
        <v>273</v>
      </c>
      <c r="Z35" s="286" t="s">
        <v>267</v>
      </c>
      <c r="AA35" s="286" t="s">
        <v>278</v>
      </c>
      <c r="AB35" s="286" t="s">
        <v>267</v>
      </c>
      <c r="AC35" s="286" t="s">
        <v>368</v>
      </c>
      <c r="AD35" s="296">
        <v>33</v>
      </c>
    </row>
    <row r="36" spans="1:30" ht="99.95" customHeight="1">
      <c r="A36" s="286" t="s">
        <v>302</v>
      </c>
      <c r="B36" s="287" t="s">
        <v>89</v>
      </c>
      <c r="C36" s="304" t="s">
        <v>90</v>
      </c>
      <c r="D36" s="289" t="s">
        <v>91</v>
      </c>
      <c r="E36" s="290">
        <v>43677</v>
      </c>
      <c r="F36" s="329" t="s">
        <v>574</v>
      </c>
      <c r="G36" s="291"/>
      <c r="H36" s="292" t="s">
        <v>344</v>
      </c>
      <c r="I36" s="293"/>
      <c r="J36" s="340" t="s">
        <v>659</v>
      </c>
      <c r="K36" s="340"/>
      <c r="L36" s="7"/>
      <c r="M36" s="8" t="s">
        <v>335</v>
      </c>
      <c r="N36" s="352" t="s">
        <v>660</v>
      </c>
      <c r="O36" s="294"/>
      <c r="P36" s="294"/>
      <c r="Q36" s="291"/>
      <c r="R36" s="292" t="s">
        <v>347</v>
      </c>
      <c r="S36" s="293"/>
      <c r="T36" s="294"/>
      <c r="U36" s="291"/>
      <c r="V36" s="292" t="s">
        <v>334</v>
      </c>
      <c r="W36" s="293"/>
      <c r="X36" s="303" t="s">
        <v>282</v>
      </c>
      <c r="Y36" s="286" t="s">
        <v>273</v>
      </c>
      <c r="Z36" s="286" t="s">
        <v>267</v>
      </c>
      <c r="AA36" s="286" t="s">
        <v>278</v>
      </c>
      <c r="AB36" s="286" t="s">
        <v>267</v>
      </c>
      <c r="AC36" s="286" t="s">
        <v>368</v>
      </c>
      <c r="AD36" s="296">
        <v>34</v>
      </c>
    </row>
    <row r="37" spans="1:30" ht="99.95" customHeight="1">
      <c r="A37" s="286" t="s">
        <v>302</v>
      </c>
      <c r="B37" s="287" t="s">
        <v>306</v>
      </c>
      <c r="C37" s="304" t="s">
        <v>546</v>
      </c>
      <c r="D37" s="289" t="s">
        <v>92</v>
      </c>
      <c r="E37" s="306"/>
      <c r="F37" s="307" t="s">
        <v>479</v>
      </c>
      <c r="G37" s="307"/>
      <c r="H37" s="308" t="s">
        <v>344</v>
      </c>
      <c r="I37" s="309"/>
      <c r="J37" s="342" t="s">
        <v>612</v>
      </c>
      <c r="K37" s="342"/>
      <c r="L37" s="11"/>
      <c r="M37" s="12" t="s">
        <v>344</v>
      </c>
      <c r="N37" s="269"/>
      <c r="O37" s="310"/>
      <c r="P37" s="310"/>
      <c r="Q37" s="307"/>
      <c r="R37" s="308" t="s">
        <v>347</v>
      </c>
      <c r="S37" s="309"/>
      <c r="T37" s="310"/>
      <c r="U37" s="307"/>
      <c r="V37" s="292" t="s">
        <v>334</v>
      </c>
      <c r="W37" s="309"/>
      <c r="X37" s="311" t="s">
        <v>284</v>
      </c>
      <c r="Y37" s="286" t="s">
        <v>273</v>
      </c>
      <c r="Z37" s="286" t="s">
        <v>267</v>
      </c>
      <c r="AA37" s="286" t="s">
        <v>278</v>
      </c>
      <c r="AB37" s="286" t="s">
        <v>267</v>
      </c>
      <c r="AC37" s="286" t="s">
        <v>368</v>
      </c>
      <c r="AD37" s="296">
        <v>35</v>
      </c>
    </row>
    <row r="38" spans="1:30" ht="99.95" customHeight="1">
      <c r="A38" s="286" t="s">
        <v>307</v>
      </c>
      <c r="B38" s="287" t="s">
        <v>370</v>
      </c>
      <c r="C38" s="288" t="s">
        <v>373</v>
      </c>
      <c r="D38" s="289" t="s">
        <v>374</v>
      </c>
      <c r="E38" s="306"/>
      <c r="F38" s="330">
        <v>0.29609999999999997</v>
      </c>
      <c r="G38" s="331">
        <v>0.98</v>
      </c>
      <c r="H38" s="308" t="s">
        <v>344</v>
      </c>
      <c r="I38" s="309" t="s">
        <v>504</v>
      </c>
      <c r="J38" s="347">
        <v>0.57410000000000005</v>
      </c>
      <c r="K38" s="347">
        <v>0.57410000000000005</v>
      </c>
      <c r="L38" s="348">
        <v>0.98</v>
      </c>
      <c r="M38" s="12" t="s">
        <v>344</v>
      </c>
      <c r="N38" s="269"/>
      <c r="O38" s="310"/>
      <c r="P38" s="310"/>
      <c r="Q38" s="307"/>
      <c r="R38" s="308" t="s">
        <v>347</v>
      </c>
      <c r="S38" s="309"/>
      <c r="T38" s="310"/>
      <c r="U38" s="307"/>
      <c r="V38" s="292" t="s">
        <v>334</v>
      </c>
      <c r="W38" s="309"/>
      <c r="X38" s="311" t="s">
        <v>284</v>
      </c>
      <c r="Y38" s="286" t="s">
        <v>273</v>
      </c>
      <c r="Z38" s="286" t="s">
        <v>308</v>
      </c>
      <c r="AA38" s="286" t="s">
        <v>278</v>
      </c>
      <c r="AB38" s="286" t="s">
        <v>268</v>
      </c>
      <c r="AC38" s="286" t="s">
        <v>368</v>
      </c>
      <c r="AD38" s="296">
        <v>36</v>
      </c>
    </row>
    <row r="39" spans="1:30" ht="99.95" customHeight="1">
      <c r="A39" s="286" t="s">
        <v>307</v>
      </c>
      <c r="B39" s="287" t="s">
        <v>371</v>
      </c>
      <c r="C39" s="288" t="s">
        <v>372</v>
      </c>
      <c r="D39" s="289" t="s">
        <v>375</v>
      </c>
      <c r="E39" s="306"/>
      <c r="F39" s="330">
        <v>0.33019999999999999</v>
      </c>
      <c r="G39" s="331">
        <v>0.99</v>
      </c>
      <c r="H39" s="308" t="s">
        <v>344</v>
      </c>
      <c r="I39" s="309" t="s">
        <v>504</v>
      </c>
      <c r="J39" s="347">
        <v>0.59860000000000002</v>
      </c>
      <c r="K39" s="347">
        <v>0.59860000000000002</v>
      </c>
      <c r="L39" s="348">
        <v>0.99</v>
      </c>
      <c r="M39" s="12" t="s">
        <v>344</v>
      </c>
      <c r="N39" s="269"/>
      <c r="O39" s="310"/>
      <c r="P39" s="310"/>
      <c r="Q39" s="307"/>
      <c r="R39" s="308" t="s">
        <v>347</v>
      </c>
      <c r="S39" s="309"/>
      <c r="T39" s="310"/>
      <c r="U39" s="307"/>
      <c r="V39" s="292" t="s">
        <v>334</v>
      </c>
      <c r="W39" s="309"/>
      <c r="X39" s="311" t="s">
        <v>284</v>
      </c>
      <c r="Y39" s="286" t="s">
        <v>273</v>
      </c>
      <c r="Z39" s="286" t="s">
        <v>308</v>
      </c>
      <c r="AA39" s="286" t="s">
        <v>278</v>
      </c>
      <c r="AB39" s="286" t="s">
        <v>268</v>
      </c>
      <c r="AC39" s="286" t="s">
        <v>368</v>
      </c>
      <c r="AD39" s="296">
        <v>37</v>
      </c>
    </row>
    <row r="40" spans="1:30" ht="99.95" customHeight="1">
      <c r="A40" s="286" t="s">
        <v>307</v>
      </c>
      <c r="B40" s="287" t="s">
        <v>376</v>
      </c>
      <c r="C40" s="288" t="s">
        <v>151</v>
      </c>
      <c r="D40" s="314" t="s">
        <v>468</v>
      </c>
      <c r="E40" s="306"/>
      <c r="F40" s="332">
        <v>2076546.74</v>
      </c>
      <c r="G40" s="333">
        <v>1900000</v>
      </c>
      <c r="H40" s="308" t="s">
        <v>344</v>
      </c>
      <c r="I40" s="309" t="s">
        <v>505</v>
      </c>
      <c r="J40" s="349">
        <v>2206158.5699999998</v>
      </c>
      <c r="K40" s="349">
        <v>2206158.5699999998</v>
      </c>
      <c r="L40" s="350">
        <v>1900000</v>
      </c>
      <c r="M40" s="12" t="s">
        <v>344</v>
      </c>
      <c r="N40" s="269" t="s">
        <v>504</v>
      </c>
      <c r="O40" s="310"/>
      <c r="P40" s="310"/>
      <c r="Q40" s="307"/>
      <c r="R40" s="308" t="s">
        <v>347</v>
      </c>
      <c r="S40" s="309"/>
      <c r="T40" s="310"/>
      <c r="U40" s="307"/>
      <c r="V40" s="292" t="s">
        <v>334</v>
      </c>
      <c r="W40" s="309"/>
      <c r="X40" s="311" t="s">
        <v>284</v>
      </c>
      <c r="Y40" s="286" t="s">
        <v>273</v>
      </c>
      <c r="Z40" s="286" t="s">
        <v>308</v>
      </c>
      <c r="AA40" s="286" t="s">
        <v>278</v>
      </c>
      <c r="AB40" s="286" t="s">
        <v>268</v>
      </c>
      <c r="AC40" s="286" t="s">
        <v>368</v>
      </c>
      <c r="AD40" s="296">
        <v>38</v>
      </c>
    </row>
    <row r="41" spans="1:30" ht="150" customHeight="1">
      <c r="A41" s="286" t="s">
        <v>307</v>
      </c>
      <c r="B41" s="287" t="s">
        <v>377</v>
      </c>
      <c r="C41" s="288" t="s">
        <v>151</v>
      </c>
      <c r="D41" s="314" t="s">
        <v>469</v>
      </c>
      <c r="E41" s="306"/>
      <c r="F41" s="332">
        <v>898218.91</v>
      </c>
      <c r="G41" s="333">
        <v>500000</v>
      </c>
      <c r="H41" s="308" t="s">
        <v>344</v>
      </c>
      <c r="I41" s="309" t="s">
        <v>505</v>
      </c>
      <c r="J41" s="349">
        <v>1176309.54</v>
      </c>
      <c r="K41" s="349">
        <v>1176309.54</v>
      </c>
      <c r="L41" s="350">
        <v>500000</v>
      </c>
      <c r="M41" s="12" t="s">
        <v>344</v>
      </c>
      <c r="N41" s="269" t="s">
        <v>627</v>
      </c>
      <c r="O41" s="310"/>
      <c r="P41" s="310"/>
      <c r="Q41" s="307"/>
      <c r="R41" s="308" t="s">
        <v>347</v>
      </c>
      <c r="S41" s="309"/>
      <c r="T41" s="310"/>
      <c r="U41" s="307"/>
      <c r="V41" s="292" t="s">
        <v>334</v>
      </c>
      <c r="W41" s="309"/>
      <c r="X41" s="311" t="s">
        <v>284</v>
      </c>
      <c r="Y41" s="286" t="s">
        <v>273</v>
      </c>
      <c r="Z41" s="286" t="s">
        <v>308</v>
      </c>
      <c r="AA41" s="286" t="s">
        <v>278</v>
      </c>
      <c r="AB41" s="286" t="s">
        <v>268</v>
      </c>
      <c r="AC41" s="286" t="s">
        <v>368</v>
      </c>
      <c r="AD41" s="296">
        <v>39</v>
      </c>
    </row>
    <row r="42" spans="1:30" ht="99.95" customHeight="1">
      <c r="A42" s="286" t="s">
        <v>307</v>
      </c>
      <c r="B42" s="287" t="s">
        <v>378</v>
      </c>
      <c r="C42" s="288" t="s">
        <v>151</v>
      </c>
      <c r="D42" s="314" t="s">
        <v>470</v>
      </c>
      <c r="E42" s="306"/>
      <c r="F42" s="333">
        <v>0</v>
      </c>
      <c r="G42" s="333">
        <v>40000</v>
      </c>
      <c r="H42" s="308" t="s">
        <v>344</v>
      </c>
      <c r="I42" s="309" t="s">
        <v>504</v>
      </c>
      <c r="J42" s="349">
        <v>21887.71</v>
      </c>
      <c r="K42" s="349">
        <v>21887.71</v>
      </c>
      <c r="L42" s="350">
        <v>40000</v>
      </c>
      <c r="M42" s="12" t="s">
        <v>344</v>
      </c>
      <c r="N42" s="269" t="s">
        <v>504</v>
      </c>
      <c r="O42" s="310"/>
      <c r="P42" s="310"/>
      <c r="Q42" s="307"/>
      <c r="R42" s="308" t="s">
        <v>347</v>
      </c>
      <c r="S42" s="309"/>
      <c r="T42" s="310"/>
      <c r="U42" s="307"/>
      <c r="V42" s="292" t="s">
        <v>334</v>
      </c>
      <c r="W42" s="309"/>
      <c r="X42" s="311" t="s">
        <v>284</v>
      </c>
      <c r="Y42" s="286" t="s">
        <v>273</v>
      </c>
      <c r="Z42" s="286" t="s">
        <v>308</v>
      </c>
      <c r="AA42" s="286" t="s">
        <v>278</v>
      </c>
      <c r="AB42" s="286" t="s">
        <v>268</v>
      </c>
      <c r="AC42" s="286" t="s">
        <v>368</v>
      </c>
      <c r="AD42" s="296">
        <v>40</v>
      </c>
    </row>
    <row r="43" spans="1:30" ht="99.95" customHeight="1">
      <c r="A43" s="286" t="s">
        <v>307</v>
      </c>
      <c r="B43" s="287" t="s">
        <v>379</v>
      </c>
      <c r="C43" s="304" t="s">
        <v>93</v>
      </c>
      <c r="D43" s="289" t="s">
        <v>381</v>
      </c>
      <c r="E43" s="306"/>
      <c r="F43" s="331">
        <v>1</v>
      </c>
      <c r="G43" s="331">
        <v>1</v>
      </c>
      <c r="H43" s="308" t="s">
        <v>344</v>
      </c>
      <c r="I43" s="309" t="s">
        <v>504</v>
      </c>
      <c r="J43" s="351">
        <v>0.99</v>
      </c>
      <c r="K43" s="351">
        <v>0.99</v>
      </c>
      <c r="L43" s="348">
        <v>0.99</v>
      </c>
      <c r="M43" s="12" t="s">
        <v>344</v>
      </c>
      <c r="N43" s="269"/>
      <c r="O43" s="310"/>
      <c r="P43" s="310"/>
      <c r="Q43" s="307"/>
      <c r="R43" s="308" t="s">
        <v>347</v>
      </c>
      <c r="S43" s="309"/>
      <c r="T43" s="310"/>
      <c r="U43" s="307"/>
      <c r="V43" s="292" t="s">
        <v>334</v>
      </c>
      <c r="W43" s="309"/>
      <c r="X43" s="311" t="s">
        <v>284</v>
      </c>
      <c r="Y43" s="286" t="s">
        <v>273</v>
      </c>
      <c r="Z43" s="286" t="s">
        <v>308</v>
      </c>
      <c r="AA43" s="286" t="s">
        <v>278</v>
      </c>
      <c r="AB43" s="286" t="s">
        <v>268</v>
      </c>
      <c r="AC43" s="286" t="s">
        <v>368</v>
      </c>
      <c r="AD43" s="296">
        <v>41</v>
      </c>
    </row>
    <row r="44" spans="1:30" ht="99.95" customHeight="1">
      <c r="A44" s="286" t="s">
        <v>307</v>
      </c>
      <c r="B44" s="287" t="s">
        <v>380</v>
      </c>
      <c r="C44" s="304" t="s">
        <v>93</v>
      </c>
      <c r="D44" s="289" t="s">
        <v>382</v>
      </c>
      <c r="E44" s="306"/>
      <c r="F44" s="331">
        <v>0.85</v>
      </c>
      <c r="G44" s="331">
        <v>0.8</v>
      </c>
      <c r="H44" s="308" t="s">
        <v>344</v>
      </c>
      <c r="I44" s="309" t="s">
        <v>504</v>
      </c>
      <c r="J44" s="351">
        <v>0.76</v>
      </c>
      <c r="K44" s="351">
        <v>0.77</v>
      </c>
      <c r="L44" s="348">
        <v>0.75</v>
      </c>
      <c r="M44" s="12" t="s">
        <v>344</v>
      </c>
      <c r="N44" s="269"/>
      <c r="O44" s="310"/>
      <c r="P44" s="310"/>
      <c r="Q44" s="307"/>
      <c r="R44" s="308" t="s">
        <v>347</v>
      </c>
      <c r="S44" s="309"/>
      <c r="T44" s="310"/>
      <c r="U44" s="307"/>
      <c r="V44" s="292" t="s">
        <v>334</v>
      </c>
      <c r="W44" s="309"/>
      <c r="X44" s="311" t="s">
        <v>284</v>
      </c>
      <c r="Y44" s="286" t="s">
        <v>273</v>
      </c>
      <c r="Z44" s="286" t="s">
        <v>308</v>
      </c>
      <c r="AA44" s="286" t="s">
        <v>278</v>
      </c>
      <c r="AB44" s="286" t="s">
        <v>268</v>
      </c>
      <c r="AC44" s="286" t="s">
        <v>368</v>
      </c>
      <c r="AD44" s="296">
        <v>42</v>
      </c>
    </row>
    <row r="45" spans="1:30" ht="132" customHeight="1">
      <c r="A45" s="286" t="s">
        <v>307</v>
      </c>
      <c r="B45" s="287" t="s">
        <v>583</v>
      </c>
      <c r="C45" s="304" t="s">
        <v>94</v>
      </c>
      <c r="D45" s="289" t="s">
        <v>587</v>
      </c>
      <c r="E45" s="345">
        <v>43739</v>
      </c>
      <c r="F45" s="334" t="s">
        <v>579</v>
      </c>
      <c r="G45" s="316"/>
      <c r="H45" s="317" t="s">
        <v>348</v>
      </c>
      <c r="I45" s="336" t="s">
        <v>580</v>
      </c>
      <c r="J45" s="351" t="s">
        <v>661</v>
      </c>
      <c r="K45" s="351"/>
      <c r="L45" s="351"/>
      <c r="M45" s="13" t="s">
        <v>335</v>
      </c>
      <c r="N45" s="353" t="s">
        <v>585</v>
      </c>
      <c r="O45" s="319"/>
      <c r="P45" s="319"/>
      <c r="Q45" s="316"/>
      <c r="R45" s="317" t="s">
        <v>347</v>
      </c>
      <c r="S45" s="318"/>
      <c r="T45" s="319"/>
      <c r="U45" s="316"/>
      <c r="V45" s="292" t="s">
        <v>334</v>
      </c>
      <c r="W45" s="318"/>
      <c r="X45" s="311" t="s">
        <v>284</v>
      </c>
      <c r="Y45" s="286" t="s">
        <v>273</v>
      </c>
      <c r="Z45" s="286" t="s">
        <v>308</v>
      </c>
      <c r="AA45" s="286" t="s">
        <v>278</v>
      </c>
      <c r="AB45" s="286" t="s">
        <v>268</v>
      </c>
      <c r="AC45" s="286" t="s">
        <v>368</v>
      </c>
      <c r="AD45" s="296">
        <v>43</v>
      </c>
    </row>
    <row r="46" spans="1:30" ht="132" customHeight="1">
      <c r="A46" s="286" t="s">
        <v>307</v>
      </c>
      <c r="B46" s="287" t="s">
        <v>584</v>
      </c>
      <c r="C46" s="304" t="s">
        <v>94</v>
      </c>
      <c r="D46" s="289" t="s">
        <v>586</v>
      </c>
      <c r="E46" s="345">
        <v>43891</v>
      </c>
      <c r="F46" s="334" t="s">
        <v>579</v>
      </c>
      <c r="G46" s="316"/>
      <c r="H46" s="317" t="s">
        <v>348</v>
      </c>
      <c r="I46" s="336" t="s">
        <v>580</v>
      </c>
      <c r="J46" s="351" t="s">
        <v>628</v>
      </c>
      <c r="K46" s="351"/>
      <c r="L46" s="351"/>
      <c r="M46" s="13" t="s">
        <v>348</v>
      </c>
      <c r="N46" s="353" t="s">
        <v>585</v>
      </c>
      <c r="O46" s="319"/>
      <c r="P46" s="319"/>
      <c r="Q46" s="316"/>
      <c r="R46" s="317" t="s">
        <v>347</v>
      </c>
      <c r="S46" s="318"/>
      <c r="T46" s="319"/>
      <c r="U46" s="316"/>
      <c r="V46" s="292" t="s">
        <v>334</v>
      </c>
      <c r="W46" s="318"/>
      <c r="X46" s="311" t="s">
        <v>284</v>
      </c>
      <c r="Y46" s="286" t="s">
        <v>273</v>
      </c>
      <c r="Z46" s="286" t="s">
        <v>308</v>
      </c>
      <c r="AA46" s="286" t="s">
        <v>278</v>
      </c>
      <c r="AB46" s="286" t="s">
        <v>268</v>
      </c>
      <c r="AC46" s="286" t="s">
        <v>368</v>
      </c>
      <c r="AD46" s="296">
        <v>43</v>
      </c>
    </row>
    <row r="47" spans="1:30" ht="99.95" customHeight="1">
      <c r="A47" s="286" t="s">
        <v>307</v>
      </c>
      <c r="B47" s="287" t="s">
        <v>95</v>
      </c>
      <c r="C47" s="288" t="s">
        <v>152</v>
      </c>
      <c r="D47" s="314" t="s">
        <v>465</v>
      </c>
      <c r="E47" s="315"/>
      <c r="F47" s="335" t="s">
        <v>506</v>
      </c>
      <c r="G47" s="335" t="s">
        <v>465</v>
      </c>
      <c r="H47" s="317" t="s">
        <v>344</v>
      </c>
      <c r="I47" s="336" t="s">
        <v>547</v>
      </c>
      <c r="J47" s="347" t="s">
        <v>629</v>
      </c>
      <c r="K47" s="347" t="s">
        <v>630</v>
      </c>
      <c r="L47" s="348" t="s">
        <v>465</v>
      </c>
      <c r="M47" s="13" t="s">
        <v>344</v>
      </c>
      <c r="N47" s="343"/>
      <c r="O47" s="319"/>
      <c r="P47" s="319"/>
      <c r="Q47" s="316"/>
      <c r="R47" s="317" t="s">
        <v>347</v>
      </c>
      <c r="S47" s="318"/>
      <c r="T47" s="319"/>
      <c r="U47" s="316"/>
      <c r="V47" s="292" t="s">
        <v>334</v>
      </c>
      <c r="W47" s="318"/>
      <c r="X47" s="311" t="s">
        <v>284</v>
      </c>
      <c r="Y47" s="286" t="s">
        <v>273</v>
      </c>
      <c r="Z47" s="286" t="s">
        <v>308</v>
      </c>
      <c r="AA47" s="286" t="s">
        <v>278</v>
      </c>
      <c r="AB47" s="286" t="s">
        <v>268</v>
      </c>
      <c r="AC47" s="286" t="s">
        <v>368</v>
      </c>
      <c r="AD47" s="296">
        <v>44</v>
      </c>
    </row>
    <row r="48" spans="1:30" ht="87.75" customHeight="1">
      <c r="A48" s="286" t="s">
        <v>307</v>
      </c>
      <c r="B48" s="287" t="s">
        <v>383</v>
      </c>
      <c r="C48" s="288" t="s">
        <v>385</v>
      </c>
      <c r="D48" s="314" t="s">
        <v>466</v>
      </c>
      <c r="E48" s="306"/>
      <c r="F48" s="330">
        <v>0.92900000000000005</v>
      </c>
      <c r="G48" s="331">
        <v>0.85</v>
      </c>
      <c r="H48" s="308" t="s">
        <v>344</v>
      </c>
      <c r="I48" s="309" t="s">
        <v>504</v>
      </c>
      <c r="J48" s="347">
        <v>1.3540000000000001</v>
      </c>
      <c r="K48" s="347">
        <v>1.0569999999999999</v>
      </c>
      <c r="L48" s="348">
        <v>0.8</v>
      </c>
      <c r="M48" s="12" t="s">
        <v>344</v>
      </c>
      <c r="N48" s="269"/>
      <c r="O48" s="310"/>
      <c r="P48" s="310"/>
      <c r="Q48" s="307"/>
      <c r="R48" s="308" t="s">
        <v>347</v>
      </c>
      <c r="S48" s="309"/>
      <c r="T48" s="310"/>
      <c r="U48" s="307"/>
      <c r="V48" s="292" t="s">
        <v>334</v>
      </c>
      <c r="W48" s="309"/>
      <c r="X48" s="311" t="s">
        <v>284</v>
      </c>
      <c r="Y48" s="286" t="s">
        <v>273</v>
      </c>
      <c r="Z48" s="286" t="s">
        <v>308</v>
      </c>
      <c r="AA48" s="286" t="s">
        <v>278</v>
      </c>
      <c r="AB48" s="286" t="s">
        <v>268</v>
      </c>
      <c r="AC48" s="286" t="s">
        <v>368</v>
      </c>
      <c r="AD48" s="296">
        <v>45</v>
      </c>
    </row>
    <row r="49" spans="1:30" ht="87.75" customHeight="1">
      <c r="A49" s="286" t="s">
        <v>307</v>
      </c>
      <c r="B49" s="287" t="s">
        <v>384</v>
      </c>
      <c r="C49" s="288" t="s">
        <v>385</v>
      </c>
      <c r="D49" s="314" t="s">
        <v>467</v>
      </c>
      <c r="E49" s="306"/>
      <c r="F49" s="330">
        <v>0.81899999999999995</v>
      </c>
      <c r="G49" s="331">
        <v>0.85</v>
      </c>
      <c r="H49" s="308" t="s">
        <v>344</v>
      </c>
      <c r="I49" s="309" t="s">
        <v>504</v>
      </c>
      <c r="J49" s="347">
        <v>0.84799999999999998</v>
      </c>
      <c r="K49" s="347">
        <v>0.85899999999999999</v>
      </c>
      <c r="L49" s="348">
        <v>0.85</v>
      </c>
      <c r="M49" s="12" t="s">
        <v>344</v>
      </c>
      <c r="N49" s="269"/>
      <c r="O49" s="310"/>
      <c r="P49" s="310"/>
      <c r="Q49" s="307"/>
      <c r="R49" s="308" t="s">
        <v>347</v>
      </c>
      <c r="S49" s="309"/>
      <c r="T49" s="310"/>
      <c r="U49" s="307"/>
      <c r="V49" s="292" t="s">
        <v>334</v>
      </c>
      <c r="W49" s="309"/>
      <c r="X49" s="311" t="s">
        <v>284</v>
      </c>
      <c r="Y49" s="286" t="s">
        <v>273</v>
      </c>
      <c r="Z49" s="286" t="s">
        <v>308</v>
      </c>
      <c r="AA49" s="286" t="s">
        <v>278</v>
      </c>
      <c r="AB49" s="286" t="s">
        <v>268</v>
      </c>
      <c r="AC49" s="286" t="s">
        <v>368</v>
      </c>
      <c r="AD49" s="296">
        <v>46</v>
      </c>
    </row>
    <row r="50" spans="1:30" ht="99.95" customHeight="1">
      <c r="A50" s="286" t="s">
        <v>307</v>
      </c>
      <c r="B50" s="287" t="s">
        <v>96</v>
      </c>
      <c r="C50" s="304" t="s">
        <v>97</v>
      </c>
      <c r="D50" s="297" t="s">
        <v>98</v>
      </c>
      <c r="E50" s="298">
        <v>43830</v>
      </c>
      <c r="F50" s="299"/>
      <c r="G50" s="299"/>
      <c r="H50" s="300" t="s">
        <v>348</v>
      </c>
      <c r="I50" s="301" t="s">
        <v>507</v>
      </c>
      <c r="J50" s="341" t="s">
        <v>631</v>
      </c>
      <c r="K50" s="341"/>
      <c r="L50" s="9"/>
      <c r="M50" s="10" t="s">
        <v>335</v>
      </c>
      <c r="N50" s="268"/>
      <c r="O50" s="302"/>
      <c r="P50" s="302"/>
      <c r="Q50" s="299"/>
      <c r="R50" s="300" t="s">
        <v>347</v>
      </c>
      <c r="S50" s="301"/>
      <c r="T50" s="302"/>
      <c r="U50" s="299"/>
      <c r="V50" s="292" t="s">
        <v>334</v>
      </c>
      <c r="W50" s="301"/>
      <c r="X50" s="295" t="s">
        <v>283</v>
      </c>
      <c r="Y50" s="286" t="s">
        <v>273</v>
      </c>
      <c r="Z50" s="286" t="s">
        <v>308</v>
      </c>
      <c r="AA50" s="286" t="s">
        <v>278</v>
      </c>
      <c r="AB50" s="286" t="s">
        <v>268</v>
      </c>
      <c r="AC50" s="286" t="s">
        <v>368</v>
      </c>
      <c r="AD50" s="296">
        <v>47</v>
      </c>
    </row>
    <row r="51" spans="1:30" ht="99.95" customHeight="1">
      <c r="A51" s="286" t="s">
        <v>307</v>
      </c>
      <c r="B51" s="287" t="s">
        <v>99</v>
      </c>
      <c r="C51" s="304" t="s">
        <v>100</v>
      </c>
      <c r="D51" s="297" t="s">
        <v>101</v>
      </c>
      <c r="E51" s="290">
        <v>43921</v>
      </c>
      <c r="F51" s="299"/>
      <c r="G51" s="299"/>
      <c r="H51" s="300" t="s">
        <v>348</v>
      </c>
      <c r="I51" s="301" t="s">
        <v>548</v>
      </c>
      <c r="J51" s="341" t="s">
        <v>628</v>
      </c>
      <c r="K51" s="341"/>
      <c r="L51" s="9"/>
      <c r="M51" s="10" t="s">
        <v>348</v>
      </c>
      <c r="N51" s="268"/>
      <c r="O51" s="302"/>
      <c r="P51" s="302"/>
      <c r="Q51" s="299"/>
      <c r="R51" s="300" t="s">
        <v>347</v>
      </c>
      <c r="S51" s="301"/>
      <c r="T51" s="302"/>
      <c r="U51" s="299"/>
      <c r="V51" s="292" t="s">
        <v>334</v>
      </c>
      <c r="W51" s="301"/>
      <c r="X51" s="303" t="s">
        <v>280</v>
      </c>
      <c r="Y51" s="286" t="s">
        <v>273</v>
      </c>
      <c r="Z51" s="286" t="s">
        <v>308</v>
      </c>
      <c r="AA51" s="286" t="s">
        <v>278</v>
      </c>
      <c r="AB51" s="286" t="s">
        <v>268</v>
      </c>
      <c r="AC51" s="286" t="s">
        <v>368</v>
      </c>
      <c r="AD51" s="296">
        <v>48</v>
      </c>
    </row>
    <row r="52" spans="1:30" ht="99.95" customHeight="1">
      <c r="A52" s="286" t="s">
        <v>307</v>
      </c>
      <c r="B52" s="287" t="s">
        <v>102</v>
      </c>
      <c r="C52" s="304" t="s">
        <v>103</v>
      </c>
      <c r="D52" s="297" t="s">
        <v>104</v>
      </c>
      <c r="E52" s="290">
        <v>43921</v>
      </c>
      <c r="F52" s="299"/>
      <c r="G52" s="299"/>
      <c r="H52" s="300" t="s">
        <v>348</v>
      </c>
      <c r="I52" s="301" t="s">
        <v>508</v>
      </c>
      <c r="J52" s="341" t="s">
        <v>628</v>
      </c>
      <c r="K52" s="341"/>
      <c r="L52" s="9"/>
      <c r="M52" s="10" t="s">
        <v>348</v>
      </c>
      <c r="N52" s="268"/>
      <c r="O52" s="302"/>
      <c r="P52" s="302"/>
      <c r="Q52" s="299"/>
      <c r="R52" s="300" t="s">
        <v>347</v>
      </c>
      <c r="S52" s="301"/>
      <c r="T52" s="302"/>
      <c r="U52" s="299"/>
      <c r="V52" s="292" t="s">
        <v>334</v>
      </c>
      <c r="W52" s="301"/>
      <c r="X52" s="303" t="s">
        <v>280</v>
      </c>
      <c r="Y52" s="286" t="s">
        <v>273</v>
      </c>
      <c r="Z52" s="286" t="s">
        <v>308</v>
      </c>
      <c r="AA52" s="286" t="s">
        <v>278</v>
      </c>
      <c r="AB52" s="286" t="s">
        <v>268</v>
      </c>
      <c r="AC52" s="286" t="s">
        <v>368</v>
      </c>
      <c r="AD52" s="296">
        <v>49</v>
      </c>
    </row>
    <row r="53" spans="1:30" ht="99.95" customHeight="1">
      <c r="A53" s="286" t="s">
        <v>582</v>
      </c>
      <c r="B53" s="287" t="s">
        <v>105</v>
      </c>
      <c r="C53" s="304" t="s">
        <v>106</v>
      </c>
      <c r="D53" s="289" t="s">
        <v>107</v>
      </c>
      <c r="E53" s="306"/>
      <c r="F53" s="307" t="s">
        <v>566</v>
      </c>
      <c r="G53" s="307"/>
      <c r="H53" s="308" t="s">
        <v>344</v>
      </c>
      <c r="I53" s="309"/>
      <c r="J53" s="342" t="s">
        <v>685</v>
      </c>
      <c r="K53" s="342"/>
      <c r="L53" s="11"/>
      <c r="M53" s="12" t="s">
        <v>344</v>
      </c>
      <c r="N53" s="269"/>
      <c r="O53" s="310"/>
      <c r="P53" s="310"/>
      <c r="Q53" s="307"/>
      <c r="R53" s="308" t="s">
        <v>347</v>
      </c>
      <c r="S53" s="309"/>
      <c r="T53" s="310"/>
      <c r="U53" s="307"/>
      <c r="V53" s="292" t="s">
        <v>334</v>
      </c>
      <c r="W53" s="309"/>
      <c r="X53" s="311" t="s">
        <v>284</v>
      </c>
      <c r="Y53" s="286" t="s">
        <v>273</v>
      </c>
      <c r="Z53" s="286" t="s">
        <v>269</v>
      </c>
      <c r="AA53" s="286" t="s">
        <v>278</v>
      </c>
      <c r="AB53" s="286" t="s">
        <v>269</v>
      </c>
      <c r="AC53" s="286" t="s">
        <v>364</v>
      </c>
      <c r="AD53" s="296">
        <v>50</v>
      </c>
    </row>
    <row r="54" spans="1:30" ht="99.95" customHeight="1">
      <c r="A54" s="286" t="s">
        <v>582</v>
      </c>
      <c r="B54" s="287" t="s">
        <v>108</v>
      </c>
      <c r="C54" s="304" t="s">
        <v>106</v>
      </c>
      <c r="D54" s="289" t="s">
        <v>109</v>
      </c>
      <c r="E54" s="298">
        <v>43830</v>
      </c>
      <c r="F54" s="291" t="s">
        <v>567</v>
      </c>
      <c r="G54" s="291"/>
      <c r="H54" s="292" t="s">
        <v>344</v>
      </c>
      <c r="I54" s="293"/>
      <c r="J54" s="291" t="s">
        <v>567</v>
      </c>
      <c r="K54" s="340"/>
      <c r="L54" s="7"/>
      <c r="M54" s="12" t="s">
        <v>344</v>
      </c>
      <c r="N54" s="267"/>
      <c r="O54" s="294"/>
      <c r="P54" s="294"/>
      <c r="Q54" s="291"/>
      <c r="R54" s="292" t="s">
        <v>347</v>
      </c>
      <c r="S54" s="293"/>
      <c r="T54" s="294"/>
      <c r="U54" s="291"/>
      <c r="V54" s="292" t="s">
        <v>334</v>
      </c>
      <c r="W54" s="293"/>
      <c r="X54" s="295" t="s">
        <v>283</v>
      </c>
      <c r="Y54" s="286" t="s">
        <v>273</v>
      </c>
      <c r="Z54" s="286" t="s">
        <v>269</v>
      </c>
      <c r="AA54" s="286" t="s">
        <v>278</v>
      </c>
      <c r="AB54" s="286" t="s">
        <v>269</v>
      </c>
      <c r="AC54" s="286" t="s">
        <v>364</v>
      </c>
      <c r="AD54" s="296">
        <v>51</v>
      </c>
    </row>
    <row r="55" spans="1:30" ht="99.95" customHeight="1">
      <c r="A55" s="286" t="s">
        <v>582</v>
      </c>
      <c r="B55" s="287" t="s">
        <v>110</v>
      </c>
      <c r="C55" s="288" t="s">
        <v>111</v>
      </c>
      <c r="D55" s="289" t="s">
        <v>112</v>
      </c>
      <c r="E55" s="298">
        <v>43830</v>
      </c>
      <c r="F55" s="291" t="s">
        <v>567</v>
      </c>
      <c r="G55" s="291"/>
      <c r="H55" s="292" t="s">
        <v>344</v>
      </c>
      <c r="I55" s="293"/>
      <c r="J55" s="291" t="s">
        <v>567</v>
      </c>
      <c r="K55" s="340"/>
      <c r="L55" s="7"/>
      <c r="M55" s="12" t="s">
        <v>344</v>
      </c>
      <c r="N55" s="267"/>
      <c r="O55" s="294"/>
      <c r="P55" s="294"/>
      <c r="Q55" s="291"/>
      <c r="R55" s="292" t="s">
        <v>347</v>
      </c>
      <c r="S55" s="293"/>
      <c r="T55" s="294"/>
      <c r="U55" s="291"/>
      <c r="V55" s="292" t="s">
        <v>334</v>
      </c>
      <c r="W55" s="293"/>
      <c r="X55" s="295" t="s">
        <v>283</v>
      </c>
      <c r="Y55" s="286" t="s">
        <v>273</v>
      </c>
      <c r="Z55" s="286" t="s">
        <v>269</v>
      </c>
      <c r="AA55" s="286" t="s">
        <v>278</v>
      </c>
      <c r="AB55" s="286" t="s">
        <v>269</v>
      </c>
      <c r="AC55" s="286" t="s">
        <v>364</v>
      </c>
      <c r="AD55" s="296">
        <v>52</v>
      </c>
    </row>
    <row r="56" spans="1:30" ht="99.95" customHeight="1">
      <c r="A56" s="286" t="s">
        <v>582</v>
      </c>
      <c r="B56" s="287" t="s">
        <v>113</v>
      </c>
      <c r="C56" s="304" t="s">
        <v>114</v>
      </c>
      <c r="D56" s="297" t="s">
        <v>115</v>
      </c>
      <c r="E56" s="290">
        <v>43921</v>
      </c>
      <c r="F56" s="299" t="s">
        <v>568</v>
      </c>
      <c r="G56" s="299"/>
      <c r="H56" s="300" t="s">
        <v>344</v>
      </c>
      <c r="I56" s="301"/>
      <c r="J56" s="341" t="s">
        <v>686</v>
      </c>
      <c r="K56" s="341"/>
      <c r="L56" s="9"/>
      <c r="M56" s="12" t="s">
        <v>344</v>
      </c>
      <c r="N56" s="268"/>
      <c r="O56" s="302"/>
      <c r="P56" s="302"/>
      <c r="Q56" s="299"/>
      <c r="R56" s="300" t="s">
        <v>347</v>
      </c>
      <c r="S56" s="301"/>
      <c r="T56" s="302"/>
      <c r="U56" s="299"/>
      <c r="V56" s="292" t="s">
        <v>334</v>
      </c>
      <c r="W56" s="301"/>
      <c r="X56" s="303" t="s">
        <v>280</v>
      </c>
      <c r="Y56" s="286" t="s">
        <v>273</v>
      </c>
      <c r="Z56" s="286" t="s">
        <v>269</v>
      </c>
      <c r="AA56" s="286" t="s">
        <v>278</v>
      </c>
      <c r="AB56" s="286" t="s">
        <v>269</v>
      </c>
      <c r="AC56" s="286" t="s">
        <v>364</v>
      </c>
      <c r="AD56" s="296">
        <v>53</v>
      </c>
    </row>
    <row r="57" spans="1:30" ht="99.95" customHeight="1">
      <c r="A57" s="286" t="s">
        <v>582</v>
      </c>
      <c r="B57" s="287" t="s">
        <v>116</v>
      </c>
      <c r="C57" s="304" t="s">
        <v>114</v>
      </c>
      <c r="D57" s="297" t="s">
        <v>117</v>
      </c>
      <c r="E57" s="298">
        <v>43830</v>
      </c>
      <c r="F57" s="299" t="s">
        <v>569</v>
      </c>
      <c r="G57" s="299"/>
      <c r="H57" s="300" t="s">
        <v>344</v>
      </c>
      <c r="I57" s="301"/>
      <c r="J57" s="341" t="s">
        <v>688</v>
      </c>
      <c r="K57" s="341"/>
      <c r="L57" s="9"/>
      <c r="M57" s="12" t="s">
        <v>344</v>
      </c>
      <c r="N57" s="268"/>
      <c r="O57" s="302"/>
      <c r="P57" s="302"/>
      <c r="Q57" s="299"/>
      <c r="R57" s="300" t="s">
        <v>347</v>
      </c>
      <c r="S57" s="301"/>
      <c r="T57" s="302"/>
      <c r="U57" s="299"/>
      <c r="V57" s="292" t="s">
        <v>334</v>
      </c>
      <c r="W57" s="301"/>
      <c r="X57" s="295" t="s">
        <v>283</v>
      </c>
      <c r="Y57" s="286" t="s">
        <v>273</v>
      </c>
      <c r="Z57" s="286" t="s">
        <v>269</v>
      </c>
      <c r="AA57" s="286" t="s">
        <v>278</v>
      </c>
      <c r="AB57" s="286" t="s">
        <v>269</v>
      </c>
      <c r="AC57" s="286" t="s">
        <v>364</v>
      </c>
      <c r="AD57" s="296">
        <v>54</v>
      </c>
    </row>
    <row r="58" spans="1:30" ht="99.95" customHeight="1">
      <c r="A58" s="286" t="s">
        <v>324</v>
      </c>
      <c r="B58" s="287" t="s">
        <v>118</v>
      </c>
      <c r="C58" s="288" t="s">
        <v>119</v>
      </c>
      <c r="D58" s="297" t="s">
        <v>120</v>
      </c>
      <c r="E58" s="298">
        <v>43738</v>
      </c>
      <c r="F58" s="299" t="s">
        <v>549</v>
      </c>
      <c r="G58" s="299"/>
      <c r="H58" s="300" t="s">
        <v>335</v>
      </c>
      <c r="I58" s="301" t="s">
        <v>550</v>
      </c>
      <c r="J58" s="341"/>
      <c r="K58" s="341"/>
      <c r="L58" s="9"/>
      <c r="M58" s="8" t="s">
        <v>335</v>
      </c>
      <c r="N58" s="268"/>
      <c r="O58" s="302"/>
      <c r="P58" s="302"/>
      <c r="Q58" s="299"/>
      <c r="R58" s="300" t="s">
        <v>347</v>
      </c>
      <c r="S58" s="301"/>
      <c r="T58" s="302"/>
      <c r="U58" s="299"/>
      <c r="V58" s="292" t="s">
        <v>334</v>
      </c>
      <c r="W58" s="301"/>
      <c r="X58" s="303" t="s">
        <v>282</v>
      </c>
      <c r="Y58" s="286" t="s">
        <v>275</v>
      </c>
      <c r="Z58" s="286" t="s">
        <v>309</v>
      </c>
      <c r="AA58" s="286" t="s">
        <v>278</v>
      </c>
      <c r="AB58" s="286" t="s">
        <v>270</v>
      </c>
      <c r="AC58" s="286" t="s">
        <v>367</v>
      </c>
      <c r="AD58" s="296">
        <v>55</v>
      </c>
    </row>
    <row r="59" spans="1:30" ht="99.95" customHeight="1">
      <c r="A59" s="286" t="s">
        <v>324</v>
      </c>
      <c r="B59" s="287" t="s">
        <v>121</v>
      </c>
      <c r="C59" s="288" t="s">
        <v>122</v>
      </c>
      <c r="D59" s="297" t="s">
        <v>123</v>
      </c>
      <c r="E59" s="298">
        <v>43738</v>
      </c>
      <c r="F59" s="299" t="s">
        <v>475</v>
      </c>
      <c r="G59" s="299"/>
      <c r="H59" s="300" t="s">
        <v>344</v>
      </c>
      <c r="I59" s="301" t="s">
        <v>476</v>
      </c>
      <c r="J59" s="341" t="s">
        <v>662</v>
      </c>
      <c r="K59" s="341"/>
      <c r="L59" s="9"/>
      <c r="M59" s="10" t="s">
        <v>335</v>
      </c>
      <c r="N59" s="268"/>
      <c r="O59" s="302"/>
      <c r="P59" s="302"/>
      <c r="Q59" s="299"/>
      <c r="R59" s="300" t="s">
        <v>347</v>
      </c>
      <c r="S59" s="301"/>
      <c r="T59" s="302"/>
      <c r="U59" s="299"/>
      <c r="V59" s="292" t="s">
        <v>334</v>
      </c>
      <c r="W59" s="301"/>
      <c r="X59" s="303" t="s">
        <v>282</v>
      </c>
      <c r="Y59" s="286" t="s">
        <v>275</v>
      </c>
      <c r="Z59" s="286" t="s">
        <v>309</v>
      </c>
      <c r="AA59" s="286" t="s">
        <v>278</v>
      </c>
      <c r="AB59" s="286" t="s">
        <v>270</v>
      </c>
      <c r="AC59" s="286" t="s">
        <v>367</v>
      </c>
      <c r="AD59" s="296">
        <v>56</v>
      </c>
    </row>
    <row r="60" spans="1:30" ht="99.95" customHeight="1">
      <c r="A60" s="286" t="s">
        <v>324</v>
      </c>
      <c r="B60" s="287" t="s">
        <v>124</v>
      </c>
      <c r="C60" s="288" t="s">
        <v>122</v>
      </c>
      <c r="D60" s="297" t="s">
        <v>125</v>
      </c>
      <c r="E60" s="290">
        <v>43921</v>
      </c>
      <c r="F60" s="299" t="s">
        <v>551</v>
      </c>
      <c r="G60" s="299"/>
      <c r="H60" s="300" t="s">
        <v>344</v>
      </c>
      <c r="I60" s="301" t="s">
        <v>552</v>
      </c>
      <c r="J60" s="341" t="s">
        <v>663</v>
      </c>
      <c r="K60" s="341"/>
      <c r="L60" s="9"/>
      <c r="M60" s="10" t="s">
        <v>344</v>
      </c>
      <c r="N60" s="268"/>
      <c r="O60" s="302"/>
      <c r="P60" s="302"/>
      <c r="Q60" s="299"/>
      <c r="R60" s="300" t="s">
        <v>347</v>
      </c>
      <c r="S60" s="301"/>
      <c r="T60" s="302"/>
      <c r="U60" s="299"/>
      <c r="V60" s="292" t="s">
        <v>334</v>
      </c>
      <c r="W60" s="301"/>
      <c r="X60" s="303" t="s">
        <v>280</v>
      </c>
      <c r="Y60" s="286" t="s">
        <v>275</v>
      </c>
      <c r="Z60" s="286" t="s">
        <v>309</v>
      </c>
      <c r="AA60" s="286" t="s">
        <v>278</v>
      </c>
      <c r="AB60" s="286" t="s">
        <v>270</v>
      </c>
      <c r="AC60" s="286" t="s">
        <v>367</v>
      </c>
      <c r="AD60" s="296">
        <v>57</v>
      </c>
    </row>
    <row r="61" spans="1:30" ht="99.95" customHeight="1">
      <c r="A61" s="286" t="s">
        <v>311</v>
      </c>
      <c r="B61" s="287" t="s">
        <v>126</v>
      </c>
      <c r="C61" s="304" t="s">
        <v>127</v>
      </c>
      <c r="D61" s="297" t="s">
        <v>128</v>
      </c>
      <c r="E61" s="290">
        <v>43799</v>
      </c>
      <c r="F61" s="299" t="s">
        <v>530</v>
      </c>
      <c r="G61" s="299"/>
      <c r="H61" s="300" t="s">
        <v>344</v>
      </c>
      <c r="I61" s="301" t="s">
        <v>535</v>
      </c>
      <c r="J61" s="341" t="s">
        <v>637</v>
      </c>
      <c r="K61" s="341"/>
      <c r="L61" s="9"/>
      <c r="M61" s="10" t="s">
        <v>344</v>
      </c>
      <c r="N61" s="268"/>
      <c r="O61" s="302"/>
      <c r="P61" s="302"/>
      <c r="Q61" s="299"/>
      <c r="R61" s="300" t="s">
        <v>347</v>
      </c>
      <c r="S61" s="301"/>
      <c r="T61" s="302"/>
      <c r="U61" s="299"/>
      <c r="V61" s="292" t="s">
        <v>334</v>
      </c>
      <c r="W61" s="301"/>
      <c r="X61" s="295" t="s">
        <v>283</v>
      </c>
      <c r="Y61" s="286" t="s">
        <v>275</v>
      </c>
      <c r="Z61" s="286" t="s">
        <v>310</v>
      </c>
      <c r="AA61" s="286" t="s">
        <v>278</v>
      </c>
      <c r="AB61" s="286" t="s">
        <v>270</v>
      </c>
      <c r="AC61" s="286" t="s">
        <v>367</v>
      </c>
      <c r="AD61" s="296">
        <v>58</v>
      </c>
    </row>
    <row r="62" spans="1:30" ht="99.95" customHeight="1">
      <c r="A62" s="286" t="s">
        <v>311</v>
      </c>
      <c r="B62" s="287" t="s">
        <v>129</v>
      </c>
      <c r="C62" s="304" t="s">
        <v>130</v>
      </c>
      <c r="D62" s="297" t="s">
        <v>131</v>
      </c>
      <c r="E62" s="298">
        <v>43830</v>
      </c>
      <c r="F62" s="299" t="s">
        <v>531</v>
      </c>
      <c r="G62" s="299"/>
      <c r="H62" s="300" t="s">
        <v>344</v>
      </c>
      <c r="I62" s="301"/>
      <c r="J62" s="341" t="s">
        <v>638</v>
      </c>
      <c r="K62" s="341"/>
      <c r="L62" s="9"/>
      <c r="M62" s="10" t="s">
        <v>344</v>
      </c>
      <c r="N62" s="268"/>
      <c r="O62" s="302"/>
      <c r="P62" s="302"/>
      <c r="Q62" s="299"/>
      <c r="R62" s="300" t="s">
        <v>347</v>
      </c>
      <c r="S62" s="301"/>
      <c r="T62" s="302"/>
      <c r="U62" s="299"/>
      <c r="V62" s="292" t="s">
        <v>334</v>
      </c>
      <c r="W62" s="301"/>
      <c r="X62" s="295" t="s">
        <v>283</v>
      </c>
      <c r="Y62" s="286" t="s">
        <v>275</v>
      </c>
      <c r="Z62" s="286" t="s">
        <v>310</v>
      </c>
      <c r="AA62" s="286" t="s">
        <v>278</v>
      </c>
      <c r="AB62" s="286" t="s">
        <v>270</v>
      </c>
      <c r="AC62" s="286" t="s">
        <v>367</v>
      </c>
      <c r="AD62" s="296">
        <v>59</v>
      </c>
    </row>
    <row r="63" spans="1:30" ht="99.95" customHeight="1">
      <c r="A63" s="286" t="s">
        <v>300</v>
      </c>
      <c r="B63" s="287" t="s">
        <v>132</v>
      </c>
      <c r="C63" s="304" t="s">
        <v>133</v>
      </c>
      <c r="D63" s="289" t="s">
        <v>134</v>
      </c>
      <c r="E63" s="290">
        <v>43769</v>
      </c>
      <c r="F63" s="291" t="s">
        <v>676</v>
      </c>
      <c r="G63" s="291"/>
      <c r="H63" s="292" t="s">
        <v>344</v>
      </c>
      <c r="I63" s="293"/>
      <c r="J63" s="340" t="s">
        <v>646</v>
      </c>
      <c r="K63" s="340"/>
      <c r="L63" s="7"/>
      <c r="M63" s="8" t="s">
        <v>335</v>
      </c>
      <c r="N63" s="267"/>
      <c r="O63" s="294"/>
      <c r="P63" s="294"/>
      <c r="Q63" s="291"/>
      <c r="R63" s="292" t="s">
        <v>347</v>
      </c>
      <c r="S63" s="293"/>
      <c r="T63" s="294"/>
      <c r="U63" s="291"/>
      <c r="V63" s="292" t="s">
        <v>334</v>
      </c>
      <c r="W63" s="293"/>
      <c r="X63" s="295" t="s">
        <v>283</v>
      </c>
      <c r="Y63" s="286" t="s">
        <v>275</v>
      </c>
      <c r="Z63" s="286" t="s">
        <v>301</v>
      </c>
      <c r="AA63" s="286" t="s">
        <v>278</v>
      </c>
      <c r="AB63" s="286" t="s">
        <v>270</v>
      </c>
      <c r="AC63" s="286" t="s">
        <v>367</v>
      </c>
      <c r="AD63" s="296">
        <v>60</v>
      </c>
    </row>
    <row r="64" spans="1:30" ht="99.95" customHeight="1">
      <c r="A64" s="286" t="s">
        <v>325</v>
      </c>
      <c r="B64" s="287" t="s">
        <v>135</v>
      </c>
      <c r="C64" s="304" t="s">
        <v>136</v>
      </c>
      <c r="D64" s="297" t="s">
        <v>137</v>
      </c>
      <c r="E64" s="290">
        <v>43769</v>
      </c>
      <c r="F64" s="299" t="s">
        <v>553</v>
      </c>
      <c r="G64" s="299"/>
      <c r="H64" s="300" t="s">
        <v>344</v>
      </c>
      <c r="I64" s="301"/>
      <c r="J64" s="341" t="s">
        <v>664</v>
      </c>
      <c r="K64" s="341"/>
      <c r="L64" s="9"/>
      <c r="M64" s="10" t="s">
        <v>335</v>
      </c>
      <c r="N64" s="268"/>
      <c r="O64" s="302"/>
      <c r="P64" s="302"/>
      <c r="Q64" s="299"/>
      <c r="R64" s="300" t="s">
        <v>347</v>
      </c>
      <c r="S64" s="301"/>
      <c r="T64" s="302"/>
      <c r="U64" s="299"/>
      <c r="V64" s="292" t="s">
        <v>334</v>
      </c>
      <c r="W64" s="301"/>
      <c r="X64" s="295" t="s">
        <v>283</v>
      </c>
      <c r="Y64" s="286" t="s">
        <v>275</v>
      </c>
      <c r="Z64" s="286" t="s">
        <v>326</v>
      </c>
      <c r="AA64" s="286" t="s">
        <v>278</v>
      </c>
      <c r="AB64" s="286" t="s">
        <v>270</v>
      </c>
      <c r="AC64" s="286" t="s">
        <v>367</v>
      </c>
      <c r="AD64" s="296">
        <v>61</v>
      </c>
    </row>
    <row r="65" spans="1:30" ht="219.75" customHeight="1">
      <c r="A65" s="286" t="s">
        <v>494</v>
      </c>
      <c r="B65" s="287" t="s">
        <v>138</v>
      </c>
      <c r="C65" s="288" t="s">
        <v>139</v>
      </c>
      <c r="D65" s="297" t="s">
        <v>140</v>
      </c>
      <c r="E65" s="298">
        <v>43646</v>
      </c>
      <c r="F65" s="299" t="s">
        <v>576</v>
      </c>
      <c r="G65" s="299"/>
      <c r="H65" s="300" t="s">
        <v>339</v>
      </c>
      <c r="I65" s="301" t="s">
        <v>495</v>
      </c>
      <c r="J65" s="9" t="s">
        <v>692</v>
      </c>
      <c r="K65" s="341"/>
      <c r="L65" s="9"/>
      <c r="M65" s="10" t="s">
        <v>346</v>
      </c>
      <c r="N65" s="268"/>
      <c r="O65" s="302"/>
      <c r="P65" s="302"/>
      <c r="Q65" s="299"/>
      <c r="R65" s="300" t="s">
        <v>347</v>
      </c>
      <c r="S65" s="301"/>
      <c r="T65" s="302"/>
      <c r="U65" s="299"/>
      <c r="V65" s="292" t="s">
        <v>334</v>
      </c>
      <c r="W65" s="301"/>
      <c r="X65" s="295" t="s">
        <v>281</v>
      </c>
      <c r="Y65" s="286" t="s">
        <v>274</v>
      </c>
      <c r="Z65" s="286" t="s">
        <v>290</v>
      </c>
      <c r="AA65" s="286" t="s">
        <v>278</v>
      </c>
      <c r="AB65" s="286" t="s">
        <v>271</v>
      </c>
      <c r="AC65" s="286" t="s">
        <v>364</v>
      </c>
      <c r="AD65" s="296">
        <v>62</v>
      </c>
    </row>
    <row r="66" spans="1:30" ht="99.95" customHeight="1">
      <c r="A66" s="286" t="s">
        <v>313</v>
      </c>
      <c r="B66" s="287" t="s">
        <v>141</v>
      </c>
      <c r="C66" s="288" t="s">
        <v>142</v>
      </c>
      <c r="D66" s="289" t="s">
        <v>554</v>
      </c>
      <c r="E66" s="298">
        <v>43646</v>
      </c>
      <c r="F66" s="329" t="s">
        <v>483</v>
      </c>
      <c r="G66" s="291"/>
      <c r="H66" s="292" t="s">
        <v>335</v>
      </c>
      <c r="I66" s="293" t="s">
        <v>484</v>
      </c>
      <c r="J66" s="340"/>
      <c r="K66" s="340"/>
      <c r="L66" s="7"/>
      <c r="M66" s="8" t="s">
        <v>335</v>
      </c>
      <c r="N66" s="267"/>
      <c r="O66" s="294"/>
      <c r="P66" s="294"/>
      <c r="Q66" s="291"/>
      <c r="R66" s="292" t="s">
        <v>347</v>
      </c>
      <c r="S66" s="293"/>
      <c r="T66" s="294"/>
      <c r="U66" s="291"/>
      <c r="V66" s="292" t="s">
        <v>334</v>
      </c>
      <c r="W66" s="293"/>
      <c r="X66" s="295" t="s">
        <v>281</v>
      </c>
      <c r="Y66" s="286" t="s">
        <v>274</v>
      </c>
      <c r="Z66" s="286" t="s">
        <v>312</v>
      </c>
      <c r="AA66" s="286" t="s">
        <v>278</v>
      </c>
      <c r="AB66" s="286" t="s">
        <v>271</v>
      </c>
      <c r="AC66" s="286" t="s">
        <v>364</v>
      </c>
      <c r="AD66" s="296">
        <v>63</v>
      </c>
    </row>
    <row r="67" spans="1:30" ht="99.95" customHeight="1">
      <c r="A67" s="286" t="s">
        <v>313</v>
      </c>
      <c r="B67" s="287" t="s">
        <v>143</v>
      </c>
      <c r="C67" s="288" t="s">
        <v>144</v>
      </c>
      <c r="D67" s="297" t="s">
        <v>145</v>
      </c>
      <c r="E67" s="298">
        <v>43646</v>
      </c>
      <c r="F67" s="337" t="s">
        <v>555</v>
      </c>
      <c r="G67" s="299"/>
      <c r="H67" s="300" t="s">
        <v>335</v>
      </c>
      <c r="I67" s="293" t="s">
        <v>484</v>
      </c>
      <c r="J67" s="341"/>
      <c r="K67" s="341"/>
      <c r="L67" s="9"/>
      <c r="M67" s="8" t="s">
        <v>335</v>
      </c>
      <c r="N67" s="268"/>
      <c r="O67" s="302"/>
      <c r="P67" s="302"/>
      <c r="Q67" s="299"/>
      <c r="R67" s="300" t="s">
        <v>347</v>
      </c>
      <c r="S67" s="301"/>
      <c r="T67" s="302"/>
      <c r="U67" s="299"/>
      <c r="V67" s="292" t="s">
        <v>334</v>
      </c>
      <c r="W67" s="301"/>
      <c r="X67" s="295" t="s">
        <v>281</v>
      </c>
      <c r="Y67" s="286" t="s">
        <v>274</v>
      </c>
      <c r="Z67" s="286" t="s">
        <v>312</v>
      </c>
      <c r="AA67" s="286" t="s">
        <v>278</v>
      </c>
      <c r="AB67" s="286" t="s">
        <v>271</v>
      </c>
      <c r="AC67" s="286" t="s">
        <v>364</v>
      </c>
      <c r="AD67" s="296">
        <v>64</v>
      </c>
    </row>
    <row r="68" spans="1:30" ht="99.95" customHeight="1">
      <c r="A68" s="286" t="s">
        <v>313</v>
      </c>
      <c r="B68" s="287" t="s">
        <v>146</v>
      </c>
      <c r="C68" s="304" t="s">
        <v>147</v>
      </c>
      <c r="D68" s="297" t="s">
        <v>148</v>
      </c>
      <c r="E68" s="290">
        <v>43769</v>
      </c>
      <c r="F68" s="299" t="s">
        <v>485</v>
      </c>
      <c r="G68" s="299"/>
      <c r="H68" s="300" t="s">
        <v>344</v>
      </c>
      <c r="I68" s="301"/>
      <c r="J68" s="341" t="s">
        <v>593</v>
      </c>
      <c r="K68" s="341"/>
      <c r="L68" s="9"/>
      <c r="M68" s="10" t="s">
        <v>344</v>
      </c>
      <c r="N68" s="268" t="s">
        <v>594</v>
      </c>
      <c r="O68" s="302"/>
      <c r="P68" s="302"/>
      <c r="Q68" s="299"/>
      <c r="R68" s="300" t="s">
        <v>347</v>
      </c>
      <c r="S68" s="301"/>
      <c r="T68" s="302"/>
      <c r="U68" s="299"/>
      <c r="V68" s="292" t="s">
        <v>334</v>
      </c>
      <c r="W68" s="301"/>
      <c r="X68" s="295" t="s">
        <v>283</v>
      </c>
      <c r="Y68" s="286" t="s">
        <v>274</v>
      </c>
      <c r="Z68" s="286" t="s">
        <v>312</v>
      </c>
      <c r="AA68" s="286" t="s">
        <v>278</v>
      </c>
      <c r="AB68" s="286" t="s">
        <v>271</v>
      </c>
      <c r="AC68" s="286" t="s">
        <v>364</v>
      </c>
      <c r="AD68" s="296">
        <v>65</v>
      </c>
    </row>
    <row r="69" spans="1:30" ht="99.95" customHeight="1">
      <c r="A69" s="286" t="s">
        <v>327</v>
      </c>
      <c r="B69" s="287" t="s">
        <v>153</v>
      </c>
      <c r="C69" s="304" t="s">
        <v>154</v>
      </c>
      <c r="D69" s="297" t="s">
        <v>155</v>
      </c>
      <c r="E69" s="290">
        <v>43921</v>
      </c>
      <c r="F69" s="338">
        <v>10</v>
      </c>
      <c r="G69" s="339">
        <v>25</v>
      </c>
      <c r="H69" s="300" t="s">
        <v>344</v>
      </c>
      <c r="I69" s="301" t="s">
        <v>528</v>
      </c>
      <c r="J69" s="354" t="s">
        <v>677</v>
      </c>
      <c r="K69" s="355">
        <v>15</v>
      </c>
      <c r="L69" s="9"/>
      <c r="M69" s="10" t="s">
        <v>344</v>
      </c>
      <c r="N69" s="341" t="s">
        <v>665</v>
      </c>
      <c r="O69" s="302"/>
      <c r="P69" s="302"/>
      <c r="Q69" s="299"/>
      <c r="R69" s="300" t="s">
        <v>347</v>
      </c>
      <c r="S69" s="301"/>
      <c r="T69" s="302"/>
      <c r="U69" s="299"/>
      <c r="V69" s="292" t="s">
        <v>334</v>
      </c>
      <c r="W69" s="301"/>
      <c r="X69" s="303" t="s">
        <v>280</v>
      </c>
      <c r="Y69" s="286" t="s">
        <v>275</v>
      </c>
      <c r="Z69" s="286" t="s">
        <v>314</v>
      </c>
      <c r="AA69" s="286" t="s">
        <v>276</v>
      </c>
      <c r="AB69" s="286" t="s">
        <v>266</v>
      </c>
      <c r="AC69" s="286" t="s">
        <v>424</v>
      </c>
      <c r="AD69" s="296">
        <v>66</v>
      </c>
    </row>
    <row r="70" spans="1:30" ht="99.95" customHeight="1">
      <c r="A70" s="286" t="s">
        <v>327</v>
      </c>
      <c r="B70" s="287" t="s">
        <v>156</v>
      </c>
      <c r="C70" s="304" t="s">
        <v>154</v>
      </c>
      <c r="D70" s="297" t="s">
        <v>157</v>
      </c>
      <c r="E70" s="290">
        <v>43921</v>
      </c>
      <c r="F70" s="299" t="s">
        <v>529</v>
      </c>
      <c r="G70" s="299"/>
      <c r="H70" s="300" t="s">
        <v>348</v>
      </c>
      <c r="I70" s="301"/>
      <c r="J70" s="341"/>
      <c r="K70" s="341"/>
      <c r="L70" s="9"/>
      <c r="M70" s="10" t="s">
        <v>348</v>
      </c>
      <c r="N70" s="268"/>
      <c r="O70" s="302"/>
      <c r="P70" s="302"/>
      <c r="Q70" s="299"/>
      <c r="R70" s="300" t="s">
        <v>347</v>
      </c>
      <c r="S70" s="301"/>
      <c r="T70" s="302"/>
      <c r="U70" s="299"/>
      <c r="V70" s="292" t="s">
        <v>334</v>
      </c>
      <c r="W70" s="301"/>
      <c r="X70" s="303" t="s">
        <v>280</v>
      </c>
      <c r="Y70" s="286" t="s">
        <v>275</v>
      </c>
      <c r="Z70" s="286" t="s">
        <v>314</v>
      </c>
      <c r="AA70" s="286" t="s">
        <v>276</v>
      </c>
      <c r="AB70" s="286" t="s">
        <v>266</v>
      </c>
      <c r="AC70" s="286" t="s">
        <v>424</v>
      </c>
      <c r="AD70" s="296">
        <v>67</v>
      </c>
    </row>
    <row r="71" spans="1:30" ht="99.95" customHeight="1">
      <c r="A71" s="286" t="s">
        <v>582</v>
      </c>
      <c r="B71" s="287" t="s">
        <v>158</v>
      </c>
      <c r="C71" s="288" t="s">
        <v>159</v>
      </c>
      <c r="D71" s="289" t="s">
        <v>160</v>
      </c>
      <c r="E71" s="306"/>
      <c r="F71" s="307" t="s">
        <v>562</v>
      </c>
      <c r="G71" s="307"/>
      <c r="H71" s="308" t="s">
        <v>344</v>
      </c>
      <c r="I71" s="309"/>
      <c r="J71" s="342" t="s">
        <v>671</v>
      </c>
      <c r="K71" s="351">
        <v>0.95</v>
      </c>
      <c r="L71" s="11"/>
      <c r="M71" s="12" t="s">
        <v>344</v>
      </c>
      <c r="N71" s="269"/>
      <c r="O71" s="310"/>
      <c r="P71" s="310"/>
      <c r="Q71" s="307"/>
      <c r="R71" s="308" t="s">
        <v>347</v>
      </c>
      <c r="S71" s="309"/>
      <c r="T71" s="310"/>
      <c r="U71" s="307"/>
      <c r="V71" s="292" t="s">
        <v>334</v>
      </c>
      <c r="W71" s="309"/>
      <c r="X71" s="311" t="s">
        <v>284</v>
      </c>
      <c r="Y71" s="286" t="s">
        <v>273</v>
      </c>
      <c r="Z71" s="286" t="s">
        <v>269</v>
      </c>
      <c r="AA71" s="286" t="s">
        <v>276</v>
      </c>
      <c r="AB71" s="286" t="s">
        <v>269</v>
      </c>
      <c r="AC71" s="286" t="s">
        <v>364</v>
      </c>
      <c r="AD71" s="296">
        <v>68</v>
      </c>
    </row>
    <row r="72" spans="1:30" ht="99.95" customHeight="1">
      <c r="A72" s="286" t="s">
        <v>582</v>
      </c>
      <c r="B72" s="287" t="s">
        <v>161</v>
      </c>
      <c r="C72" s="288" t="s">
        <v>162</v>
      </c>
      <c r="D72" s="289" t="s">
        <v>160</v>
      </c>
      <c r="E72" s="306"/>
      <c r="F72" s="307" t="s">
        <v>563</v>
      </c>
      <c r="G72" s="307"/>
      <c r="H72" s="308" t="s">
        <v>344</v>
      </c>
      <c r="I72" s="309"/>
      <c r="J72" s="342" t="s">
        <v>672</v>
      </c>
      <c r="K72" s="351">
        <v>0.94</v>
      </c>
      <c r="L72" s="11"/>
      <c r="M72" s="12" t="s">
        <v>344</v>
      </c>
      <c r="N72" s="269"/>
      <c r="O72" s="310"/>
      <c r="P72" s="310"/>
      <c r="Q72" s="307"/>
      <c r="R72" s="308" t="s">
        <v>347</v>
      </c>
      <c r="S72" s="309"/>
      <c r="T72" s="310"/>
      <c r="U72" s="307"/>
      <c r="V72" s="292" t="s">
        <v>334</v>
      </c>
      <c r="W72" s="309"/>
      <c r="X72" s="311" t="s">
        <v>284</v>
      </c>
      <c r="Y72" s="286" t="s">
        <v>273</v>
      </c>
      <c r="Z72" s="286" t="s">
        <v>269</v>
      </c>
      <c r="AA72" s="286" t="s">
        <v>276</v>
      </c>
      <c r="AB72" s="286" t="s">
        <v>269</v>
      </c>
      <c r="AC72" s="286" t="s">
        <v>364</v>
      </c>
      <c r="AD72" s="296">
        <v>69</v>
      </c>
    </row>
    <row r="73" spans="1:30" ht="99.95" customHeight="1">
      <c r="A73" s="286" t="s">
        <v>582</v>
      </c>
      <c r="B73" s="287" t="s">
        <v>163</v>
      </c>
      <c r="C73" s="288" t="s">
        <v>164</v>
      </c>
      <c r="D73" s="289" t="s">
        <v>160</v>
      </c>
      <c r="E73" s="306"/>
      <c r="F73" s="307" t="s">
        <v>564</v>
      </c>
      <c r="G73" s="307"/>
      <c r="H73" s="308" t="s">
        <v>344</v>
      </c>
      <c r="I73" s="309"/>
      <c r="J73" s="342" t="s">
        <v>673</v>
      </c>
      <c r="K73" s="351">
        <v>0.99</v>
      </c>
      <c r="L73" s="11"/>
      <c r="M73" s="12" t="s">
        <v>344</v>
      </c>
      <c r="N73" s="269"/>
      <c r="O73" s="310"/>
      <c r="P73" s="310"/>
      <c r="Q73" s="307"/>
      <c r="R73" s="308" t="s">
        <v>347</v>
      </c>
      <c r="S73" s="309"/>
      <c r="T73" s="310"/>
      <c r="U73" s="307"/>
      <c r="V73" s="292" t="s">
        <v>334</v>
      </c>
      <c r="W73" s="309"/>
      <c r="X73" s="311" t="s">
        <v>284</v>
      </c>
      <c r="Y73" s="286" t="s">
        <v>273</v>
      </c>
      <c r="Z73" s="286" t="s">
        <v>269</v>
      </c>
      <c r="AA73" s="286" t="s">
        <v>276</v>
      </c>
      <c r="AB73" s="286" t="s">
        <v>269</v>
      </c>
      <c r="AC73" s="286" t="s">
        <v>364</v>
      </c>
      <c r="AD73" s="296">
        <v>70</v>
      </c>
    </row>
    <row r="74" spans="1:30" ht="99.95" customHeight="1">
      <c r="A74" s="286" t="s">
        <v>582</v>
      </c>
      <c r="B74" s="287" t="s">
        <v>165</v>
      </c>
      <c r="C74" s="304" t="s">
        <v>166</v>
      </c>
      <c r="D74" s="297" t="s">
        <v>167</v>
      </c>
      <c r="E74" s="298">
        <v>43830</v>
      </c>
      <c r="F74" s="299" t="s">
        <v>570</v>
      </c>
      <c r="G74" s="299"/>
      <c r="H74" s="300" t="s">
        <v>344</v>
      </c>
      <c r="I74" s="301"/>
      <c r="J74" s="341" t="s">
        <v>570</v>
      </c>
      <c r="K74" s="341"/>
      <c r="L74" s="9"/>
      <c r="M74" s="12" t="s">
        <v>344</v>
      </c>
      <c r="N74" s="268"/>
      <c r="O74" s="302"/>
      <c r="P74" s="302"/>
      <c r="Q74" s="299"/>
      <c r="R74" s="300" t="s">
        <v>347</v>
      </c>
      <c r="S74" s="301"/>
      <c r="T74" s="302"/>
      <c r="U74" s="299"/>
      <c r="V74" s="292" t="s">
        <v>334</v>
      </c>
      <c r="W74" s="301"/>
      <c r="X74" s="295" t="s">
        <v>281</v>
      </c>
      <c r="Y74" s="286" t="s">
        <v>273</v>
      </c>
      <c r="Z74" s="286" t="s">
        <v>269</v>
      </c>
      <c r="AA74" s="286" t="s">
        <v>276</v>
      </c>
      <c r="AB74" s="286" t="s">
        <v>269</v>
      </c>
      <c r="AC74" s="286" t="s">
        <v>364</v>
      </c>
      <c r="AD74" s="296">
        <v>71</v>
      </c>
    </row>
    <row r="75" spans="1:30" ht="99.95" customHeight="1">
      <c r="A75" s="286" t="s">
        <v>582</v>
      </c>
      <c r="B75" s="287" t="s">
        <v>168</v>
      </c>
      <c r="C75" s="304" t="s">
        <v>166</v>
      </c>
      <c r="D75" s="289" t="s">
        <v>169</v>
      </c>
      <c r="E75" s="298">
        <v>43830</v>
      </c>
      <c r="F75" s="291" t="s">
        <v>569</v>
      </c>
      <c r="G75" s="291"/>
      <c r="H75" s="292" t="s">
        <v>344</v>
      </c>
      <c r="I75" s="293"/>
      <c r="J75" s="341" t="s">
        <v>688</v>
      </c>
      <c r="K75" s="340"/>
      <c r="L75" s="7"/>
      <c r="M75" s="12" t="s">
        <v>344</v>
      </c>
      <c r="N75" s="267"/>
      <c r="O75" s="294"/>
      <c r="P75" s="294"/>
      <c r="Q75" s="291"/>
      <c r="R75" s="292" t="s">
        <v>347</v>
      </c>
      <c r="S75" s="293"/>
      <c r="T75" s="294"/>
      <c r="U75" s="291"/>
      <c r="V75" s="292" t="s">
        <v>334</v>
      </c>
      <c r="W75" s="293"/>
      <c r="X75" s="295" t="s">
        <v>283</v>
      </c>
      <c r="Y75" s="286" t="s">
        <v>273</v>
      </c>
      <c r="Z75" s="286" t="s">
        <v>269</v>
      </c>
      <c r="AA75" s="286" t="s">
        <v>276</v>
      </c>
      <c r="AB75" s="286" t="s">
        <v>269</v>
      </c>
      <c r="AC75" s="286" t="s">
        <v>364</v>
      </c>
      <c r="AD75" s="296">
        <v>72</v>
      </c>
    </row>
    <row r="76" spans="1:30" ht="99.95" customHeight="1">
      <c r="A76" s="286" t="s">
        <v>582</v>
      </c>
      <c r="B76" s="287" t="s">
        <v>170</v>
      </c>
      <c r="C76" s="304" t="s">
        <v>171</v>
      </c>
      <c r="D76" s="297" t="s">
        <v>172</v>
      </c>
      <c r="E76" s="290">
        <v>43769</v>
      </c>
      <c r="F76" s="299" t="s">
        <v>571</v>
      </c>
      <c r="G76" s="299"/>
      <c r="H76" s="300" t="s">
        <v>344</v>
      </c>
      <c r="I76" s="301"/>
      <c r="J76" s="341" t="s">
        <v>687</v>
      </c>
      <c r="K76" s="341"/>
      <c r="L76" s="9"/>
      <c r="M76" s="12" t="s">
        <v>344</v>
      </c>
      <c r="N76" s="268"/>
      <c r="O76" s="302"/>
      <c r="P76" s="302"/>
      <c r="Q76" s="299"/>
      <c r="R76" s="300" t="s">
        <v>347</v>
      </c>
      <c r="S76" s="301"/>
      <c r="T76" s="302"/>
      <c r="U76" s="299"/>
      <c r="V76" s="292" t="s">
        <v>334</v>
      </c>
      <c r="W76" s="301"/>
      <c r="X76" s="295" t="s">
        <v>283</v>
      </c>
      <c r="Y76" s="286" t="s">
        <v>273</v>
      </c>
      <c r="Z76" s="286" t="s">
        <v>269</v>
      </c>
      <c r="AA76" s="286" t="s">
        <v>276</v>
      </c>
      <c r="AB76" s="286" t="s">
        <v>269</v>
      </c>
      <c r="AC76" s="286" t="s">
        <v>364</v>
      </c>
      <c r="AD76" s="296">
        <v>73</v>
      </c>
    </row>
    <row r="77" spans="1:30" ht="99.95" customHeight="1">
      <c r="A77" s="286" t="s">
        <v>582</v>
      </c>
      <c r="B77" s="287" t="s">
        <v>173</v>
      </c>
      <c r="C77" s="304" t="s">
        <v>171</v>
      </c>
      <c r="D77" s="297" t="s">
        <v>174</v>
      </c>
      <c r="E77" s="290">
        <v>43769</v>
      </c>
      <c r="F77" s="299" t="s">
        <v>571</v>
      </c>
      <c r="G77" s="299"/>
      <c r="H77" s="300" t="s">
        <v>344</v>
      </c>
      <c r="I77" s="301"/>
      <c r="J77" s="341" t="s">
        <v>687</v>
      </c>
      <c r="K77" s="341"/>
      <c r="L77" s="9"/>
      <c r="M77" s="12" t="s">
        <v>344</v>
      </c>
      <c r="N77" s="268"/>
      <c r="O77" s="302"/>
      <c r="P77" s="302"/>
      <c r="Q77" s="299"/>
      <c r="R77" s="300" t="s">
        <v>347</v>
      </c>
      <c r="S77" s="301"/>
      <c r="T77" s="302"/>
      <c r="U77" s="299"/>
      <c r="V77" s="292" t="s">
        <v>334</v>
      </c>
      <c r="W77" s="301"/>
      <c r="X77" s="295" t="s">
        <v>283</v>
      </c>
      <c r="Y77" s="286" t="s">
        <v>273</v>
      </c>
      <c r="Z77" s="286" t="s">
        <v>269</v>
      </c>
      <c r="AA77" s="286" t="s">
        <v>276</v>
      </c>
      <c r="AB77" s="286" t="s">
        <v>269</v>
      </c>
      <c r="AC77" s="286" t="s">
        <v>364</v>
      </c>
      <c r="AD77" s="296">
        <v>74</v>
      </c>
    </row>
    <row r="78" spans="1:30" ht="99.95" customHeight="1">
      <c r="A78" s="286" t="s">
        <v>582</v>
      </c>
      <c r="B78" s="287" t="s">
        <v>175</v>
      </c>
      <c r="C78" s="304" t="s">
        <v>171</v>
      </c>
      <c r="D78" s="297" t="s">
        <v>176</v>
      </c>
      <c r="E78" s="290">
        <v>43921</v>
      </c>
      <c r="F78" s="299" t="s">
        <v>573</v>
      </c>
      <c r="G78" s="299"/>
      <c r="H78" s="300" t="s">
        <v>344</v>
      </c>
      <c r="I78" s="301"/>
      <c r="J78" s="341" t="s">
        <v>570</v>
      </c>
      <c r="K78" s="341"/>
      <c r="L78" s="9"/>
      <c r="M78" s="12" t="s">
        <v>344</v>
      </c>
      <c r="N78" s="268"/>
      <c r="O78" s="302"/>
      <c r="P78" s="302"/>
      <c r="Q78" s="299"/>
      <c r="R78" s="300" t="s">
        <v>347</v>
      </c>
      <c r="S78" s="301"/>
      <c r="T78" s="302"/>
      <c r="U78" s="299"/>
      <c r="V78" s="292" t="s">
        <v>334</v>
      </c>
      <c r="W78" s="301"/>
      <c r="X78" s="303" t="s">
        <v>280</v>
      </c>
      <c r="Y78" s="286" t="s">
        <v>273</v>
      </c>
      <c r="Z78" s="286" t="s">
        <v>269</v>
      </c>
      <c r="AA78" s="286" t="s">
        <v>276</v>
      </c>
      <c r="AB78" s="286" t="s">
        <v>269</v>
      </c>
      <c r="AC78" s="286" t="s">
        <v>364</v>
      </c>
      <c r="AD78" s="296">
        <v>75</v>
      </c>
    </row>
    <row r="79" spans="1:30" ht="99.95" customHeight="1">
      <c r="A79" s="286" t="s">
        <v>582</v>
      </c>
      <c r="B79" s="287" t="s">
        <v>177</v>
      </c>
      <c r="C79" s="304" t="s">
        <v>178</v>
      </c>
      <c r="D79" s="297" t="s">
        <v>179</v>
      </c>
      <c r="E79" s="290">
        <v>43921</v>
      </c>
      <c r="F79" s="299" t="s">
        <v>572</v>
      </c>
      <c r="G79" s="299"/>
      <c r="H79" s="300" t="s">
        <v>344</v>
      </c>
      <c r="I79" s="301"/>
      <c r="J79" s="341" t="s">
        <v>689</v>
      </c>
      <c r="K79" s="341"/>
      <c r="L79" s="9"/>
      <c r="M79" s="12" t="s">
        <v>344</v>
      </c>
      <c r="N79" s="268"/>
      <c r="O79" s="302"/>
      <c r="P79" s="302"/>
      <c r="Q79" s="299"/>
      <c r="R79" s="300" t="s">
        <v>347</v>
      </c>
      <c r="S79" s="301"/>
      <c r="T79" s="302"/>
      <c r="U79" s="299"/>
      <c r="V79" s="292" t="s">
        <v>334</v>
      </c>
      <c r="W79" s="301"/>
      <c r="X79" s="303" t="s">
        <v>280</v>
      </c>
      <c r="Y79" s="286" t="s">
        <v>273</v>
      </c>
      <c r="Z79" s="286" t="s">
        <v>269</v>
      </c>
      <c r="AA79" s="286" t="s">
        <v>276</v>
      </c>
      <c r="AB79" s="286" t="s">
        <v>269</v>
      </c>
      <c r="AC79" s="286" t="s">
        <v>364</v>
      </c>
      <c r="AD79" s="296">
        <v>76</v>
      </c>
    </row>
    <row r="80" spans="1:30" ht="99.95" customHeight="1">
      <c r="A80" s="286" t="s">
        <v>313</v>
      </c>
      <c r="B80" s="287" t="s">
        <v>180</v>
      </c>
      <c r="C80" s="288" t="s">
        <v>181</v>
      </c>
      <c r="D80" s="289" t="s">
        <v>182</v>
      </c>
      <c r="E80" s="290">
        <v>43769</v>
      </c>
      <c r="F80" s="291" t="s">
        <v>486</v>
      </c>
      <c r="G80" s="291"/>
      <c r="H80" s="292" t="s">
        <v>344</v>
      </c>
      <c r="I80" s="293"/>
      <c r="J80" s="340" t="s">
        <v>595</v>
      </c>
      <c r="K80" s="340"/>
      <c r="L80" s="7"/>
      <c r="M80" s="8" t="s">
        <v>344</v>
      </c>
      <c r="N80" s="267" t="s">
        <v>596</v>
      </c>
      <c r="O80" s="294"/>
      <c r="P80" s="294"/>
      <c r="Q80" s="291"/>
      <c r="R80" s="292" t="s">
        <v>347</v>
      </c>
      <c r="S80" s="293"/>
      <c r="T80" s="294"/>
      <c r="U80" s="291"/>
      <c r="V80" s="292" t="s">
        <v>334</v>
      </c>
      <c r="W80" s="293"/>
      <c r="X80" s="295" t="s">
        <v>283</v>
      </c>
      <c r="Y80" s="286" t="s">
        <v>274</v>
      </c>
      <c r="Z80" s="286" t="s">
        <v>312</v>
      </c>
      <c r="AA80" s="286" t="s">
        <v>276</v>
      </c>
      <c r="AB80" s="286" t="s">
        <v>271</v>
      </c>
      <c r="AC80" s="286" t="s">
        <v>364</v>
      </c>
      <c r="AD80" s="296">
        <v>77</v>
      </c>
    </row>
    <row r="81" spans="1:30" ht="99.95" customHeight="1">
      <c r="A81" s="286" t="s">
        <v>275</v>
      </c>
      <c r="B81" s="287" t="s">
        <v>183</v>
      </c>
      <c r="C81" s="288" t="s">
        <v>184</v>
      </c>
      <c r="D81" s="289" t="s">
        <v>185</v>
      </c>
      <c r="E81" s="298">
        <v>43830</v>
      </c>
      <c r="F81" s="291"/>
      <c r="G81" s="291"/>
      <c r="H81" s="292" t="s">
        <v>348</v>
      </c>
      <c r="I81" s="293"/>
      <c r="J81" s="340" t="s">
        <v>670</v>
      </c>
      <c r="K81" s="340"/>
      <c r="L81" s="7"/>
      <c r="M81" s="8" t="s">
        <v>348</v>
      </c>
      <c r="N81" s="267"/>
      <c r="O81" s="294"/>
      <c r="P81" s="294"/>
      <c r="Q81" s="291"/>
      <c r="R81" s="292" t="s">
        <v>347</v>
      </c>
      <c r="S81" s="293"/>
      <c r="T81" s="294"/>
      <c r="U81" s="291"/>
      <c r="V81" s="292" t="s">
        <v>334</v>
      </c>
      <c r="W81" s="293"/>
      <c r="X81" s="295" t="s">
        <v>283</v>
      </c>
      <c r="Y81" s="286" t="s">
        <v>275</v>
      </c>
      <c r="Z81" s="286" t="s">
        <v>314</v>
      </c>
      <c r="AA81" s="286" t="s">
        <v>276</v>
      </c>
      <c r="AB81" s="286" t="s">
        <v>271</v>
      </c>
      <c r="AC81" s="286" t="s">
        <v>364</v>
      </c>
      <c r="AD81" s="296">
        <v>78</v>
      </c>
    </row>
    <row r="82" spans="1:30" ht="99.95" customHeight="1">
      <c r="A82" s="286" t="s">
        <v>313</v>
      </c>
      <c r="B82" s="287" t="s">
        <v>186</v>
      </c>
      <c r="C82" s="288" t="s">
        <v>187</v>
      </c>
      <c r="D82" s="297" t="s">
        <v>188</v>
      </c>
      <c r="E82" s="290">
        <v>43921</v>
      </c>
      <c r="F82" s="299"/>
      <c r="G82" s="299"/>
      <c r="H82" s="300" t="s">
        <v>348</v>
      </c>
      <c r="I82" s="301"/>
      <c r="J82" s="341"/>
      <c r="K82" s="341"/>
      <c r="L82" s="9"/>
      <c r="M82" s="10" t="s">
        <v>348</v>
      </c>
      <c r="N82" s="268"/>
      <c r="O82" s="302"/>
      <c r="P82" s="302"/>
      <c r="Q82" s="299"/>
      <c r="R82" s="300" t="s">
        <v>347</v>
      </c>
      <c r="S82" s="301"/>
      <c r="T82" s="302"/>
      <c r="U82" s="299"/>
      <c r="V82" s="292" t="s">
        <v>334</v>
      </c>
      <c r="W82" s="301"/>
      <c r="X82" s="303" t="s">
        <v>280</v>
      </c>
      <c r="Y82" s="286" t="s">
        <v>274</v>
      </c>
      <c r="Z82" s="286" t="s">
        <v>312</v>
      </c>
      <c r="AA82" s="286" t="s">
        <v>276</v>
      </c>
      <c r="AB82" s="286" t="s">
        <v>271</v>
      </c>
      <c r="AC82" s="286" t="s">
        <v>364</v>
      </c>
      <c r="AD82" s="296">
        <v>79</v>
      </c>
    </row>
    <row r="83" spans="1:30" ht="99.95" customHeight="1">
      <c r="A83" s="286" t="s">
        <v>313</v>
      </c>
      <c r="B83" s="287" t="s">
        <v>189</v>
      </c>
      <c r="C83" s="288" t="s">
        <v>190</v>
      </c>
      <c r="D83" s="297" t="s">
        <v>191</v>
      </c>
      <c r="E83" s="290">
        <v>43769</v>
      </c>
      <c r="F83" s="301" t="s">
        <v>578</v>
      </c>
      <c r="G83" s="299"/>
      <c r="H83" s="300" t="s">
        <v>344</v>
      </c>
      <c r="I83" s="301"/>
      <c r="J83" s="341" t="s">
        <v>597</v>
      </c>
      <c r="K83" s="341"/>
      <c r="L83" s="9"/>
      <c r="M83" s="10" t="s">
        <v>344</v>
      </c>
      <c r="N83" s="268"/>
      <c r="O83" s="302"/>
      <c r="P83" s="302"/>
      <c r="Q83" s="299"/>
      <c r="R83" s="300" t="s">
        <v>347</v>
      </c>
      <c r="S83" s="301"/>
      <c r="T83" s="302"/>
      <c r="U83" s="299"/>
      <c r="V83" s="292" t="s">
        <v>334</v>
      </c>
      <c r="W83" s="301"/>
      <c r="X83" s="295" t="s">
        <v>283</v>
      </c>
      <c r="Y83" s="286" t="s">
        <v>274</v>
      </c>
      <c r="Z83" s="286" t="s">
        <v>312</v>
      </c>
      <c r="AA83" s="286" t="s">
        <v>276</v>
      </c>
      <c r="AB83" s="286" t="s">
        <v>271</v>
      </c>
      <c r="AC83" s="286" t="s">
        <v>364</v>
      </c>
      <c r="AD83" s="296">
        <v>80</v>
      </c>
    </row>
    <row r="84" spans="1:30" ht="99.95" customHeight="1">
      <c r="A84" s="286" t="s">
        <v>313</v>
      </c>
      <c r="B84" s="287" t="s">
        <v>192</v>
      </c>
      <c r="C84" s="288" t="s">
        <v>193</v>
      </c>
      <c r="D84" s="297" t="s">
        <v>194</v>
      </c>
      <c r="E84" s="290">
        <v>43921</v>
      </c>
      <c r="F84" s="299" t="s">
        <v>487</v>
      </c>
      <c r="G84" s="299" t="s">
        <v>488</v>
      </c>
      <c r="H84" s="300" t="s">
        <v>344</v>
      </c>
      <c r="I84" s="301" t="s">
        <v>489</v>
      </c>
      <c r="J84" s="341" t="s">
        <v>598</v>
      </c>
      <c r="K84" s="356">
        <v>2</v>
      </c>
      <c r="L84" s="355">
        <v>3</v>
      </c>
      <c r="M84" s="10" t="s">
        <v>344</v>
      </c>
      <c r="N84" s="268" t="s">
        <v>599</v>
      </c>
      <c r="O84" s="302"/>
      <c r="P84" s="302"/>
      <c r="Q84" s="299"/>
      <c r="R84" s="300" t="s">
        <v>347</v>
      </c>
      <c r="S84" s="301"/>
      <c r="T84" s="302"/>
      <c r="U84" s="299"/>
      <c r="V84" s="292" t="s">
        <v>334</v>
      </c>
      <c r="W84" s="301"/>
      <c r="X84" s="303" t="s">
        <v>280</v>
      </c>
      <c r="Y84" s="286" t="s">
        <v>274</v>
      </c>
      <c r="Z84" s="286" t="s">
        <v>312</v>
      </c>
      <c r="AA84" s="286" t="s">
        <v>276</v>
      </c>
      <c r="AB84" s="286" t="s">
        <v>271</v>
      </c>
      <c r="AC84" s="286" t="s">
        <v>364</v>
      </c>
      <c r="AD84" s="296">
        <v>81</v>
      </c>
    </row>
    <row r="85" spans="1:30" ht="99.95" customHeight="1">
      <c r="A85" s="286" t="s">
        <v>313</v>
      </c>
      <c r="B85" s="287" t="s">
        <v>195</v>
      </c>
      <c r="C85" s="288" t="s">
        <v>196</v>
      </c>
      <c r="D85" s="297" t="s">
        <v>197</v>
      </c>
      <c r="E85" s="290">
        <v>43921</v>
      </c>
      <c r="F85" s="299" t="s">
        <v>556</v>
      </c>
      <c r="G85" s="299"/>
      <c r="H85" s="300" t="s">
        <v>344</v>
      </c>
      <c r="I85" s="301" t="s">
        <v>490</v>
      </c>
      <c r="J85" s="341" t="s">
        <v>600</v>
      </c>
      <c r="K85" s="341"/>
      <c r="L85" s="9"/>
      <c r="M85" s="10" t="s">
        <v>344</v>
      </c>
      <c r="N85" s="268" t="s">
        <v>601</v>
      </c>
      <c r="O85" s="302"/>
      <c r="P85" s="302"/>
      <c r="Q85" s="299"/>
      <c r="R85" s="300" t="s">
        <v>347</v>
      </c>
      <c r="S85" s="301"/>
      <c r="T85" s="302"/>
      <c r="U85" s="299"/>
      <c r="V85" s="292" t="s">
        <v>334</v>
      </c>
      <c r="W85" s="301"/>
      <c r="X85" s="303" t="s">
        <v>280</v>
      </c>
      <c r="Y85" s="286" t="s">
        <v>274</v>
      </c>
      <c r="Z85" s="286" t="s">
        <v>312</v>
      </c>
      <c r="AA85" s="286" t="s">
        <v>276</v>
      </c>
      <c r="AB85" s="286" t="s">
        <v>271</v>
      </c>
      <c r="AC85" s="286" t="s">
        <v>364</v>
      </c>
      <c r="AD85" s="296">
        <v>82</v>
      </c>
    </row>
    <row r="86" spans="1:30" ht="99.95" customHeight="1">
      <c r="A86" s="286" t="s">
        <v>366</v>
      </c>
      <c r="B86" s="287" t="s">
        <v>198</v>
      </c>
      <c r="C86" s="304" t="s">
        <v>199</v>
      </c>
      <c r="D86" s="297" t="s">
        <v>200</v>
      </c>
      <c r="E86" s="290">
        <v>43921</v>
      </c>
      <c r="F86" s="299" t="s">
        <v>509</v>
      </c>
      <c r="G86" s="299"/>
      <c r="H86" s="300" t="s">
        <v>344</v>
      </c>
      <c r="I86" s="301"/>
      <c r="J86" s="341" t="s">
        <v>644</v>
      </c>
      <c r="K86" s="341" t="s">
        <v>666</v>
      </c>
      <c r="L86" s="9"/>
      <c r="M86" s="10" t="s">
        <v>344</v>
      </c>
      <c r="N86" s="268"/>
      <c r="O86" s="302"/>
      <c r="P86" s="302"/>
      <c r="Q86" s="299"/>
      <c r="R86" s="300" t="s">
        <v>347</v>
      </c>
      <c r="S86" s="301"/>
      <c r="T86" s="302"/>
      <c r="U86" s="299"/>
      <c r="V86" s="292" t="s">
        <v>334</v>
      </c>
      <c r="W86" s="301"/>
      <c r="X86" s="303" t="s">
        <v>280</v>
      </c>
      <c r="Y86" s="286" t="s">
        <v>275</v>
      </c>
      <c r="Z86" s="286" t="s">
        <v>365</v>
      </c>
      <c r="AA86" s="286" t="s">
        <v>276</v>
      </c>
      <c r="AB86" s="286" t="s">
        <v>271</v>
      </c>
      <c r="AC86" s="286" t="s">
        <v>367</v>
      </c>
      <c r="AD86" s="296">
        <v>83</v>
      </c>
    </row>
    <row r="87" spans="1:30" ht="119.25" customHeight="1">
      <c r="A87" s="286" t="s">
        <v>366</v>
      </c>
      <c r="B87" s="287" t="s">
        <v>201</v>
      </c>
      <c r="C87" s="304" t="s">
        <v>199</v>
      </c>
      <c r="D87" s="297" t="s">
        <v>202</v>
      </c>
      <c r="E87" s="298">
        <v>43738</v>
      </c>
      <c r="F87" s="337" t="s">
        <v>565</v>
      </c>
      <c r="G87" s="299"/>
      <c r="H87" s="300" t="s">
        <v>344</v>
      </c>
      <c r="I87" s="301"/>
      <c r="J87" s="341" t="s">
        <v>645</v>
      </c>
      <c r="K87" s="341"/>
      <c r="L87" s="9"/>
      <c r="M87" s="10" t="s">
        <v>335</v>
      </c>
      <c r="N87" s="268"/>
      <c r="O87" s="302"/>
      <c r="P87" s="302"/>
      <c r="Q87" s="299"/>
      <c r="R87" s="300" t="s">
        <v>347</v>
      </c>
      <c r="S87" s="301"/>
      <c r="T87" s="302"/>
      <c r="U87" s="299"/>
      <c r="V87" s="292" t="s">
        <v>334</v>
      </c>
      <c r="W87" s="301"/>
      <c r="X87" s="303" t="s">
        <v>282</v>
      </c>
      <c r="Y87" s="286" t="s">
        <v>275</v>
      </c>
      <c r="Z87" s="286" t="s">
        <v>365</v>
      </c>
      <c r="AA87" s="286" t="s">
        <v>276</v>
      </c>
      <c r="AB87" s="286" t="s">
        <v>271</v>
      </c>
      <c r="AC87" s="286" t="s">
        <v>367</v>
      </c>
      <c r="AD87" s="296">
        <v>84</v>
      </c>
    </row>
    <row r="88" spans="1:30" ht="99.95" customHeight="1">
      <c r="A88" s="286" t="s">
        <v>366</v>
      </c>
      <c r="B88" s="287" t="s">
        <v>203</v>
      </c>
      <c r="C88" s="304" t="s">
        <v>204</v>
      </c>
      <c r="D88" s="297" t="s">
        <v>205</v>
      </c>
      <c r="E88" s="290">
        <v>43921</v>
      </c>
      <c r="F88" s="299" t="s">
        <v>557</v>
      </c>
      <c r="G88" s="299"/>
      <c r="H88" s="300" t="s">
        <v>348</v>
      </c>
      <c r="I88" s="301"/>
      <c r="J88" s="341" t="s">
        <v>643</v>
      </c>
      <c r="K88" s="341"/>
      <c r="L88" s="9"/>
      <c r="M88" s="10" t="s">
        <v>344</v>
      </c>
      <c r="N88" s="268"/>
      <c r="O88" s="302"/>
      <c r="P88" s="302"/>
      <c r="Q88" s="299"/>
      <c r="R88" s="300" t="s">
        <v>347</v>
      </c>
      <c r="S88" s="301"/>
      <c r="T88" s="302"/>
      <c r="U88" s="299"/>
      <c r="V88" s="292" t="s">
        <v>334</v>
      </c>
      <c r="W88" s="301"/>
      <c r="X88" s="303" t="s">
        <v>280</v>
      </c>
      <c r="Y88" s="286" t="s">
        <v>275</v>
      </c>
      <c r="Z88" s="286" t="s">
        <v>365</v>
      </c>
      <c r="AA88" s="286" t="s">
        <v>276</v>
      </c>
      <c r="AB88" s="286" t="s">
        <v>271</v>
      </c>
      <c r="AC88" s="286" t="s">
        <v>367</v>
      </c>
      <c r="AD88" s="296">
        <v>85</v>
      </c>
    </row>
    <row r="89" spans="1:30" ht="99.95" customHeight="1">
      <c r="A89" s="286" t="s">
        <v>300</v>
      </c>
      <c r="B89" s="287" t="s">
        <v>206</v>
      </c>
      <c r="C89" s="304" t="s">
        <v>207</v>
      </c>
      <c r="D89" s="297" t="s">
        <v>208</v>
      </c>
      <c r="E89" s="290">
        <v>43769</v>
      </c>
      <c r="F89" s="299" t="s">
        <v>558</v>
      </c>
      <c r="G89" s="299"/>
      <c r="H89" s="300" t="s">
        <v>344</v>
      </c>
      <c r="I89" s="301"/>
      <c r="J89" s="341" t="s">
        <v>647</v>
      </c>
      <c r="K89" s="341"/>
      <c r="L89" s="9"/>
      <c r="M89" s="10" t="s">
        <v>344</v>
      </c>
      <c r="N89" s="268"/>
      <c r="O89" s="302"/>
      <c r="P89" s="302"/>
      <c r="Q89" s="299"/>
      <c r="R89" s="300" t="s">
        <v>347</v>
      </c>
      <c r="S89" s="301"/>
      <c r="T89" s="302"/>
      <c r="U89" s="299"/>
      <c r="V89" s="292" t="s">
        <v>334</v>
      </c>
      <c r="W89" s="301"/>
      <c r="X89" s="295" t="s">
        <v>283</v>
      </c>
      <c r="Y89" s="286" t="s">
        <v>275</v>
      </c>
      <c r="Z89" s="286" t="s">
        <v>301</v>
      </c>
      <c r="AA89" s="286" t="s">
        <v>277</v>
      </c>
      <c r="AB89" s="286" t="s">
        <v>266</v>
      </c>
      <c r="AC89" s="286" t="s">
        <v>424</v>
      </c>
      <c r="AD89" s="296">
        <v>86</v>
      </c>
    </row>
    <row r="90" spans="1:30" ht="99.95" customHeight="1">
      <c r="A90" s="286" t="s">
        <v>300</v>
      </c>
      <c r="B90" s="287" t="s">
        <v>209</v>
      </c>
      <c r="C90" s="304" t="s">
        <v>210</v>
      </c>
      <c r="D90" s="297" t="s">
        <v>211</v>
      </c>
      <c r="E90" s="298">
        <v>43738</v>
      </c>
      <c r="F90" s="299" t="s">
        <v>559</v>
      </c>
      <c r="G90" s="299"/>
      <c r="H90" s="300" t="s">
        <v>348</v>
      </c>
      <c r="I90" s="301"/>
      <c r="J90" s="341" t="s">
        <v>648</v>
      </c>
      <c r="K90" s="341"/>
      <c r="L90" s="9"/>
      <c r="M90" s="10" t="s">
        <v>335</v>
      </c>
      <c r="N90" s="268"/>
      <c r="O90" s="302"/>
      <c r="P90" s="302"/>
      <c r="Q90" s="299"/>
      <c r="R90" s="300" t="s">
        <v>347</v>
      </c>
      <c r="S90" s="301"/>
      <c r="T90" s="302"/>
      <c r="U90" s="299"/>
      <c r="V90" s="292" t="s">
        <v>334</v>
      </c>
      <c r="W90" s="301"/>
      <c r="X90" s="303" t="s">
        <v>282</v>
      </c>
      <c r="Y90" s="286" t="s">
        <v>275</v>
      </c>
      <c r="Z90" s="286" t="s">
        <v>301</v>
      </c>
      <c r="AA90" s="286" t="s">
        <v>277</v>
      </c>
      <c r="AB90" s="286" t="s">
        <v>266</v>
      </c>
      <c r="AC90" s="286" t="s">
        <v>424</v>
      </c>
      <c r="AD90" s="296">
        <v>87</v>
      </c>
    </row>
    <row r="91" spans="1:30" ht="154.5" customHeight="1">
      <c r="A91" s="286" t="s">
        <v>300</v>
      </c>
      <c r="B91" s="287" t="s">
        <v>212</v>
      </c>
      <c r="C91" s="304" t="s">
        <v>210</v>
      </c>
      <c r="D91" s="297" t="s">
        <v>213</v>
      </c>
      <c r="E91" s="298">
        <v>43799</v>
      </c>
      <c r="F91" s="299" t="s">
        <v>498</v>
      </c>
      <c r="G91" s="299"/>
      <c r="H91" s="300" t="s">
        <v>348</v>
      </c>
      <c r="I91" s="301"/>
      <c r="J91" s="341" t="s">
        <v>690</v>
      </c>
      <c r="K91" s="341"/>
      <c r="L91" s="9"/>
      <c r="M91" s="10" t="s">
        <v>339</v>
      </c>
      <c r="N91" s="268"/>
      <c r="O91" s="302"/>
      <c r="P91" s="302"/>
      <c r="Q91" s="299"/>
      <c r="R91" s="300" t="s">
        <v>347</v>
      </c>
      <c r="S91" s="301"/>
      <c r="T91" s="302"/>
      <c r="U91" s="299"/>
      <c r="V91" s="292" t="s">
        <v>334</v>
      </c>
      <c r="W91" s="301"/>
      <c r="X91" s="295" t="s">
        <v>283</v>
      </c>
      <c r="Y91" s="286" t="s">
        <v>275</v>
      </c>
      <c r="Z91" s="286" t="s">
        <v>301</v>
      </c>
      <c r="AA91" s="286" t="s">
        <v>277</v>
      </c>
      <c r="AB91" s="286" t="s">
        <v>266</v>
      </c>
      <c r="AC91" s="286" t="s">
        <v>424</v>
      </c>
      <c r="AD91" s="296">
        <v>88</v>
      </c>
    </row>
    <row r="92" spans="1:30" ht="99.95" customHeight="1">
      <c r="A92" s="286" t="s">
        <v>302</v>
      </c>
      <c r="B92" s="287" t="s">
        <v>214</v>
      </c>
      <c r="C92" s="288" t="s">
        <v>215</v>
      </c>
      <c r="D92" s="314" t="s">
        <v>216</v>
      </c>
      <c r="E92" s="320"/>
      <c r="F92" s="321" t="s">
        <v>510</v>
      </c>
      <c r="G92" s="321"/>
      <c r="H92" s="322" t="s">
        <v>348</v>
      </c>
      <c r="I92" s="323"/>
      <c r="J92" s="344" t="s">
        <v>619</v>
      </c>
      <c r="K92" s="344"/>
      <c r="L92" s="14"/>
      <c r="M92" s="15" t="s">
        <v>344</v>
      </c>
      <c r="N92" s="270"/>
      <c r="O92" s="324"/>
      <c r="P92" s="324"/>
      <c r="Q92" s="321"/>
      <c r="R92" s="322" t="s">
        <v>347</v>
      </c>
      <c r="S92" s="323"/>
      <c r="T92" s="324"/>
      <c r="U92" s="321"/>
      <c r="V92" s="292" t="s">
        <v>334</v>
      </c>
      <c r="W92" s="323"/>
      <c r="X92" s="325" t="s">
        <v>284</v>
      </c>
      <c r="Y92" s="286" t="s">
        <v>273</v>
      </c>
      <c r="Z92" s="286" t="s">
        <v>267</v>
      </c>
      <c r="AA92" s="286" t="s">
        <v>277</v>
      </c>
      <c r="AB92" s="286" t="s">
        <v>267</v>
      </c>
      <c r="AC92" s="286" t="s">
        <v>368</v>
      </c>
      <c r="AD92" s="296">
        <v>89</v>
      </c>
    </row>
    <row r="93" spans="1:30" ht="99.95" customHeight="1">
      <c r="A93" s="286" t="s">
        <v>302</v>
      </c>
      <c r="B93" s="287" t="s">
        <v>217</v>
      </c>
      <c r="C93" s="288" t="s">
        <v>218</v>
      </c>
      <c r="D93" s="314" t="s">
        <v>216</v>
      </c>
      <c r="E93" s="320"/>
      <c r="F93" s="321" t="s">
        <v>510</v>
      </c>
      <c r="G93" s="321"/>
      <c r="H93" s="322" t="s">
        <v>348</v>
      </c>
      <c r="I93" s="323"/>
      <c r="J93" s="344" t="s">
        <v>619</v>
      </c>
      <c r="K93" s="344"/>
      <c r="L93" s="14"/>
      <c r="M93" s="15" t="s">
        <v>344</v>
      </c>
      <c r="N93" s="270"/>
      <c r="O93" s="324"/>
      <c r="P93" s="324"/>
      <c r="Q93" s="321"/>
      <c r="R93" s="322" t="s">
        <v>347</v>
      </c>
      <c r="S93" s="323"/>
      <c r="T93" s="324"/>
      <c r="U93" s="321"/>
      <c r="V93" s="292" t="s">
        <v>334</v>
      </c>
      <c r="W93" s="323"/>
      <c r="X93" s="311" t="s">
        <v>284</v>
      </c>
      <c r="Y93" s="286" t="s">
        <v>273</v>
      </c>
      <c r="Z93" s="286" t="s">
        <v>267</v>
      </c>
      <c r="AA93" s="286" t="s">
        <v>277</v>
      </c>
      <c r="AB93" s="286" t="s">
        <v>267</v>
      </c>
      <c r="AC93" s="286" t="s">
        <v>368</v>
      </c>
      <c r="AD93" s="296">
        <v>90</v>
      </c>
    </row>
    <row r="94" spans="1:30" ht="99.95" customHeight="1">
      <c r="A94" s="286" t="s">
        <v>302</v>
      </c>
      <c r="B94" s="287" t="s">
        <v>219</v>
      </c>
      <c r="C94" s="288" t="s">
        <v>220</v>
      </c>
      <c r="D94" s="314" t="s">
        <v>216</v>
      </c>
      <c r="E94" s="320"/>
      <c r="F94" s="321" t="s">
        <v>510</v>
      </c>
      <c r="G94" s="321"/>
      <c r="H94" s="322" t="s">
        <v>348</v>
      </c>
      <c r="I94" s="323"/>
      <c r="J94" s="344" t="s">
        <v>619</v>
      </c>
      <c r="K94" s="344"/>
      <c r="L94" s="14"/>
      <c r="M94" s="15" t="s">
        <v>344</v>
      </c>
      <c r="N94" s="270"/>
      <c r="O94" s="324"/>
      <c r="P94" s="324"/>
      <c r="Q94" s="321"/>
      <c r="R94" s="322" t="s">
        <v>347</v>
      </c>
      <c r="S94" s="323"/>
      <c r="T94" s="324"/>
      <c r="U94" s="321"/>
      <c r="V94" s="292" t="s">
        <v>334</v>
      </c>
      <c r="W94" s="323"/>
      <c r="X94" s="311" t="s">
        <v>284</v>
      </c>
      <c r="Y94" s="286" t="s">
        <v>273</v>
      </c>
      <c r="Z94" s="286" t="s">
        <v>267</v>
      </c>
      <c r="AA94" s="286" t="s">
        <v>277</v>
      </c>
      <c r="AB94" s="286" t="s">
        <v>267</v>
      </c>
      <c r="AC94" s="286" t="s">
        <v>368</v>
      </c>
      <c r="AD94" s="296">
        <v>91</v>
      </c>
    </row>
    <row r="95" spans="1:30" ht="99.95" customHeight="1">
      <c r="A95" s="286" t="s">
        <v>302</v>
      </c>
      <c r="B95" s="287" t="s">
        <v>221</v>
      </c>
      <c r="C95" s="288" t="s">
        <v>222</v>
      </c>
      <c r="D95" s="314" t="s">
        <v>216</v>
      </c>
      <c r="E95" s="320"/>
      <c r="F95" s="321" t="s">
        <v>510</v>
      </c>
      <c r="G95" s="321"/>
      <c r="H95" s="322" t="s">
        <v>348</v>
      </c>
      <c r="I95" s="323"/>
      <c r="J95" s="344" t="s">
        <v>619</v>
      </c>
      <c r="K95" s="344"/>
      <c r="L95" s="14"/>
      <c r="M95" s="15" t="s">
        <v>344</v>
      </c>
      <c r="N95" s="270"/>
      <c r="O95" s="324"/>
      <c r="P95" s="324"/>
      <c r="Q95" s="321"/>
      <c r="R95" s="322" t="s">
        <v>347</v>
      </c>
      <c r="S95" s="323"/>
      <c r="T95" s="324"/>
      <c r="U95" s="321"/>
      <c r="V95" s="292" t="s">
        <v>334</v>
      </c>
      <c r="W95" s="323"/>
      <c r="X95" s="311" t="s">
        <v>284</v>
      </c>
      <c r="Y95" s="286" t="s">
        <v>273</v>
      </c>
      <c r="Z95" s="286" t="s">
        <v>267</v>
      </c>
      <c r="AA95" s="286" t="s">
        <v>277</v>
      </c>
      <c r="AB95" s="286" t="s">
        <v>267</v>
      </c>
      <c r="AC95" s="286" t="s">
        <v>368</v>
      </c>
      <c r="AD95" s="296">
        <v>92</v>
      </c>
    </row>
    <row r="96" spans="1:30" ht="99.95" customHeight="1">
      <c r="A96" s="286" t="s">
        <v>302</v>
      </c>
      <c r="B96" s="287" t="s">
        <v>223</v>
      </c>
      <c r="C96" s="288" t="s">
        <v>224</v>
      </c>
      <c r="D96" s="297" t="s">
        <v>262</v>
      </c>
      <c r="E96" s="326"/>
      <c r="F96" s="321" t="s">
        <v>511</v>
      </c>
      <c r="G96" s="321"/>
      <c r="H96" s="322" t="s">
        <v>344</v>
      </c>
      <c r="I96" s="323"/>
      <c r="J96" s="344" t="s">
        <v>620</v>
      </c>
      <c r="K96" s="344" t="s">
        <v>621</v>
      </c>
      <c r="L96" s="14"/>
      <c r="M96" s="15" t="s">
        <v>344</v>
      </c>
      <c r="N96" s="270"/>
      <c r="O96" s="324"/>
      <c r="P96" s="324"/>
      <c r="Q96" s="321"/>
      <c r="R96" s="322" t="s">
        <v>347</v>
      </c>
      <c r="S96" s="323"/>
      <c r="T96" s="324"/>
      <c r="U96" s="321"/>
      <c r="V96" s="292" t="s">
        <v>334</v>
      </c>
      <c r="W96" s="323"/>
      <c r="X96" s="311" t="s">
        <v>284</v>
      </c>
      <c r="Y96" s="286" t="s">
        <v>273</v>
      </c>
      <c r="Z96" s="286" t="s">
        <v>267</v>
      </c>
      <c r="AA96" s="286" t="s">
        <v>277</v>
      </c>
      <c r="AB96" s="286" t="s">
        <v>267</v>
      </c>
      <c r="AC96" s="286" t="s">
        <v>368</v>
      </c>
      <c r="AD96" s="296">
        <v>93</v>
      </c>
    </row>
    <row r="97" spans="1:30" ht="99.95" customHeight="1">
      <c r="A97" s="286" t="s">
        <v>302</v>
      </c>
      <c r="B97" s="287" t="s">
        <v>225</v>
      </c>
      <c r="C97" s="288" t="s">
        <v>226</v>
      </c>
      <c r="D97" s="297" t="s">
        <v>263</v>
      </c>
      <c r="E97" s="326"/>
      <c r="F97" s="321" t="s">
        <v>512</v>
      </c>
      <c r="G97" s="321"/>
      <c r="H97" s="322" t="s">
        <v>344</v>
      </c>
      <c r="I97" s="323"/>
      <c r="J97" s="344" t="s">
        <v>622</v>
      </c>
      <c r="K97" s="344" t="s">
        <v>623</v>
      </c>
      <c r="L97" s="14"/>
      <c r="M97" s="15" t="s">
        <v>344</v>
      </c>
      <c r="N97" s="270"/>
      <c r="O97" s="324"/>
      <c r="P97" s="324"/>
      <c r="Q97" s="321"/>
      <c r="R97" s="322" t="s">
        <v>347</v>
      </c>
      <c r="S97" s="323"/>
      <c r="T97" s="324"/>
      <c r="U97" s="321"/>
      <c r="V97" s="292" t="s">
        <v>334</v>
      </c>
      <c r="W97" s="323"/>
      <c r="X97" s="311" t="s">
        <v>284</v>
      </c>
      <c r="Y97" s="286" t="s">
        <v>273</v>
      </c>
      <c r="Z97" s="286" t="s">
        <v>267</v>
      </c>
      <c r="AA97" s="286" t="s">
        <v>277</v>
      </c>
      <c r="AB97" s="286" t="s">
        <v>267</v>
      </c>
      <c r="AC97" s="286" t="s">
        <v>368</v>
      </c>
      <c r="AD97" s="296">
        <v>94</v>
      </c>
    </row>
    <row r="98" spans="1:30" ht="99.95" customHeight="1">
      <c r="A98" s="286" t="s">
        <v>316</v>
      </c>
      <c r="B98" s="287" t="s">
        <v>227</v>
      </c>
      <c r="C98" s="304" t="s">
        <v>228</v>
      </c>
      <c r="D98" s="297" t="s">
        <v>229</v>
      </c>
      <c r="E98" s="320"/>
      <c r="F98" s="321" t="s">
        <v>526</v>
      </c>
      <c r="G98" s="321" t="s">
        <v>521</v>
      </c>
      <c r="H98" s="322" t="s">
        <v>344</v>
      </c>
      <c r="I98" s="323" t="s">
        <v>678</v>
      </c>
      <c r="J98" s="344" t="s">
        <v>635</v>
      </c>
      <c r="K98" s="344" t="s">
        <v>636</v>
      </c>
      <c r="L98" s="14" t="s">
        <v>636</v>
      </c>
      <c r="M98" s="15" t="s">
        <v>344</v>
      </c>
      <c r="N98" s="270"/>
      <c r="O98" s="324"/>
      <c r="P98" s="324"/>
      <c r="Q98" s="321"/>
      <c r="R98" s="322" t="s">
        <v>347</v>
      </c>
      <c r="S98" s="323"/>
      <c r="T98" s="324"/>
      <c r="U98" s="321"/>
      <c r="V98" s="292" t="s">
        <v>334</v>
      </c>
      <c r="W98" s="323"/>
      <c r="X98" s="311" t="s">
        <v>284</v>
      </c>
      <c r="Y98" s="286" t="s">
        <v>273</v>
      </c>
      <c r="Z98" s="286" t="s">
        <v>315</v>
      </c>
      <c r="AA98" s="286" t="s">
        <v>277</v>
      </c>
      <c r="AB98" s="286" t="s">
        <v>268</v>
      </c>
      <c r="AC98" s="286" t="s">
        <v>368</v>
      </c>
      <c r="AD98" s="296">
        <v>95</v>
      </c>
    </row>
    <row r="99" spans="1:30" ht="225">
      <c r="A99" s="286" t="s">
        <v>316</v>
      </c>
      <c r="B99" s="287" t="s">
        <v>230</v>
      </c>
      <c r="C99" s="304" t="s">
        <v>231</v>
      </c>
      <c r="D99" s="297" t="s">
        <v>232</v>
      </c>
      <c r="E99" s="320"/>
      <c r="F99" s="321" t="s">
        <v>581</v>
      </c>
      <c r="G99" s="321" t="s">
        <v>520</v>
      </c>
      <c r="H99" s="322" t="s">
        <v>345</v>
      </c>
      <c r="I99" s="323" t="s">
        <v>679</v>
      </c>
      <c r="J99" s="344" t="s">
        <v>680</v>
      </c>
      <c r="K99" s="344" t="s">
        <v>633</v>
      </c>
      <c r="L99" s="14" t="s">
        <v>520</v>
      </c>
      <c r="M99" s="15" t="s">
        <v>344</v>
      </c>
      <c r="N99" s="14" t="s">
        <v>634</v>
      </c>
      <c r="O99" s="324"/>
      <c r="P99" s="324"/>
      <c r="Q99" s="321"/>
      <c r="R99" s="322" t="s">
        <v>347</v>
      </c>
      <c r="S99" s="323"/>
      <c r="T99" s="324"/>
      <c r="U99" s="321"/>
      <c r="V99" s="292" t="s">
        <v>334</v>
      </c>
      <c r="W99" s="323"/>
      <c r="X99" s="311" t="s">
        <v>284</v>
      </c>
      <c r="Y99" s="286" t="s">
        <v>273</v>
      </c>
      <c r="Z99" s="286" t="s">
        <v>315</v>
      </c>
      <c r="AA99" s="286" t="s">
        <v>277</v>
      </c>
      <c r="AB99" s="286" t="s">
        <v>268</v>
      </c>
      <c r="AC99" s="286" t="s">
        <v>368</v>
      </c>
      <c r="AD99" s="296">
        <v>96</v>
      </c>
    </row>
    <row r="100" spans="1:30" ht="99.95" customHeight="1">
      <c r="A100" s="286" t="s">
        <v>316</v>
      </c>
      <c r="B100" s="287" t="s">
        <v>233</v>
      </c>
      <c r="C100" s="304" t="s">
        <v>234</v>
      </c>
      <c r="D100" s="289" t="s">
        <v>235</v>
      </c>
      <c r="E100" s="298">
        <v>43677</v>
      </c>
      <c r="F100" s="299" t="s">
        <v>522</v>
      </c>
      <c r="G100" s="299"/>
      <c r="H100" s="300" t="s">
        <v>344</v>
      </c>
      <c r="I100" s="301"/>
      <c r="J100" s="341" t="s">
        <v>632</v>
      </c>
      <c r="K100" s="341"/>
      <c r="L100" s="9"/>
      <c r="M100" s="10" t="s">
        <v>335</v>
      </c>
      <c r="N100" s="268"/>
      <c r="O100" s="302"/>
      <c r="P100" s="302"/>
      <c r="Q100" s="299"/>
      <c r="R100" s="300" t="s">
        <v>347</v>
      </c>
      <c r="S100" s="301"/>
      <c r="T100" s="302"/>
      <c r="U100" s="299"/>
      <c r="V100" s="292" t="s">
        <v>334</v>
      </c>
      <c r="W100" s="301"/>
      <c r="X100" s="303" t="s">
        <v>282</v>
      </c>
      <c r="Y100" s="286" t="s">
        <v>273</v>
      </c>
      <c r="Z100" s="286" t="s">
        <v>315</v>
      </c>
      <c r="AA100" s="286" t="s">
        <v>277</v>
      </c>
      <c r="AB100" s="286" t="s">
        <v>268</v>
      </c>
      <c r="AC100" s="286" t="s">
        <v>368</v>
      </c>
      <c r="AD100" s="296">
        <v>97</v>
      </c>
    </row>
    <row r="101" spans="1:30" ht="99.95" customHeight="1">
      <c r="A101" s="286" t="s">
        <v>316</v>
      </c>
      <c r="B101" s="287" t="s">
        <v>236</v>
      </c>
      <c r="C101" s="304" t="s">
        <v>228</v>
      </c>
      <c r="D101" s="289" t="s">
        <v>237</v>
      </c>
      <c r="E101" s="298">
        <v>43646</v>
      </c>
      <c r="F101" s="299" t="s">
        <v>524</v>
      </c>
      <c r="G101" s="299"/>
      <c r="H101" s="300" t="s">
        <v>335</v>
      </c>
      <c r="I101" s="301" t="s">
        <v>525</v>
      </c>
      <c r="J101" s="341"/>
      <c r="K101" s="341"/>
      <c r="L101" s="9"/>
      <c r="M101" s="8" t="s">
        <v>335</v>
      </c>
      <c r="N101" s="268"/>
      <c r="O101" s="302"/>
      <c r="P101" s="302"/>
      <c r="Q101" s="299"/>
      <c r="R101" s="300" t="s">
        <v>347</v>
      </c>
      <c r="S101" s="301"/>
      <c r="T101" s="302"/>
      <c r="U101" s="299"/>
      <c r="V101" s="292" t="s">
        <v>334</v>
      </c>
      <c r="W101" s="301"/>
      <c r="X101" s="295" t="s">
        <v>281</v>
      </c>
      <c r="Y101" s="286" t="s">
        <v>273</v>
      </c>
      <c r="Z101" s="286" t="s">
        <v>315</v>
      </c>
      <c r="AA101" s="286" t="s">
        <v>277</v>
      </c>
      <c r="AB101" s="286" t="s">
        <v>268</v>
      </c>
      <c r="AC101" s="286" t="s">
        <v>368</v>
      </c>
      <c r="AD101" s="296">
        <v>98</v>
      </c>
    </row>
    <row r="102" spans="1:30" ht="99.95" customHeight="1">
      <c r="A102" s="286" t="s">
        <v>316</v>
      </c>
      <c r="B102" s="287" t="s">
        <v>238</v>
      </c>
      <c r="C102" s="304" t="s">
        <v>239</v>
      </c>
      <c r="D102" s="289" t="s">
        <v>240</v>
      </c>
      <c r="E102" s="298">
        <v>43585</v>
      </c>
      <c r="F102" s="299" t="s">
        <v>523</v>
      </c>
      <c r="G102" s="299"/>
      <c r="H102" s="300" t="s">
        <v>335</v>
      </c>
      <c r="I102" s="301" t="s">
        <v>527</v>
      </c>
      <c r="J102" s="341"/>
      <c r="K102" s="341"/>
      <c r="L102" s="9"/>
      <c r="M102" s="8" t="s">
        <v>335</v>
      </c>
      <c r="N102" s="268"/>
      <c r="O102" s="302"/>
      <c r="P102" s="302"/>
      <c r="Q102" s="299"/>
      <c r="R102" s="300" t="s">
        <v>347</v>
      </c>
      <c r="S102" s="301"/>
      <c r="T102" s="302"/>
      <c r="U102" s="299"/>
      <c r="V102" s="292" t="s">
        <v>334</v>
      </c>
      <c r="W102" s="301"/>
      <c r="X102" s="295" t="s">
        <v>281</v>
      </c>
      <c r="Y102" s="286" t="s">
        <v>273</v>
      </c>
      <c r="Z102" s="286" t="s">
        <v>315</v>
      </c>
      <c r="AA102" s="286" t="s">
        <v>277</v>
      </c>
      <c r="AB102" s="286" t="s">
        <v>268</v>
      </c>
      <c r="AC102" s="286" t="s">
        <v>368</v>
      </c>
      <c r="AD102" s="296">
        <v>99</v>
      </c>
    </row>
    <row r="103" spans="1:30" ht="99.95" customHeight="1">
      <c r="A103" s="286" t="s">
        <v>324</v>
      </c>
      <c r="B103" s="287" t="s">
        <v>241</v>
      </c>
      <c r="C103" s="304" t="s">
        <v>242</v>
      </c>
      <c r="D103" s="297" t="s">
        <v>681</v>
      </c>
      <c r="E103" s="290">
        <v>43769</v>
      </c>
      <c r="F103" s="299" t="s">
        <v>561</v>
      </c>
      <c r="G103" s="299"/>
      <c r="H103" s="300" t="s">
        <v>344</v>
      </c>
      <c r="I103" s="301" t="s">
        <v>560</v>
      </c>
      <c r="J103" s="341" t="s">
        <v>667</v>
      </c>
      <c r="K103" s="341"/>
      <c r="L103" s="9"/>
      <c r="M103" s="10" t="s">
        <v>344</v>
      </c>
      <c r="N103" s="268"/>
      <c r="O103" s="302"/>
      <c r="P103" s="302"/>
      <c r="Q103" s="299"/>
      <c r="R103" s="300" t="s">
        <v>347</v>
      </c>
      <c r="S103" s="301"/>
      <c r="T103" s="302"/>
      <c r="U103" s="299"/>
      <c r="V103" s="292" t="s">
        <v>334</v>
      </c>
      <c r="W103" s="301"/>
      <c r="X103" s="295" t="s">
        <v>283</v>
      </c>
      <c r="Y103" s="286" t="s">
        <v>275</v>
      </c>
      <c r="Z103" s="286" t="s">
        <v>309</v>
      </c>
      <c r="AA103" s="286" t="s">
        <v>277</v>
      </c>
      <c r="AB103" s="286" t="s">
        <v>270</v>
      </c>
      <c r="AC103" s="286" t="s">
        <v>367</v>
      </c>
      <c r="AD103" s="296">
        <v>100</v>
      </c>
    </row>
    <row r="104" spans="1:30" ht="99.95" customHeight="1">
      <c r="A104" s="286" t="s">
        <v>311</v>
      </c>
      <c r="B104" s="287" t="s">
        <v>243</v>
      </c>
      <c r="C104" s="304" t="s">
        <v>242</v>
      </c>
      <c r="D104" s="297" t="s">
        <v>317</v>
      </c>
      <c r="E104" s="290">
        <v>43921</v>
      </c>
      <c r="F104" s="299" t="s">
        <v>534</v>
      </c>
      <c r="G104" s="299"/>
      <c r="H104" s="300" t="s">
        <v>344</v>
      </c>
      <c r="I104" s="301" t="s">
        <v>682</v>
      </c>
      <c r="J104" s="341" t="s">
        <v>639</v>
      </c>
      <c r="K104" s="341"/>
      <c r="L104" s="9"/>
      <c r="M104" s="10" t="s">
        <v>344</v>
      </c>
      <c r="N104" s="268"/>
      <c r="O104" s="302"/>
      <c r="P104" s="302"/>
      <c r="Q104" s="299"/>
      <c r="R104" s="300" t="s">
        <v>347</v>
      </c>
      <c r="S104" s="301"/>
      <c r="T104" s="302"/>
      <c r="U104" s="299"/>
      <c r="V104" s="292" t="s">
        <v>334</v>
      </c>
      <c r="W104" s="301"/>
      <c r="X104" s="303" t="s">
        <v>280</v>
      </c>
      <c r="Y104" s="286" t="s">
        <v>275</v>
      </c>
      <c r="Z104" s="286" t="s">
        <v>310</v>
      </c>
      <c r="AA104" s="286" t="s">
        <v>277</v>
      </c>
      <c r="AB104" s="286" t="s">
        <v>270</v>
      </c>
      <c r="AC104" s="286" t="s">
        <v>367</v>
      </c>
      <c r="AD104" s="296">
        <v>101</v>
      </c>
    </row>
    <row r="105" spans="1:30" ht="99.95" customHeight="1">
      <c r="A105" s="286" t="s">
        <v>311</v>
      </c>
      <c r="B105" s="287" t="s">
        <v>244</v>
      </c>
      <c r="C105" s="304" t="s">
        <v>242</v>
      </c>
      <c r="D105" s="297" t="s">
        <v>245</v>
      </c>
      <c r="E105" s="290">
        <v>43921</v>
      </c>
      <c r="F105" s="299" t="s">
        <v>532</v>
      </c>
      <c r="G105" s="299"/>
      <c r="H105" s="300" t="s">
        <v>344</v>
      </c>
      <c r="I105" s="301" t="s">
        <v>533</v>
      </c>
      <c r="J105" s="341" t="s">
        <v>668</v>
      </c>
      <c r="K105" s="341"/>
      <c r="L105" s="9"/>
      <c r="M105" s="10" t="s">
        <v>344</v>
      </c>
      <c r="N105" s="268"/>
      <c r="O105" s="302"/>
      <c r="P105" s="302"/>
      <c r="Q105" s="299"/>
      <c r="R105" s="300" t="s">
        <v>347</v>
      </c>
      <c r="S105" s="301"/>
      <c r="T105" s="302"/>
      <c r="U105" s="299"/>
      <c r="V105" s="292" t="s">
        <v>334</v>
      </c>
      <c r="W105" s="301"/>
      <c r="X105" s="303" t="s">
        <v>280</v>
      </c>
      <c r="Y105" s="286" t="s">
        <v>275</v>
      </c>
      <c r="Z105" s="286" t="s">
        <v>310</v>
      </c>
      <c r="AA105" s="286" t="s">
        <v>277</v>
      </c>
      <c r="AB105" s="286" t="s">
        <v>270</v>
      </c>
      <c r="AC105" s="286" t="s">
        <v>367</v>
      </c>
      <c r="AD105" s="296">
        <v>102</v>
      </c>
    </row>
    <row r="106" spans="1:30" ht="99.95" customHeight="1">
      <c r="A106" s="286" t="s">
        <v>313</v>
      </c>
      <c r="B106" s="287" t="s">
        <v>246</v>
      </c>
      <c r="C106" s="288" t="s">
        <v>247</v>
      </c>
      <c r="D106" s="289" t="s">
        <v>248</v>
      </c>
      <c r="E106" s="298">
        <v>43830</v>
      </c>
      <c r="F106" s="299" t="s">
        <v>491</v>
      </c>
      <c r="G106" s="299"/>
      <c r="H106" s="300" t="s">
        <v>344</v>
      </c>
      <c r="I106" s="301"/>
      <c r="J106" s="341" t="s">
        <v>602</v>
      </c>
      <c r="K106" s="341"/>
      <c r="L106" s="9"/>
      <c r="M106" s="10" t="s">
        <v>344</v>
      </c>
      <c r="N106" s="268" t="s">
        <v>603</v>
      </c>
      <c r="O106" s="302"/>
      <c r="P106" s="302"/>
      <c r="Q106" s="299"/>
      <c r="R106" s="300" t="s">
        <v>347</v>
      </c>
      <c r="S106" s="301"/>
      <c r="T106" s="302"/>
      <c r="U106" s="299"/>
      <c r="V106" s="292" t="s">
        <v>334</v>
      </c>
      <c r="W106" s="301"/>
      <c r="X106" s="295" t="s">
        <v>283</v>
      </c>
      <c r="Y106" s="286" t="s">
        <v>274</v>
      </c>
      <c r="Z106" s="286" t="s">
        <v>312</v>
      </c>
      <c r="AA106" s="286" t="s">
        <v>277</v>
      </c>
      <c r="AB106" s="286" t="s">
        <v>271</v>
      </c>
      <c r="AC106" s="286" t="s">
        <v>364</v>
      </c>
      <c r="AD106" s="296">
        <v>103</v>
      </c>
    </row>
    <row r="107" spans="1:30" ht="99.95" customHeight="1">
      <c r="A107" s="286" t="s">
        <v>313</v>
      </c>
      <c r="B107" s="287" t="s">
        <v>249</v>
      </c>
      <c r="C107" s="288" t="s">
        <v>250</v>
      </c>
      <c r="D107" s="289" t="s">
        <v>251</v>
      </c>
      <c r="E107" s="298">
        <v>43830</v>
      </c>
      <c r="F107" s="299" t="s">
        <v>683</v>
      </c>
      <c r="G107" s="299"/>
      <c r="H107" s="300" t="s">
        <v>344</v>
      </c>
      <c r="I107" s="301"/>
      <c r="J107" s="341" t="s">
        <v>604</v>
      </c>
      <c r="K107" s="341"/>
      <c r="L107" s="9"/>
      <c r="M107" s="10" t="s">
        <v>344</v>
      </c>
      <c r="N107" s="268" t="s">
        <v>605</v>
      </c>
      <c r="O107" s="302"/>
      <c r="P107" s="302"/>
      <c r="Q107" s="299"/>
      <c r="R107" s="300" t="s">
        <v>347</v>
      </c>
      <c r="S107" s="301"/>
      <c r="T107" s="302"/>
      <c r="U107" s="299"/>
      <c r="V107" s="292" t="s">
        <v>334</v>
      </c>
      <c r="W107" s="301"/>
      <c r="X107" s="295" t="s">
        <v>283</v>
      </c>
      <c r="Y107" s="286" t="s">
        <v>274</v>
      </c>
      <c r="Z107" s="286" t="s">
        <v>312</v>
      </c>
      <c r="AA107" s="286" t="s">
        <v>277</v>
      </c>
      <c r="AB107" s="286" t="s">
        <v>271</v>
      </c>
      <c r="AC107" s="286" t="s">
        <v>364</v>
      </c>
      <c r="AD107" s="296">
        <v>104</v>
      </c>
    </row>
    <row r="108" spans="1:30" ht="99.95" customHeight="1">
      <c r="A108" s="286" t="s">
        <v>313</v>
      </c>
      <c r="B108" s="287" t="s">
        <v>252</v>
      </c>
      <c r="C108" s="288" t="s">
        <v>253</v>
      </c>
      <c r="D108" s="289" t="s">
        <v>254</v>
      </c>
      <c r="E108" s="290">
        <v>43921</v>
      </c>
      <c r="F108" s="299" t="s">
        <v>492</v>
      </c>
      <c r="G108" s="299"/>
      <c r="H108" s="300" t="s">
        <v>344</v>
      </c>
      <c r="I108" s="301"/>
      <c r="J108" s="341" t="s">
        <v>606</v>
      </c>
      <c r="K108" s="341"/>
      <c r="L108" s="9"/>
      <c r="M108" s="10" t="s">
        <v>344</v>
      </c>
      <c r="N108" s="268"/>
      <c r="O108" s="302"/>
      <c r="P108" s="302"/>
      <c r="Q108" s="299"/>
      <c r="R108" s="300" t="s">
        <v>347</v>
      </c>
      <c r="S108" s="301"/>
      <c r="T108" s="302"/>
      <c r="U108" s="299"/>
      <c r="V108" s="292" t="s">
        <v>334</v>
      </c>
      <c r="W108" s="301"/>
      <c r="X108" s="303" t="s">
        <v>280</v>
      </c>
      <c r="Y108" s="286" t="s">
        <v>274</v>
      </c>
      <c r="Z108" s="286" t="s">
        <v>312</v>
      </c>
      <c r="AA108" s="286" t="s">
        <v>277</v>
      </c>
      <c r="AB108" s="286" t="s">
        <v>271</v>
      </c>
      <c r="AC108" s="286" t="s">
        <v>364</v>
      </c>
      <c r="AD108" s="296">
        <v>105</v>
      </c>
    </row>
    <row r="109" spans="1:30" ht="99.95" customHeight="1">
      <c r="A109" s="286" t="s">
        <v>313</v>
      </c>
      <c r="B109" s="287" t="s">
        <v>255</v>
      </c>
      <c r="C109" s="288" t="s">
        <v>253</v>
      </c>
      <c r="D109" s="289" t="s">
        <v>256</v>
      </c>
      <c r="E109" s="290">
        <v>43921</v>
      </c>
      <c r="F109" s="299"/>
      <c r="G109" s="299"/>
      <c r="H109" s="300" t="s">
        <v>348</v>
      </c>
      <c r="I109" s="301"/>
      <c r="J109" s="341" t="s">
        <v>607</v>
      </c>
      <c r="K109" s="341"/>
      <c r="L109" s="9"/>
      <c r="M109" s="10" t="s">
        <v>344</v>
      </c>
      <c r="N109" s="268" t="s">
        <v>608</v>
      </c>
      <c r="O109" s="302"/>
      <c r="P109" s="302"/>
      <c r="Q109" s="299"/>
      <c r="R109" s="300" t="s">
        <v>347</v>
      </c>
      <c r="S109" s="301"/>
      <c r="T109" s="302"/>
      <c r="U109" s="299"/>
      <c r="V109" s="292" t="s">
        <v>334</v>
      </c>
      <c r="W109" s="301"/>
      <c r="X109" s="303" t="s">
        <v>280</v>
      </c>
      <c r="Y109" s="286" t="s">
        <v>274</v>
      </c>
      <c r="Z109" s="286" t="s">
        <v>312</v>
      </c>
      <c r="AA109" s="286" t="s">
        <v>277</v>
      </c>
      <c r="AB109" s="286" t="s">
        <v>271</v>
      </c>
      <c r="AC109" s="286" t="s">
        <v>364</v>
      </c>
      <c r="AD109" s="296">
        <v>106</v>
      </c>
    </row>
    <row r="110" spans="1:30" ht="99.95" customHeight="1">
      <c r="A110" s="286" t="s">
        <v>300</v>
      </c>
      <c r="B110" s="287" t="s">
        <v>257</v>
      </c>
      <c r="C110" s="288" t="s">
        <v>258</v>
      </c>
      <c r="D110" s="289" t="s">
        <v>259</v>
      </c>
      <c r="E110" s="290">
        <v>43921</v>
      </c>
      <c r="F110" s="299" t="s">
        <v>499</v>
      </c>
      <c r="G110" s="299"/>
      <c r="H110" s="300" t="s">
        <v>348</v>
      </c>
      <c r="I110" s="301"/>
      <c r="J110" s="341"/>
      <c r="K110" s="341"/>
      <c r="L110" s="9"/>
      <c r="M110" s="10" t="s">
        <v>348</v>
      </c>
      <c r="N110" s="268"/>
      <c r="O110" s="302"/>
      <c r="P110" s="302"/>
      <c r="Q110" s="299"/>
      <c r="R110" s="300" t="s">
        <v>347</v>
      </c>
      <c r="S110" s="301"/>
      <c r="T110" s="302"/>
      <c r="U110" s="299"/>
      <c r="V110" s="292" t="s">
        <v>334</v>
      </c>
      <c r="W110" s="301"/>
      <c r="X110" s="303" t="s">
        <v>280</v>
      </c>
      <c r="Y110" s="286" t="s">
        <v>275</v>
      </c>
      <c r="Z110" s="286" t="s">
        <v>301</v>
      </c>
      <c r="AA110" s="286" t="s">
        <v>277</v>
      </c>
      <c r="AB110" s="286" t="s">
        <v>271</v>
      </c>
      <c r="AC110" s="286" t="s">
        <v>424</v>
      </c>
      <c r="AD110" s="296">
        <v>107</v>
      </c>
    </row>
    <row r="111" spans="1:30" ht="99.95" customHeight="1">
      <c r="A111" s="286" t="s">
        <v>313</v>
      </c>
      <c r="B111" s="287" t="s">
        <v>260</v>
      </c>
      <c r="C111" s="288" t="s">
        <v>258</v>
      </c>
      <c r="D111" s="289" t="s">
        <v>261</v>
      </c>
      <c r="E111" s="290">
        <v>43921</v>
      </c>
      <c r="F111" s="299" t="s">
        <v>493</v>
      </c>
      <c r="G111" s="299"/>
      <c r="H111" s="300" t="s">
        <v>344</v>
      </c>
      <c r="I111" s="301"/>
      <c r="J111" s="341" t="s">
        <v>609</v>
      </c>
      <c r="K111" s="341"/>
      <c r="L111" s="9"/>
      <c r="M111" s="10" t="s">
        <v>344</v>
      </c>
      <c r="N111" s="268" t="s">
        <v>610</v>
      </c>
      <c r="O111" s="302"/>
      <c r="P111" s="302"/>
      <c r="Q111" s="299"/>
      <c r="R111" s="300" t="s">
        <v>347</v>
      </c>
      <c r="S111" s="301"/>
      <c r="T111" s="302"/>
      <c r="U111" s="299"/>
      <c r="V111" s="292" t="s">
        <v>334</v>
      </c>
      <c r="W111" s="301"/>
      <c r="X111" s="303" t="s">
        <v>280</v>
      </c>
      <c r="Y111" s="286" t="s">
        <v>274</v>
      </c>
      <c r="Z111" s="286" t="s">
        <v>312</v>
      </c>
      <c r="AA111" s="286" t="s">
        <v>277</v>
      </c>
      <c r="AB111" s="286" t="s">
        <v>271</v>
      </c>
      <c r="AC111" s="286" t="s">
        <v>364</v>
      </c>
      <c r="AD111" s="296">
        <v>108</v>
      </c>
    </row>
    <row r="112" spans="1:30">
      <c r="F112" s="327"/>
      <c r="G112" s="327"/>
      <c r="H112" s="327"/>
      <c r="I112" s="327"/>
      <c r="J112" s="327"/>
      <c r="K112" s="327"/>
      <c r="L112" s="327"/>
      <c r="M112" s="327"/>
      <c r="N112" s="327"/>
      <c r="O112" s="327"/>
      <c r="P112" s="327"/>
      <c r="Q112" s="327"/>
      <c r="R112" s="327"/>
      <c r="S112" s="327"/>
      <c r="T112" s="327"/>
      <c r="U112" s="327"/>
      <c r="V112" s="327"/>
      <c r="W112" s="327"/>
    </row>
    <row r="146" spans="1:1">
      <c r="A146" s="1" t="s">
        <v>334</v>
      </c>
    </row>
    <row r="147" spans="1:1">
      <c r="A147" s="1" t="s">
        <v>335</v>
      </c>
    </row>
    <row r="148" spans="1:1">
      <c r="A148" s="1" t="s">
        <v>336</v>
      </c>
    </row>
    <row r="149" spans="1:1">
      <c r="A149" s="1" t="s">
        <v>337</v>
      </c>
    </row>
    <row r="150" spans="1:1">
      <c r="A150" s="1" t="s">
        <v>338</v>
      </c>
    </row>
    <row r="151" spans="1:1">
      <c r="A151" s="1" t="s">
        <v>339</v>
      </c>
    </row>
    <row r="152" spans="1:1">
      <c r="A152" s="1" t="s">
        <v>340</v>
      </c>
    </row>
    <row r="153" spans="1:1">
      <c r="A153" s="1" t="s">
        <v>341</v>
      </c>
    </row>
    <row r="154" spans="1:1">
      <c r="A154" s="1" t="s">
        <v>342</v>
      </c>
    </row>
    <row r="155" spans="1:1">
      <c r="A155" s="1" t="s">
        <v>343</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335</v>
      </c>
    </row>
    <row r="165" spans="1:1">
      <c r="A165" s="5" t="s">
        <v>344</v>
      </c>
    </row>
    <row r="166" spans="1:1">
      <c r="A166" s="5" t="s">
        <v>345</v>
      </c>
    </row>
    <row r="167" spans="1:1">
      <c r="A167" s="5" t="s">
        <v>339</v>
      </c>
    </row>
    <row r="168" spans="1:1">
      <c r="A168" s="5" t="s">
        <v>346</v>
      </c>
    </row>
    <row r="169" spans="1:1">
      <c r="A169" s="6" t="s">
        <v>343</v>
      </c>
    </row>
    <row r="170" spans="1:1">
      <c r="A170" s="5" t="s">
        <v>348</v>
      </c>
    </row>
    <row r="171" spans="1:1">
      <c r="A171" s="5" t="s">
        <v>347</v>
      </c>
    </row>
    <row r="172" spans="1:1">
      <c r="A172" s="4" t="s">
        <v>342</v>
      </c>
    </row>
  </sheetData>
  <sheetProtection autoFilter="0" pivotTables="0"/>
  <autoFilter ref="A2:AD111"/>
  <mergeCells count="4">
    <mergeCell ref="F1:I1"/>
    <mergeCell ref="J1:N1"/>
    <mergeCell ref="O1:S1"/>
    <mergeCell ref="T1:W1"/>
  </mergeCells>
  <conditionalFormatting sqref="H3:H38 H40 H43 H45 H50:H111 H47:H48">
    <cfRule type="containsText" dxfId="4256" priority="332" operator="containsText" text="Deferred">
      <formula>NOT(ISERROR(SEARCH("Deferred",H3)))</formula>
    </cfRule>
    <cfRule type="containsText" dxfId="4255" priority="334" operator="containsText" text="Update Not Provided">
      <formula>NOT(ISERROR(SEARCH("Update Not Provided",H3)))</formula>
    </cfRule>
    <cfRule type="containsText" dxfId="4254" priority="335" operator="containsText" text="Not Yet Due">
      <formula>NOT(ISERROR(SEARCH("Not Yet Due",H3)))</formula>
    </cfRule>
    <cfRule type="containsText" dxfId="4253" priority="336" operator="containsText" text="Deleted">
      <formula>NOT(ISERROR(SEARCH("Deleted",H3)))</formula>
    </cfRule>
    <cfRule type="containsText" dxfId="4252" priority="337" operator="containsText" text="Completed Behind Schedule">
      <formula>NOT(ISERROR(SEARCH("Completed Behind Schedule",H3)))</formula>
    </cfRule>
    <cfRule type="containsText" dxfId="4251" priority="338" operator="containsText" text="Off Target">
      <formula>NOT(ISERROR(SEARCH("Off Target",H3)))</formula>
    </cfRule>
    <cfRule type="containsText" dxfId="4250" priority="339" operator="containsText" text="In Danger of Falling Behind Target">
      <formula>NOT(ISERROR(SEARCH("In Danger of Falling Behind Target",H3)))</formula>
    </cfRule>
    <cfRule type="containsText" dxfId="4249" priority="340" operator="containsText" text="Fully Achieved">
      <formula>NOT(ISERROR(SEARCH("Fully Achieved",H3)))</formula>
    </cfRule>
    <cfRule type="containsText" dxfId="4248" priority="341" operator="containsText" text="On track to be achieved">
      <formula>NOT(ISERROR(SEARCH("On track to be achieved",H3)))</formula>
    </cfRule>
  </conditionalFormatting>
  <conditionalFormatting sqref="V3:V38 V40 V43 V45 V50:V111 V47:V48">
    <cfRule type="containsText" dxfId="4247" priority="277" operator="containsText" text="Deleted">
      <formula>NOT(ISERROR(SEARCH("Deleted",V3)))</formula>
    </cfRule>
    <cfRule type="containsText" dxfId="4246" priority="278" operator="containsText" text="Deferred">
      <formula>NOT(ISERROR(SEARCH("Deferred",V3)))</formula>
    </cfRule>
    <cfRule type="containsText" dxfId="4245" priority="279" operator="containsText" text="Completion date within reasonable tolerance">
      <formula>NOT(ISERROR(SEARCH("Completion date within reasonable tolerance",V3)))</formula>
    </cfRule>
    <cfRule type="containsText" dxfId="4244" priority="280" operator="containsText" text="completed significantly after target deadline">
      <formula>NOT(ISERROR(SEARCH("completed significantly after target deadline",V3)))</formula>
    </cfRule>
    <cfRule type="containsText" dxfId="4243" priority="281" operator="containsText" text="Off target">
      <formula>NOT(ISERROR(SEARCH("Off target",V3)))</formula>
    </cfRule>
    <cfRule type="containsText" dxfId="4242" priority="282" operator="containsText" text="Target partially met">
      <formula>NOT(ISERROR(SEARCH("Target partially met",V3)))</formula>
    </cfRule>
    <cfRule type="containsText" dxfId="4241" priority="283" operator="containsText" text="Numerical outturn within 10% tolerance">
      <formula>NOT(ISERROR(SEARCH("Numerical outturn within 10% tolerance",V3)))</formula>
    </cfRule>
    <cfRule type="containsText" dxfId="4240" priority="284" operator="containsText" text="Numerical outturn within 5% Tolerance">
      <formula>NOT(ISERROR(SEARCH("Numerical outturn within 5% Tolerance",V3)))</formula>
    </cfRule>
    <cfRule type="containsText" dxfId="4239" priority="285" operator="containsText" text="Fully Achieved">
      <formula>NOT(ISERROR(SEARCH("Fully Achieved",V3)))</formula>
    </cfRule>
    <cfRule type="containsText" dxfId="4238" priority="286" operator="containsText" text="Update Not Provided">
      <formula>NOT(ISERROR(SEARCH("Update Not Provided",V3)))</formula>
    </cfRule>
    <cfRule type="containsText" dxfId="4237" priority="305" operator="containsText" text="Deferred">
      <formula>NOT(ISERROR(SEARCH("Deferred",V3)))</formula>
    </cfRule>
    <cfRule type="containsText" dxfId="4236" priority="306" operator="containsText" text="Update Not Provided">
      <formula>NOT(ISERROR(SEARCH("Update Not Provided",V3)))</formula>
    </cfRule>
    <cfRule type="containsText" dxfId="4235" priority="307" operator="containsText" text="Not Yet Due">
      <formula>NOT(ISERROR(SEARCH("Not Yet Due",V3)))</formula>
    </cfRule>
    <cfRule type="containsText" dxfId="4234" priority="308" operator="containsText" text="Deleted">
      <formula>NOT(ISERROR(SEARCH("Deleted",V3)))</formula>
    </cfRule>
    <cfRule type="containsText" dxfId="4233" priority="309" operator="containsText" text="Completed Behind Schedule">
      <formula>NOT(ISERROR(SEARCH("Completed Behind Schedule",V3)))</formula>
    </cfRule>
    <cfRule type="containsText" dxfId="4232" priority="310" operator="containsText" text="Off Target">
      <formula>NOT(ISERROR(SEARCH("Off Target",V3)))</formula>
    </cfRule>
    <cfRule type="containsText" dxfId="4231" priority="311" operator="containsText" text="In Danger of Falling Behind Target">
      <formula>NOT(ISERROR(SEARCH("In Danger of Falling Behind Target",V3)))</formula>
    </cfRule>
    <cfRule type="containsText" dxfId="4230" priority="312" operator="containsText" text="Fully Achieved">
      <formula>NOT(ISERROR(SEARCH("Fully Achieved",V3)))</formula>
    </cfRule>
    <cfRule type="containsText" dxfId="4229" priority="313" operator="containsText" text="On track to be achieved">
      <formula>NOT(ISERROR(SEARCH("On track to be achieved",V3)))</formula>
    </cfRule>
  </conditionalFormatting>
  <conditionalFormatting sqref="M40 M43 M45 M47:M48 M3:M38 M50:M111">
    <cfRule type="containsText" dxfId="4228" priority="296" operator="containsText" text="Deferred">
      <formula>NOT(ISERROR(SEARCH("Deferred",M3)))</formula>
    </cfRule>
    <cfRule type="containsText" dxfId="4227" priority="297" operator="containsText" text="Update Not Provided">
      <formula>NOT(ISERROR(SEARCH("Update Not Provided",M3)))</formula>
    </cfRule>
    <cfRule type="containsText" dxfId="4226" priority="298" operator="containsText" text="Not Yet Due">
      <formula>NOT(ISERROR(SEARCH("Not Yet Due",M3)))</formula>
    </cfRule>
    <cfRule type="containsText" dxfId="4225" priority="299" operator="containsText" text="Deleted">
      <formula>NOT(ISERROR(SEARCH("Deleted",M3)))</formula>
    </cfRule>
    <cfRule type="containsText" dxfId="4224" priority="300" operator="containsText" text="Completed Behind Schedule">
      <formula>NOT(ISERROR(SEARCH("Completed Behind Schedule",M3)))</formula>
    </cfRule>
    <cfRule type="containsText" dxfId="4223" priority="301" operator="containsText" text="Off Target">
      <formula>NOT(ISERROR(SEARCH("Off Target",M3)))</formula>
    </cfRule>
    <cfRule type="containsText" dxfId="4222" priority="302" operator="containsText" text="In Danger of Falling Behind Target">
      <formula>NOT(ISERROR(SEARCH("In Danger of Falling Behind Target",M3)))</formula>
    </cfRule>
    <cfRule type="containsText" dxfId="4221" priority="303" operator="containsText" text="Fully Achieved">
      <formula>NOT(ISERROR(SEARCH("Fully Achieved",M3)))</formula>
    </cfRule>
    <cfRule type="containsText" dxfId="4220" priority="304" operator="containsText" text="On track to be achieved">
      <formula>NOT(ISERROR(SEARCH("On track to be achieved",M3)))</formula>
    </cfRule>
  </conditionalFormatting>
  <conditionalFormatting sqref="R3:R38 R40 R43 R45 R50:R111 R47:R48">
    <cfRule type="containsText" dxfId="4219" priority="287" operator="containsText" text="Deferred">
      <formula>NOT(ISERROR(SEARCH("Deferred",R3)))</formula>
    </cfRule>
    <cfRule type="containsText" dxfId="4218" priority="288" operator="containsText" text="Update Not Provided">
      <formula>NOT(ISERROR(SEARCH("Update Not Provided",R3)))</formula>
    </cfRule>
    <cfRule type="containsText" dxfId="4217" priority="289" operator="containsText" text="Not Yet Due">
      <formula>NOT(ISERROR(SEARCH("Not Yet Due",R3)))</formula>
    </cfRule>
    <cfRule type="containsText" dxfId="4216" priority="290" operator="containsText" text="Deleted">
      <formula>NOT(ISERROR(SEARCH("Deleted",R3)))</formula>
    </cfRule>
    <cfRule type="containsText" dxfId="4215" priority="291" operator="containsText" text="Completed Behind Schedule">
      <formula>NOT(ISERROR(SEARCH("Completed Behind Schedule",R3)))</formula>
    </cfRule>
    <cfRule type="containsText" dxfId="4214" priority="292" operator="containsText" text="Off Target">
      <formula>NOT(ISERROR(SEARCH("Off Target",R3)))</formula>
    </cfRule>
    <cfRule type="containsText" dxfId="4213" priority="293" operator="containsText" text="In Danger of Falling Behind Target">
      <formula>NOT(ISERROR(SEARCH("In Danger of Falling Behind Target",R3)))</formula>
    </cfRule>
    <cfRule type="containsText" dxfId="4212" priority="294" operator="containsText" text="Fully Achieved">
      <formula>NOT(ISERROR(SEARCH("Fully Achieved",R3)))</formula>
    </cfRule>
    <cfRule type="containsText" dxfId="4211" priority="295" operator="containsText" text="On track to be achieved">
      <formula>NOT(ISERROR(SEARCH("On track to be achieved",R3)))</formula>
    </cfRule>
  </conditionalFormatting>
  <conditionalFormatting sqref="H39">
    <cfRule type="containsText" dxfId="4210" priority="268" operator="containsText" text="Deferred">
      <formula>NOT(ISERROR(SEARCH("Deferred",H39)))</formula>
    </cfRule>
    <cfRule type="containsText" dxfId="4209" priority="269" operator="containsText" text="Update Not Provided">
      <formula>NOT(ISERROR(SEARCH("Update Not Provided",H39)))</formula>
    </cfRule>
    <cfRule type="containsText" dxfId="4208" priority="270" operator="containsText" text="Not Yet Due">
      <formula>NOT(ISERROR(SEARCH("Not Yet Due",H39)))</formula>
    </cfRule>
    <cfRule type="containsText" dxfId="4207" priority="271" operator="containsText" text="Deleted">
      <formula>NOT(ISERROR(SEARCH("Deleted",H39)))</formula>
    </cfRule>
    <cfRule type="containsText" dxfId="4206" priority="272" operator="containsText" text="Completed Behind Schedule">
      <formula>NOT(ISERROR(SEARCH("Completed Behind Schedule",H39)))</formula>
    </cfRule>
    <cfRule type="containsText" dxfId="4205" priority="273" operator="containsText" text="Off Target">
      <formula>NOT(ISERROR(SEARCH("Off Target",H39)))</formula>
    </cfRule>
    <cfRule type="containsText" dxfId="4204" priority="274" operator="containsText" text="In Danger of Falling Behind Target">
      <formula>NOT(ISERROR(SEARCH("In Danger of Falling Behind Target",H39)))</formula>
    </cfRule>
    <cfRule type="containsText" dxfId="4203" priority="275" operator="containsText" text="Fully Achieved">
      <formula>NOT(ISERROR(SEARCH("Fully Achieved",H39)))</formula>
    </cfRule>
    <cfRule type="containsText" dxfId="4202" priority="276" operator="containsText" text="On track to be achieved">
      <formula>NOT(ISERROR(SEARCH("On track to be achieved",H39)))</formula>
    </cfRule>
  </conditionalFormatting>
  <conditionalFormatting sqref="V39">
    <cfRule type="containsText" dxfId="4201" priority="231" operator="containsText" text="Deleted">
      <formula>NOT(ISERROR(SEARCH("Deleted",V39)))</formula>
    </cfRule>
    <cfRule type="containsText" dxfId="4200" priority="232" operator="containsText" text="Deferred">
      <formula>NOT(ISERROR(SEARCH("Deferred",V39)))</formula>
    </cfRule>
    <cfRule type="containsText" dxfId="4199" priority="233" operator="containsText" text="Completion date within reasonable tolerance">
      <formula>NOT(ISERROR(SEARCH("Completion date within reasonable tolerance",V39)))</formula>
    </cfRule>
    <cfRule type="containsText" dxfId="4198" priority="234" operator="containsText" text="completed significantly after target deadline">
      <formula>NOT(ISERROR(SEARCH("completed significantly after target deadline",V39)))</formula>
    </cfRule>
    <cfRule type="containsText" dxfId="4197" priority="235" operator="containsText" text="Off target">
      <formula>NOT(ISERROR(SEARCH("Off target",V39)))</formula>
    </cfRule>
    <cfRule type="containsText" dxfId="4196" priority="236" operator="containsText" text="Target partially met">
      <formula>NOT(ISERROR(SEARCH("Target partially met",V39)))</formula>
    </cfRule>
    <cfRule type="containsText" dxfId="4195" priority="237" operator="containsText" text="Numerical outturn within 10% tolerance">
      <formula>NOT(ISERROR(SEARCH("Numerical outturn within 10% tolerance",V39)))</formula>
    </cfRule>
    <cfRule type="containsText" dxfId="4194" priority="238" operator="containsText" text="Numerical outturn within 5% Tolerance">
      <formula>NOT(ISERROR(SEARCH("Numerical outturn within 5% Tolerance",V39)))</formula>
    </cfRule>
    <cfRule type="containsText" dxfId="4193" priority="239" operator="containsText" text="Fully Achieved">
      <formula>NOT(ISERROR(SEARCH("Fully Achieved",V39)))</formula>
    </cfRule>
    <cfRule type="containsText" dxfId="4192" priority="240" operator="containsText" text="Update Not Provided">
      <formula>NOT(ISERROR(SEARCH("Update Not Provided",V39)))</formula>
    </cfRule>
    <cfRule type="containsText" dxfId="4191" priority="259" operator="containsText" text="Deferred">
      <formula>NOT(ISERROR(SEARCH("Deferred",V39)))</formula>
    </cfRule>
    <cfRule type="containsText" dxfId="4190" priority="260" operator="containsText" text="Update Not Provided">
      <formula>NOT(ISERROR(SEARCH("Update Not Provided",V39)))</formula>
    </cfRule>
    <cfRule type="containsText" dxfId="4189" priority="261" operator="containsText" text="Not Yet Due">
      <formula>NOT(ISERROR(SEARCH("Not Yet Due",V39)))</formula>
    </cfRule>
    <cfRule type="containsText" dxfId="4188" priority="262" operator="containsText" text="Deleted">
      <formula>NOT(ISERROR(SEARCH("Deleted",V39)))</formula>
    </cfRule>
    <cfRule type="containsText" dxfId="4187" priority="263" operator="containsText" text="Completed Behind Schedule">
      <formula>NOT(ISERROR(SEARCH("Completed Behind Schedule",V39)))</formula>
    </cfRule>
    <cfRule type="containsText" dxfId="4186" priority="264" operator="containsText" text="Off Target">
      <formula>NOT(ISERROR(SEARCH("Off Target",V39)))</formula>
    </cfRule>
    <cfRule type="containsText" dxfId="4185" priority="265" operator="containsText" text="In Danger of Falling Behind Target">
      <formula>NOT(ISERROR(SEARCH("In Danger of Falling Behind Target",V39)))</formula>
    </cfRule>
    <cfRule type="containsText" dxfId="4184" priority="266" operator="containsText" text="Fully Achieved">
      <formula>NOT(ISERROR(SEARCH("Fully Achieved",V39)))</formula>
    </cfRule>
    <cfRule type="containsText" dxfId="4183" priority="267" operator="containsText" text="On track to be achieved">
      <formula>NOT(ISERROR(SEARCH("On track to be achieved",V39)))</formula>
    </cfRule>
  </conditionalFormatting>
  <conditionalFormatting sqref="M39">
    <cfRule type="containsText" dxfId="4182" priority="250" operator="containsText" text="Deferred">
      <formula>NOT(ISERROR(SEARCH("Deferred",M39)))</formula>
    </cfRule>
    <cfRule type="containsText" dxfId="4181" priority="251" operator="containsText" text="Update Not Provided">
      <formula>NOT(ISERROR(SEARCH("Update Not Provided",M39)))</formula>
    </cfRule>
    <cfRule type="containsText" dxfId="4180" priority="252" operator="containsText" text="Not Yet Due">
      <formula>NOT(ISERROR(SEARCH("Not Yet Due",M39)))</formula>
    </cfRule>
    <cfRule type="containsText" dxfId="4179" priority="253" operator="containsText" text="Deleted">
      <formula>NOT(ISERROR(SEARCH("Deleted",M39)))</formula>
    </cfRule>
    <cfRule type="containsText" dxfId="4178" priority="254" operator="containsText" text="Completed Behind Schedule">
      <formula>NOT(ISERROR(SEARCH("Completed Behind Schedule",M39)))</formula>
    </cfRule>
    <cfRule type="containsText" dxfId="4177" priority="255" operator="containsText" text="Off Target">
      <formula>NOT(ISERROR(SEARCH("Off Target",M39)))</formula>
    </cfRule>
    <cfRule type="containsText" dxfId="4176" priority="256" operator="containsText" text="In Danger of Falling Behind Target">
      <formula>NOT(ISERROR(SEARCH("In Danger of Falling Behind Target",M39)))</formula>
    </cfRule>
    <cfRule type="containsText" dxfId="4175" priority="257" operator="containsText" text="Fully Achieved">
      <formula>NOT(ISERROR(SEARCH("Fully Achieved",M39)))</formula>
    </cfRule>
    <cfRule type="containsText" dxfId="4174" priority="258" operator="containsText" text="On track to be achieved">
      <formula>NOT(ISERROR(SEARCH("On track to be achieved",M39)))</formula>
    </cfRule>
  </conditionalFormatting>
  <conditionalFormatting sqref="R39">
    <cfRule type="containsText" dxfId="4173" priority="241" operator="containsText" text="Deferred">
      <formula>NOT(ISERROR(SEARCH("Deferred",R39)))</formula>
    </cfRule>
    <cfRule type="containsText" dxfId="4172" priority="242" operator="containsText" text="Update Not Provided">
      <formula>NOT(ISERROR(SEARCH("Update Not Provided",R39)))</formula>
    </cfRule>
    <cfRule type="containsText" dxfId="4171" priority="243" operator="containsText" text="Not Yet Due">
      <formula>NOT(ISERROR(SEARCH("Not Yet Due",R39)))</formula>
    </cfRule>
    <cfRule type="containsText" dxfId="4170" priority="244" operator="containsText" text="Deleted">
      <formula>NOT(ISERROR(SEARCH("Deleted",R39)))</formula>
    </cfRule>
    <cfRule type="containsText" dxfId="4169" priority="245" operator="containsText" text="Completed Behind Schedule">
      <formula>NOT(ISERROR(SEARCH("Completed Behind Schedule",R39)))</formula>
    </cfRule>
    <cfRule type="containsText" dxfId="4168" priority="246" operator="containsText" text="Off Target">
      <formula>NOT(ISERROR(SEARCH("Off Target",R39)))</formula>
    </cfRule>
    <cfRule type="containsText" dxfId="4167" priority="247" operator="containsText" text="In Danger of Falling Behind Target">
      <formula>NOT(ISERROR(SEARCH("In Danger of Falling Behind Target",R39)))</formula>
    </cfRule>
    <cfRule type="containsText" dxfId="4166" priority="248" operator="containsText" text="Fully Achieved">
      <formula>NOT(ISERROR(SEARCH("Fully Achieved",R39)))</formula>
    </cfRule>
    <cfRule type="containsText" dxfId="4165" priority="249" operator="containsText" text="On track to be achieved">
      <formula>NOT(ISERROR(SEARCH("On track to be achieved",R39)))</formula>
    </cfRule>
  </conditionalFormatting>
  <conditionalFormatting sqref="H41">
    <cfRule type="containsText" dxfId="4164" priority="222" operator="containsText" text="Deferred">
      <formula>NOT(ISERROR(SEARCH("Deferred",H41)))</formula>
    </cfRule>
    <cfRule type="containsText" dxfId="4163" priority="223" operator="containsText" text="Update Not Provided">
      <formula>NOT(ISERROR(SEARCH("Update Not Provided",H41)))</formula>
    </cfRule>
    <cfRule type="containsText" dxfId="4162" priority="224" operator="containsText" text="Not Yet Due">
      <formula>NOT(ISERROR(SEARCH("Not Yet Due",H41)))</formula>
    </cfRule>
    <cfRule type="containsText" dxfId="4161" priority="225" operator="containsText" text="Deleted">
      <formula>NOT(ISERROR(SEARCH("Deleted",H41)))</formula>
    </cfRule>
    <cfRule type="containsText" dxfId="4160" priority="226" operator="containsText" text="Completed Behind Schedule">
      <formula>NOT(ISERROR(SEARCH("Completed Behind Schedule",H41)))</formula>
    </cfRule>
    <cfRule type="containsText" dxfId="4159" priority="227" operator="containsText" text="Off Target">
      <formula>NOT(ISERROR(SEARCH("Off Target",H41)))</formula>
    </cfRule>
    <cfRule type="containsText" dxfId="4158" priority="228" operator="containsText" text="In Danger of Falling Behind Target">
      <formula>NOT(ISERROR(SEARCH("In Danger of Falling Behind Target",H41)))</formula>
    </cfRule>
    <cfRule type="containsText" dxfId="4157" priority="229" operator="containsText" text="Fully Achieved">
      <formula>NOT(ISERROR(SEARCH("Fully Achieved",H41)))</formula>
    </cfRule>
    <cfRule type="containsText" dxfId="4156" priority="230" operator="containsText" text="On track to be achieved">
      <formula>NOT(ISERROR(SEARCH("On track to be achieved",H41)))</formula>
    </cfRule>
  </conditionalFormatting>
  <conditionalFormatting sqref="V41">
    <cfRule type="containsText" dxfId="4155" priority="185" operator="containsText" text="Deleted">
      <formula>NOT(ISERROR(SEARCH("Deleted",V41)))</formula>
    </cfRule>
    <cfRule type="containsText" dxfId="4154" priority="186" operator="containsText" text="Deferred">
      <formula>NOT(ISERROR(SEARCH("Deferred",V41)))</formula>
    </cfRule>
    <cfRule type="containsText" dxfId="4153" priority="187" operator="containsText" text="Completion date within reasonable tolerance">
      <formula>NOT(ISERROR(SEARCH("Completion date within reasonable tolerance",V41)))</formula>
    </cfRule>
    <cfRule type="containsText" dxfId="4152" priority="188" operator="containsText" text="completed significantly after target deadline">
      <formula>NOT(ISERROR(SEARCH("completed significantly after target deadline",V41)))</formula>
    </cfRule>
    <cfRule type="containsText" dxfId="4151" priority="189" operator="containsText" text="Off target">
      <formula>NOT(ISERROR(SEARCH("Off target",V41)))</formula>
    </cfRule>
    <cfRule type="containsText" dxfId="4150" priority="190" operator="containsText" text="Target partially met">
      <formula>NOT(ISERROR(SEARCH("Target partially met",V41)))</formula>
    </cfRule>
    <cfRule type="containsText" dxfId="4149" priority="191" operator="containsText" text="Numerical outturn within 10% tolerance">
      <formula>NOT(ISERROR(SEARCH("Numerical outturn within 10% tolerance",V41)))</formula>
    </cfRule>
    <cfRule type="containsText" dxfId="4148" priority="192" operator="containsText" text="Numerical outturn within 5% Tolerance">
      <formula>NOT(ISERROR(SEARCH("Numerical outturn within 5% Tolerance",V41)))</formula>
    </cfRule>
    <cfRule type="containsText" dxfId="4147" priority="193" operator="containsText" text="Fully Achieved">
      <formula>NOT(ISERROR(SEARCH("Fully Achieved",V41)))</formula>
    </cfRule>
    <cfRule type="containsText" dxfId="4146" priority="194" operator="containsText" text="Update Not Provided">
      <formula>NOT(ISERROR(SEARCH("Update Not Provided",V41)))</formula>
    </cfRule>
    <cfRule type="containsText" dxfId="4145" priority="213" operator="containsText" text="Deferred">
      <formula>NOT(ISERROR(SEARCH("Deferred",V41)))</formula>
    </cfRule>
    <cfRule type="containsText" dxfId="4144" priority="214" operator="containsText" text="Update Not Provided">
      <formula>NOT(ISERROR(SEARCH("Update Not Provided",V41)))</formula>
    </cfRule>
    <cfRule type="containsText" dxfId="4143" priority="215" operator="containsText" text="Not Yet Due">
      <formula>NOT(ISERROR(SEARCH("Not Yet Due",V41)))</formula>
    </cfRule>
    <cfRule type="containsText" dxfId="4142" priority="216" operator="containsText" text="Deleted">
      <formula>NOT(ISERROR(SEARCH("Deleted",V41)))</formula>
    </cfRule>
    <cfRule type="containsText" dxfId="4141" priority="217" operator="containsText" text="Completed Behind Schedule">
      <formula>NOT(ISERROR(SEARCH("Completed Behind Schedule",V41)))</formula>
    </cfRule>
    <cfRule type="containsText" dxfId="4140" priority="218" operator="containsText" text="Off Target">
      <formula>NOT(ISERROR(SEARCH("Off Target",V41)))</formula>
    </cfRule>
    <cfRule type="containsText" dxfId="4139" priority="219" operator="containsText" text="In Danger of Falling Behind Target">
      <formula>NOT(ISERROR(SEARCH("In Danger of Falling Behind Target",V41)))</formula>
    </cfRule>
    <cfRule type="containsText" dxfId="4138" priority="220" operator="containsText" text="Fully Achieved">
      <formula>NOT(ISERROR(SEARCH("Fully Achieved",V41)))</formula>
    </cfRule>
    <cfRule type="containsText" dxfId="4137" priority="221" operator="containsText" text="On track to be achieved">
      <formula>NOT(ISERROR(SEARCH("On track to be achieved",V41)))</formula>
    </cfRule>
  </conditionalFormatting>
  <conditionalFormatting sqref="M41">
    <cfRule type="containsText" dxfId="4136" priority="204" operator="containsText" text="Deferred">
      <formula>NOT(ISERROR(SEARCH("Deferred",M41)))</formula>
    </cfRule>
    <cfRule type="containsText" dxfId="4135" priority="205" operator="containsText" text="Update Not Provided">
      <formula>NOT(ISERROR(SEARCH("Update Not Provided",M41)))</formula>
    </cfRule>
    <cfRule type="containsText" dxfId="4134" priority="206" operator="containsText" text="Not Yet Due">
      <formula>NOT(ISERROR(SEARCH("Not Yet Due",M41)))</formula>
    </cfRule>
    <cfRule type="containsText" dxfId="4133" priority="207" operator="containsText" text="Deleted">
      <formula>NOT(ISERROR(SEARCH("Deleted",M41)))</formula>
    </cfRule>
    <cfRule type="containsText" dxfId="4132" priority="208" operator="containsText" text="Completed Behind Schedule">
      <formula>NOT(ISERROR(SEARCH("Completed Behind Schedule",M41)))</formula>
    </cfRule>
    <cfRule type="containsText" dxfId="4131" priority="209" operator="containsText" text="Off Target">
      <formula>NOT(ISERROR(SEARCH("Off Target",M41)))</formula>
    </cfRule>
    <cfRule type="containsText" dxfId="4130" priority="210" operator="containsText" text="In Danger of Falling Behind Target">
      <formula>NOT(ISERROR(SEARCH("In Danger of Falling Behind Target",M41)))</formula>
    </cfRule>
    <cfRule type="containsText" dxfId="4129" priority="211" operator="containsText" text="Fully Achieved">
      <formula>NOT(ISERROR(SEARCH("Fully Achieved",M41)))</formula>
    </cfRule>
    <cfRule type="containsText" dxfId="4128" priority="212" operator="containsText" text="On track to be achieved">
      <formula>NOT(ISERROR(SEARCH("On track to be achieved",M41)))</formula>
    </cfRule>
  </conditionalFormatting>
  <conditionalFormatting sqref="R41">
    <cfRule type="containsText" dxfId="4127" priority="195" operator="containsText" text="Deferred">
      <formula>NOT(ISERROR(SEARCH("Deferred",R41)))</formula>
    </cfRule>
    <cfRule type="containsText" dxfId="4126" priority="196" operator="containsText" text="Update Not Provided">
      <formula>NOT(ISERROR(SEARCH("Update Not Provided",R41)))</formula>
    </cfRule>
    <cfRule type="containsText" dxfId="4125" priority="197" operator="containsText" text="Not Yet Due">
      <formula>NOT(ISERROR(SEARCH("Not Yet Due",R41)))</formula>
    </cfRule>
    <cfRule type="containsText" dxfId="4124" priority="198" operator="containsText" text="Deleted">
      <formula>NOT(ISERROR(SEARCH("Deleted",R41)))</formula>
    </cfRule>
    <cfRule type="containsText" dxfId="4123" priority="199" operator="containsText" text="Completed Behind Schedule">
      <formula>NOT(ISERROR(SEARCH("Completed Behind Schedule",R41)))</formula>
    </cfRule>
    <cfRule type="containsText" dxfId="4122" priority="200" operator="containsText" text="Off Target">
      <formula>NOT(ISERROR(SEARCH("Off Target",R41)))</formula>
    </cfRule>
    <cfRule type="containsText" dxfId="4121" priority="201" operator="containsText" text="In Danger of Falling Behind Target">
      <formula>NOT(ISERROR(SEARCH("In Danger of Falling Behind Target",R41)))</formula>
    </cfRule>
    <cfRule type="containsText" dxfId="4120" priority="202" operator="containsText" text="Fully Achieved">
      <formula>NOT(ISERROR(SEARCH("Fully Achieved",R41)))</formula>
    </cfRule>
    <cfRule type="containsText" dxfId="4119" priority="203" operator="containsText" text="On track to be achieved">
      <formula>NOT(ISERROR(SEARCH("On track to be achieved",R41)))</formula>
    </cfRule>
  </conditionalFormatting>
  <conditionalFormatting sqref="H42">
    <cfRule type="containsText" dxfId="4118" priority="176" operator="containsText" text="Deferred">
      <formula>NOT(ISERROR(SEARCH("Deferred",H42)))</formula>
    </cfRule>
    <cfRule type="containsText" dxfId="4117" priority="177" operator="containsText" text="Update Not Provided">
      <formula>NOT(ISERROR(SEARCH("Update Not Provided",H42)))</formula>
    </cfRule>
    <cfRule type="containsText" dxfId="4116" priority="178" operator="containsText" text="Not Yet Due">
      <formula>NOT(ISERROR(SEARCH("Not Yet Due",H42)))</formula>
    </cfRule>
    <cfRule type="containsText" dxfId="4115" priority="179" operator="containsText" text="Deleted">
      <formula>NOT(ISERROR(SEARCH("Deleted",H42)))</formula>
    </cfRule>
    <cfRule type="containsText" dxfId="4114" priority="180" operator="containsText" text="Completed Behind Schedule">
      <formula>NOT(ISERROR(SEARCH("Completed Behind Schedule",H42)))</formula>
    </cfRule>
    <cfRule type="containsText" dxfId="4113" priority="181" operator="containsText" text="Off Target">
      <formula>NOT(ISERROR(SEARCH("Off Target",H42)))</formula>
    </cfRule>
    <cfRule type="containsText" dxfId="4112" priority="182" operator="containsText" text="In Danger of Falling Behind Target">
      <formula>NOT(ISERROR(SEARCH("In Danger of Falling Behind Target",H42)))</formula>
    </cfRule>
    <cfRule type="containsText" dxfId="4111" priority="183" operator="containsText" text="Fully Achieved">
      <formula>NOT(ISERROR(SEARCH("Fully Achieved",H42)))</formula>
    </cfRule>
    <cfRule type="containsText" dxfId="4110" priority="184" operator="containsText" text="On track to be achieved">
      <formula>NOT(ISERROR(SEARCH("On track to be achieved",H42)))</formula>
    </cfRule>
  </conditionalFormatting>
  <conditionalFormatting sqref="V42">
    <cfRule type="containsText" dxfId="4109" priority="139" operator="containsText" text="Deleted">
      <formula>NOT(ISERROR(SEARCH("Deleted",V42)))</formula>
    </cfRule>
    <cfRule type="containsText" dxfId="4108" priority="140" operator="containsText" text="Deferred">
      <formula>NOT(ISERROR(SEARCH("Deferred",V42)))</formula>
    </cfRule>
    <cfRule type="containsText" dxfId="4107" priority="141" operator="containsText" text="Completion date within reasonable tolerance">
      <formula>NOT(ISERROR(SEARCH("Completion date within reasonable tolerance",V42)))</formula>
    </cfRule>
    <cfRule type="containsText" dxfId="4106" priority="142" operator="containsText" text="completed significantly after target deadline">
      <formula>NOT(ISERROR(SEARCH("completed significantly after target deadline",V42)))</formula>
    </cfRule>
    <cfRule type="containsText" dxfId="4105" priority="143" operator="containsText" text="Off target">
      <formula>NOT(ISERROR(SEARCH("Off target",V42)))</formula>
    </cfRule>
    <cfRule type="containsText" dxfId="4104" priority="144" operator="containsText" text="Target partially met">
      <formula>NOT(ISERROR(SEARCH("Target partially met",V42)))</formula>
    </cfRule>
    <cfRule type="containsText" dxfId="4103" priority="145" operator="containsText" text="Numerical outturn within 10% tolerance">
      <formula>NOT(ISERROR(SEARCH("Numerical outturn within 10% tolerance",V42)))</formula>
    </cfRule>
    <cfRule type="containsText" dxfId="4102" priority="146" operator="containsText" text="Numerical outturn within 5% Tolerance">
      <formula>NOT(ISERROR(SEARCH("Numerical outturn within 5% Tolerance",V42)))</formula>
    </cfRule>
    <cfRule type="containsText" dxfId="4101" priority="147" operator="containsText" text="Fully Achieved">
      <formula>NOT(ISERROR(SEARCH("Fully Achieved",V42)))</formula>
    </cfRule>
    <cfRule type="containsText" dxfId="4100" priority="148" operator="containsText" text="Update Not Provided">
      <formula>NOT(ISERROR(SEARCH("Update Not Provided",V42)))</formula>
    </cfRule>
    <cfRule type="containsText" dxfId="4099" priority="167" operator="containsText" text="Deferred">
      <formula>NOT(ISERROR(SEARCH("Deferred",V42)))</formula>
    </cfRule>
    <cfRule type="containsText" dxfId="4098" priority="168" operator="containsText" text="Update Not Provided">
      <formula>NOT(ISERROR(SEARCH("Update Not Provided",V42)))</formula>
    </cfRule>
    <cfRule type="containsText" dxfId="4097" priority="169" operator="containsText" text="Not Yet Due">
      <formula>NOT(ISERROR(SEARCH("Not Yet Due",V42)))</formula>
    </cfRule>
    <cfRule type="containsText" dxfId="4096" priority="170" operator="containsText" text="Deleted">
      <formula>NOT(ISERROR(SEARCH("Deleted",V42)))</formula>
    </cfRule>
    <cfRule type="containsText" dxfId="4095" priority="171" operator="containsText" text="Completed Behind Schedule">
      <formula>NOT(ISERROR(SEARCH("Completed Behind Schedule",V42)))</formula>
    </cfRule>
    <cfRule type="containsText" dxfId="4094" priority="172" operator="containsText" text="Off Target">
      <formula>NOT(ISERROR(SEARCH("Off Target",V42)))</formula>
    </cfRule>
    <cfRule type="containsText" dxfId="4093" priority="173" operator="containsText" text="In Danger of Falling Behind Target">
      <formula>NOT(ISERROR(SEARCH("In Danger of Falling Behind Target",V42)))</formula>
    </cfRule>
    <cfRule type="containsText" dxfId="4092" priority="174" operator="containsText" text="Fully Achieved">
      <formula>NOT(ISERROR(SEARCH("Fully Achieved",V42)))</formula>
    </cfRule>
    <cfRule type="containsText" dxfId="4091" priority="175" operator="containsText" text="On track to be achieved">
      <formula>NOT(ISERROR(SEARCH("On track to be achieved",V42)))</formula>
    </cfRule>
  </conditionalFormatting>
  <conditionalFormatting sqref="M42">
    <cfRule type="containsText" dxfId="4090" priority="158" operator="containsText" text="Deferred">
      <formula>NOT(ISERROR(SEARCH("Deferred",M42)))</formula>
    </cfRule>
    <cfRule type="containsText" dxfId="4089" priority="159" operator="containsText" text="Update Not Provided">
      <formula>NOT(ISERROR(SEARCH("Update Not Provided",M42)))</formula>
    </cfRule>
    <cfRule type="containsText" dxfId="4088" priority="160" operator="containsText" text="Not Yet Due">
      <formula>NOT(ISERROR(SEARCH("Not Yet Due",M42)))</formula>
    </cfRule>
    <cfRule type="containsText" dxfId="4087" priority="161" operator="containsText" text="Deleted">
      <formula>NOT(ISERROR(SEARCH("Deleted",M42)))</formula>
    </cfRule>
    <cfRule type="containsText" dxfId="4086" priority="162" operator="containsText" text="Completed Behind Schedule">
      <formula>NOT(ISERROR(SEARCH("Completed Behind Schedule",M42)))</formula>
    </cfRule>
    <cfRule type="containsText" dxfId="4085" priority="163" operator="containsText" text="Off Target">
      <formula>NOT(ISERROR(SEARCH("Off Target",M42)))</formula>
    </cfRule>
    <cfRule type="containsText" dxfId="4084" priority="164" operator="containsText" text="In Danger of Falling Behind Target">
      <formula>NOT(ISERROR(SEARCH("In Danger of Falling Behind Target",M42)))</formula>
    </cfRule>
    <cfRule type="containsText" dxfId="4083" priority="165" operator="containsText" text="Fully Achieved">
      <formula>NOT(ISERROR(SEARCH("Fully Achieved",M42)))</formula>
    </cfRule>
    <cfRule type="containsText" dxfId="4082" priority="166" operator="containsText" text="On track to be achieved">
      <formula>NOT(ISERROR(SEARCH("On track to be achieved",M42)))</formula>
    </cfRule>
  </conditionalFormatting>
  <conditionalFormatting sqref="R42">
    <cfRule type="containsText" dxfId="4081" priority="149" operator="containsText" text="Deferred">
      <formula>NOT(ISERROR(SEARCH("Deferred",R42)))</formula>
    </cfRule>
    <cfRule type="containsText" dxfId="4080" priority="150" operator="containsText" text="Update Not Provided">
      <formula>NOT(ISERROR(SEARCH("Update Not Provided",R42)))</formula>
    </cfRule>
    <cfRule type="containsText" dxfId="4079" priority="151" operator="containsText" text="Not Yet Due">
      <formula>NOT(ISERROR(SEARCH("Not Yet Due",R42)))</formula>
    </cfRule>
    <cfRule type="containsText" dxfId="4078" priority="152" operator="containsText" text="Deleted">
      <formula>NOT(ISERROR(SEARCH("Deleted",R42)))</formula>
    </cfRule>
    <cfRule type="containsText" dxfId="4077" priority="153" operator="containsText" text="Completed Behind Schedule">
      <formula>NOT(ISERROR(SEARCH("Completed Behind Schedule",R42)))</formula>
    </cfRule>
    <cfRule type="containsText" dxfId="4076" priority="154" operator="containsText" text="Off Target">
      <formula>NOT(ISERROR(SEARCH("Off Target",R42)))</formula>
    </cfRule>
    <cfRule type="containsText" dxfId="4075" priority="155" operator="containsText" text="In Danger of Falling Behind Target">
      <formula>NOT(ISERROR(SEARCH("In Danger of Falling Behind Target",R42)))</formula>
    </cfRule>
    <cfRule type="containsText" dxfId="4074" priority="156" operator="containsText" text="Fully Achieved">
      <formula>NOT(ISERROR(SEARCH("Fully Achieved",R42)))</formula>
    </cfRule>
    <cfRule type="containsText" dxfId="4073" priority="157" operator="containsText" text="On track to be achieved">
      <formula>NOT(ISERROR(SEARCH("On track to be achieved",R42)))</formula>
    </cfRule>
  </conditionalFormatting>
  <conditionalFormatting sqref="H44">
    <cfRule type="containsText" dxfId="4072" priority="130" operator="containsText" text="Deferred">
      <formula>NOT(ISERROR(SEARCH("Deferred",H44)))</formula>
    </cfRule>
    <cfRule type="containsText" dxfId="4071" priority="131" operator="containsText" text="Update Not Provided">
      <formula>NOT(ISERROR(SEARCH("Update Not Provided",H44)))</formula>
    </cfRule>
    <cfRule type="containsText" dxfId="4070" priority="132" operator="containsText" text="Not Yet Due">
      <formula>NOT(ISERROR(SEARCH("Not Yet Due",H44)))</formula>
    </cfRule>
    <cfRule type="containsText" dxfId="4069" priority="133" operator="containsText" text="Deleted">
      <formula>NOT(ISERROR(SEARCH("Deleted",H44)))</formula>
    </cfRule>
    <cfRule type="containsText" dxfId="4068" priority="134" operator="containsText" text="Completed Behind Schedule">
      <formula>NOT(ISERROR(SEARCH("Completed Behind Schedule",H44)))</formula>
    </cfRule>
    <cfRule type="containsText" dxfId="4067" priority="135" operator="containsText" text="Off Target">
      <formula>NOT(ISERROR(SEARCH("Off Target",H44)))</formula>
    </cfRule>
    <cfRule type="containsText" dxfId="4066" priority="136" operator="containsText" text="In Danger of Falling Behind Target">
      <formula>NOT(ISERROR(SEARCH("In Danger of Falling Behind Target",H44)))</formula>
    </cfRule>
    <cfRule type="containsText" dxfId="4065" priority="137" operator="containsText" text="Fully Achieved">
      <formula>NOT(ISERROR(SEARCH("Fully Achieved",H44)))</formula>
    </cfRule>
    <cfRule type="containsText" dxfId="4064" priority="138" operator="containsText" text="On track to be achieved">
      <formula>NOT(ISERROR(SEARCH("On track to be achieved",H44)))</formula>
    </cfRule>
  </conditionalFormatting>
  <conditionalFormatting sqref="V44">
    <cfRule type="containsText" dxfId="4063" priority="93" operator="containsText" text="Deleted">
      <formula>NOT(ISERROR(SEARCH("Deleted",V44)))</formula>
    </cfRule>
    <cfRule type="containsText" dxfId="4062" priority="94" operator="containsText" text="Deferred">
      <formula>NOT(ISERROR(SEARCH("Deferred",V44)))</formula>
    </cfRule>
    <cfRule type="containsText" dxfId="4061" priority="95" operator="containsText" text="Completion date within reasonable tolerance">
      <formula>NOT(ISERROR(SEARCH("Completion date within reasonable tolerance",V44)))</formula>
    </cfRule>
    <cfRule type="containsText" dxfId="4060" priority="96" operator="containsText" text="completed significantly after target deadline">
      <formula>NOT(ISERROR(SEARCH("completed significantly after target deadline",V44)))</formula>
    </cfRule>
    <cfRule type="containsText" dxfId="4059" priority="97" operator="containsText" text="Off target">
      <formula>NOT(ISERROR(SEARCH("Off target",V44)))</formula>
    </cfRule>
    <cfRule type="containsText" dxfId="4058" priority="98" operator="containsText" text="Target partially met">
      <formula>NOT(ISERROR(SEARCH("Target partially met",V44)))</formula>
    </cfRule>
    <cfRule type="containsText" dxfId="4057" priority="99" operator="containsText" text="Numerical outturn within 10% tolerance">
      <formula>NOT(ISERROR(SEARCH("Numerical outturn within 10% tolerance",V44)))</formula>
    </cfRule>
    <cfRule type="containsText" dxfId="4056" priority="100" operator="containsText" text="Numerical outturn within 5% Tolerance">
      <formula>NOT(ISERROR(SEARCH("Numerical outturn within 5% Tolerance",V44)))</formula>
    </cfRule>
    <cfRule type="containsText" dxfId="4055" priority="101" operator="containsText" text="Fully Achieved">
      <formula>NOT(ISERROR(SEARCH("Fully Achieved",V44)))</formula>
    </cfRule>
    <cfRule type="containsText" dxfId="4054" priority="102" operator="containsText" text="Update Not Provided">
      <formula>NOT(ISERROR(SEARCH("Update Not Provided",V44)))</formula>
    </cfRule>
    <cfRule type="containsText" dxfId="4053" priority="121" operator="containsText" text="Deferred">
      <formula>NOT(ISERROR(SEARCH("Deferred",V44)))</formula>
    </cfRule>
    <cfRule type="containsText" dxfId="4052" priority="122" operator="containsText" text="Update Not Provided">
      <formula>NOT(ISERROR(SEARCH("Update Not Provided",V44)))</formula>
    </cfRule>
    <cfRule type="containsText" dxfId="4051" priority="123" operator="containsText" text="Not Yet Due">
      <formula>NOT(ISERROR(SEARCH("Not Yet Due",V44)))</formula>
    </cfRule>
    <cfRule type="containsText" dxfId="4050" priority="124" operator="containsText" text="Deleted">
      <formula>NOT(ISERROR(SEARCH("Deleted",V44)))</formula>
    </cfRule>
    <cfRule type="containsText" dxfId="4049" priority="125" operator="containsText" text="Completed Behind Schedule">
      <formula>NOT(ISERROR(SEARCH("Completed Behind Schedule",V44)))</formula>
    </cfRule>
    <cfRule type="containsText" dxfId="4048" priority="126" operator="containsText" text="Off Target">
      <formula>NOT(ISERROR(SEARCH("Off Target",V44)))</formula>
    </cfRule>
    <cfRule type="containsText" dxfId="4047" priority="127" operator="containsText" text="In Danger of Falling Behind Target">
      <formula>NOT(ISERROR(SEARCH("In Danger of Falling Behind Target",V44)))</formula>
    </cfRule>
    <cfRule type="containsText" dxfId="4046" priority="128" operator="containsText" text="Fully Achieved">
      <formula>NOT(ISERROR(SEARCH("Fully Achieved",V44)))</formula>
    </cfRule>
    <cfRule type="containsText" dxfId="4045" priority="129" operator="containsText" text="On track to be achieved">
      <formula>NOT(ISERROR(SEARCH("On track to be achieved",V44)))</formula>
    </cfRule>
  </conditionalFormatting>
  <conditionalFormatting sqref="M44">
    <cfRule type="containsText" dxfId="4044" priority="112" operator="containsText" text="Deferred">
      <formula>NOT(ISERROR(SEARCH("Deferred",M44)))</formula>
    </cfRule>
    <cfRule type="containsText" dxfId="4043" priority="113" operator="containsText" text="Update Not Provided">
      <formula>NOT(ISERROR(SEARCH("Update Not Provided",M44)))</formula>
    </cfRule>
    <cfRule type="containsText" dxfId="4042" priority="114" operator="containsText" text="Not Yet Due">
      <formula>NOT(ISERROR(SEARCH("Not Yet Due",M44)))</formula>
    </cfRule>
    <cfRule type="containsText" dxfId="4041" priority="115" operator="containsText" text="Deleted">
      <formula>NOT(ISERROR(SEARCH("Deleted",M44)))</formula>
    </cfRule>
    <cfRule type="containsText" dxfId="4040" priority="116" operator="containsText" text="Completed Behind Schedule">
      <formula>NOT(ISERROR(SEARCH("Completed Behind Schedule",M44)))</formula>
    </cfRule>
    <cfRule type="containsText" dxfId="4039" priority="117" operator="containsText" text="Off Target">
      <formula>NOT(ISERROR(SEARCH("Off Target",M44)))</formula>
    </cfRule>
    <cfRule type="containsText" dxfId="4038" priority="118" operator="containsText" text="In Danger of Falling Behind Target">
      <formula>NOT(ISERROR(SEARCH("In Danger of Falling Behind Target",M44)))</formula>
    </cfRule>
    <cfRule type="containsText" dxfId="4037" priority="119" operator="containsText" text="Fully Achieved">
      <formula>NOT(ISERROR(SEARCH("Fully Achieved",M44)))</formula>
    </cfRule>
    <cfRule type="containsText" dxfId="4036" priority="120" operator="containsText" text="On track to be achieved">
      <formula>NOT(ISERROR(SEARCH("On track to be achieved",M44)))</formula>
    </cfRule>
  </conditionalFormatting>
  <conditionalFormatting sqref="R44">
    <cfRule type="containsText" dxfId="4035" priority="103" operator="containsText" text="Deferred">
      <formula>NOT(ISERROR(SEARCH("Deferred",R44)))</formula>
    </cfRule>
    <cfRule type="containsText" dxfId="4034" priority="104" operator="containsText" text="Update Not Provided">
      <formula>NOT(ISERROR(SEARCH("Update Not Provided",R44)))</formula>
    </cfRule>
    <cfRule type="containsText" dxfId="4033" priority="105" operator="containsText" text="Not Yet Due">
      <formula>NOT(ISERROR(SEARCH("Not Yet Due",R44)))</formula>
    </cfRule>
    <cfRule type="containsText" dxfId="4032" priority="106" operator="containsText" text="Deleted">
      <formula>NOT(ISERROR(SEARCH("Deleted",R44)))</formula>
    </cfRule>
    <cfRule type="containsText" dxfId="4031" priority="107" operator="containsText" text="Completed Behind Schedule">
      <formula>NOT(ISERROR(SEARCH("Completed Behind Schedule",R44)))</formula>
    </cfRule>
    <cfRule type="containsText" dxfId="4030" priority="108" operator="containsText" text="Off Target">
      <formula>NOT(ISERROR(SEARCH("Off Target",R44)))</formula>
    </cfRule>
    <cfRule type="containsText" dxfId="4029" priority="109" operator="containsText" text="In Danger of Falling Behind Target">
      <formula>NOT(ISERROR(SEARCH("In Danger of Falling Behind Target",R44)))</formula>
    </cfRule>
    <cfRule type="containsText" dxfId="4028" priority="110" operator="containsText" text="Fully Achieved">
      <formula>NOT(ISERROR(SEARCH("Fully Achieved",R44)))</formula>
    </cfRule>
    <cfRule type="containsText" dxfId="4027" priority="111" operator="containsText" text="On track to be achieved">
      <formula>NOT(ISERROR(SEARCH("On track to be achieved",R44)))</formula>
    </cfRule>
  </conditionalFormatting>
  <conditionalFormatting sqref="H49">
    <cfRule type="containsText" dxfId="4026" priority="84" operator="containsText" text="Deferred">
      <formula>NOT(ISERROR(SEARCH("Deferred",H49)))</formula>
    </cfRule>
    <cfRule type="containsText" dxfId="4025" priority="85" operator="containsText" text="Update Not Provided">
      <formula>NOT(ISERROR(SEARCH("Update Not Provided",H49)))</formula>
    </cfRule>
    <cfRule type="containsText" dxfId="4024" priority="86" operator="containsText" text="Not Yet Due">
      <formula>NOT(ISERROR(SEARCH("Not Yet Due",H49)))</formula>
    </cfRule>
    <cfRule type="containsText" dxfId="4023" priority="87" operator="containsText" text="Deleted">
      <formula>NOT(ISERROR(SEARCH("Deleted",H49)))</formula>
    </cfRule>
    <cfRule type="containsText" dxfId="4022" priority="88" operator="containsText" text="Completed Behind Schedule">
      <formula>NOT(ISERROR(SEARCH("Completed Behind Schedule",H49)))</formula>
    </cfRule>
    <cfRule type="containsText" dxfId="4021" priority="89" operator="containsText" text="Off Target">
      <formula>NOT(ISERROR(SEARCH("Off Target",H49)))</formula>
    </cfRule>
    <cfRule type="containsText" dxfId="4020" priority="90" operator="containsText" text="In Danger of Falling Behind Target">
      <formula>NOT(ISERROR(SEARCH("In Danger of Falling Behind Target",H49)))</formula>
    </cfRule>
    <cfRule type="containsText" dxfId="4019" priority="91" operator="containsText" text="Fully Achieved">
      <formula>NOT(ISERROR(SEARCH("Fully Achieved",H49)))</formula>
    </cfRule>
    <cfRule type="containsText" dxfId="4018" priority="92" operator="containsText" text="On track to be achieved">
      <formula>NOT(ISERROR(SEARCH("On track to be achieved",H49)))</formula>
    </cfRule>
  </conditionalFormatting>
  <conditionalFormatting sqref="V49">
    <cfRule type="containsText" dxfId="4017" priority="47" operator="containsText" text="Deleted">
      <formula>NOT(ISERROR(SEARCH("Deleted",V49)))</formula>
    </cfRule>
    <cfRule type="containsText" dxfId="4016" priority="48" operator="containsText" text="Deferred">
      <formula>NOT(ISERROR(SEARCH("Deferred",V49)))</formula>
    </cfRule>
    <cfRule type="containsText" dxfId="4015" priority="49" operator="containsText" text="Completion date within reasonable tolerance">
      <formula>NOT(ISERROR(SEARCH("Completion date within reasonable tolerance",V49)))</formula>
    </cfRule>
    <cfRule type="containsText" dxfId="4014" priority="50" operator="containsText" text="completed significantly after target deadline">
      <formula>NOT(ISERROR(SEARCH("completed significantly after target deadline",V49)))</formula>
    </cfRule>
    <cfRule type="containsText" dxfId="4013" priority="51" operator="containsText" text="Off target">
      <formula>NOT(ISERROR(SEARCH("Off target",V49)))</formula>
    </cfRule>
    <cfRule type="containsText" dxfId="4012" priority="52" operator="containsText" text="Target partially met">
      <formula>NOT(ISERROR(SEARCH("Target partially met",V49)))</formula>
    </cfRule>
    <cfRule type="containsText" dxfId="4011" priority="53" operator="containsText" text="Numerical outturn within 10% tolerance">
      <formula>NOT(ISERROR(SEARCH("Numerical outturn within 10% tolerance",V49)))</formula>
    </cfRule>
    <cfRule type="containsText" dxfId="4010" priority="54" operator="containsText" text="Numerical outturn within 5% Tolerance">
      <formula>NOT(ISERROR(SEARCH("Numerical outturn within 5% Tolerance",V49)))</formula>
    </cfRule>
    <cfRule type="containsText" dxfId="4009" priority="55" operator="containsText" text="Fully Achieved">
      <formula>NOT(ISERROR(SEARCH("Fully Achieved",V49)))</formula>
    </cfRule>
    <cfRule type="containsText" dxfId="4008" priority="56" operator="containsText" text="Update Not Provided">
      <formula>NOT(ISERROR(SEARCH("Update Not Provided",V49)))</formula>
    </cfRule>
    <cfRule type="containsText" dxfId="4007" priority="75" operator="containsText" text="Deferred">
      <formula>NOT(ISERROR(SEARCH("Deferred",V49)))</formula>
    </cfRule>
    <cfRule type="containsText" dxfId="4006" priority="76" operator="containsText" text="Update Not Provided">
      <formula>NOT(ISERROR(SEARCH("Update Not Provided",V49)))</formula>
    </cfRule>
    <cfRule type="containsText" dxfId="4005" priority="77" operator="containsText" text="Not Yet Due">
      <formula>NOT(ISERROR(SEARCH("Not Yet Due",V49)))</formula>
    </cfRule>
    <cfRule type="containsText" dxfId="4004" priority="78" operator="containsText" text="Deleted">
      <formula>NOT(ISERROR(SEARCH("Deleted",V49)))</formula>
    </cfRule>
    <cfRule type="containsText" dxfId="4003" priority="79" operator="containsText" text="Completed Behind Schedule">
      <formula>NOT(ISERROR(SEARCH("Completed Behind Schedule",V49)))</formula>
    </cfRule>
    <cfRule type="containsText" dxfId="4002" priority="80" operator="containsText" text="Off Target">
      <formula>NOT(ISERROR(SEARCH("Off Target",V49)))</formula>
    </cfRule>
    <cfRule type="containsText" dxfId="4001" priority="81" operator="containsText" text="In Danger of Falling Behind Target">
      <formula>NOT(ISERROR(SEARCH("In Danger of Falling Behind Target",V49)))</formula>
    </cfRule>
    <cfRule type="containsText" dxfId="4000" priority="82" operator="containsText" text="Fully Achieved">
      <formula>NOT(ISERROR(SEARCH("Fully Achieved",V49)))</formula>
    </cfRule>
    <cfRule type="containsText" dxfId="3999" priority="83" operator="containsText" text="On track to be achieved">
      <formula>NOT(ISERROR(SEARCH("On track to be achieved",V49)))</formula>
    </cfRule>
  </conditionalFormatting>
  <conditionalFormatting sqref="M49">
    <cfRule type="containsText" dxfId="3998" priority="66" operator="containsText" text="Deferred">
      <formula>NOT(ISERROR(SEARCH("Deferred",M49)))</formula>
    </cfRule>
    <cfRule type="containsText" dxfId="3997" priority="67" operator="containsText" text="Update Not Provided">
      <formula>NOT(ISERROR(SEARCH("Update Not Provided",M49)))</formula>
    </cfRule>
    <cfRule type="containsText" dxfId="3996" priority="68" operator="containsText" text="Not Yet Due">
      <formula>NOT(ISERROR(SEARCH("Not Yet Due",M49)))</formula>
    </cfRule>
    <cfRule type="containsText" dxfId="3995" priority="69" operator="containsText" text="Deleted">
      <formula>NOT(ISERROR(SEARCH("Deleted",M49)))</formula>
    </cfRule>
    <cfRule type="containsText" dxfId="3994" priority="70" operator="containsText" text="Completed Behind Schedule">
      <formula>NOT(ISERROR(SEARCH("Completed Behind Schedule",M49)))</formula>
    </cfRule>
    <cfRule type="containsText" dxfId="3993" priority="71" operator="containsText" text="Off Target">
      <formula>NOT(ISERROR(SEARCH("Off Target",M49)))</formula>
    </cfRule>
    <cfRule type="containsText" dxfId="3992" priority="72" operator="containsText" text="In Danger of Falling Behind Target">
      <formula>NOT(ISERROR(SEARCH("In Danger of Falling Behind Target",M49)))</formula>
    </cfRule>
    <cfRule type="containsText" dxfId="3991" priority="73" operator="containsText" text="Fully Achieved">
      <formula>NOT(ISERROR(SEARCH("Fully Achieved",M49)))</formula>
    </cfRule>
    <cfRule type="containsText" dxfId="3990" priority="74" operator="containsText" text="On track to be achieved">
      <formula>NOT(ISERROR(SEARCH("On track to be achieved",M49)))</formula>
    </cfRule>
  </conditionalFormatting>
  <conditionalFormatting sqref="R49">
    <cfRule type="containsText" dxfId="3989" priority="57" operator="containsText" text="Deferred">
      <formula>NOT(ISERROR(SEARCH("Deferred",R49)))</formula>
    </cfRule>
    <cfRule type="containsText" dxfId="3988" priority="58" operator="containsText" text="Update Not Provided">
      <formula>NOT(ISERROR(SEARCH("Update Not Provided",R49)))</formula>
    </cfRule>
    <cfRule type="containsText" dxfId="3987" priority="59" operator="containsText" text="Not Yet Due">
      <formula>NOT(ISERROR(SEARCH("Not Yet Due",R49)))</formula>
    </cfRule>
    <cfRule type="containsText" dxfId="3986" priority="60" operator="containsText" text="Deleted">
      <formula>NOT(ISERROR(SEARCH("Deleted",R49)))</formula>
    </cfRule>
    <cfRule type="containsText" dxfId="3985" priority="61" operator="containsText" text="Completed Behind Schedule">
      <formula>NOT(ISERROR(SEARCH("Completed Behind Schedule",R49)))</formula>
    </cfRule>
    <cfRule type="containsText" dxfId="3984" priority="62" operator="containsText" text="Off Target">
      <formula>NOT(ISERROR(SEARCH("Off Target",R49)))</formula>
    </cfRule>
    <cfRule type="containsText" dxfId="3983" priority="63" operator="containsText" text="In Danger of Falling Behind Target">
      <formula>NOT(ISERROR(SEARCH("In Danger of Falling Behind Target",R49)))</formula>
    </cfRule>
    <cfRule type="containsText" dxfId="3982" priority="64" operator="containsText" text="Fully Achieved">
      <formula>NOT(ISERROR(SEARCH("Fully Achieved",R49)))</formula>
    </cfRule>
    <cfRule type="containsText" dxfId="3981" priority="65" operator="containsText" text="On track to be achieved">
      <formula>NOT(ISERROR(SEARCH("On track to be achieved",R49)))</formula>
    </cfRule>
  </conditionalFormatting>
  <conditionalFormatting sqref="H46">
    <cfRule type="containsText" dxfId="3980" priority="38" operator="containsText" text="Deferred">
      <formula>NOT(ISERROR(SEARCH("Deferred",H46)))</formula>
    </cfRule>
    <cfRule type="containsText" dxfId="3979" priority="39" operator="containsText" text="Update Not Provided">
      <formula>NOT(ISERROR(SEARCH("Update Not Provided",H46)))</formula>
    </cfRule>
    <cfRule type="containsText" dxfId="3978" priority="40" operator="containsText" text="Not Yet Due">
      <formula>NOT(ISERROR(SEARCH("Not Yet Due",H46)))</formula>
    </cfRule>
    <cfRule type="containsText" dxfId="3977" priority="41" operator="containsText" text="Deleted">
      <formula>NOT(ISERROR(SEARCH("Deleted",H46)))</formula>
    </cfRule>
    <cfRule type="containsText" dxfId="3976" priority="42" operator="containsText" text="Completed Behind Schedule">
      <formula>NOT(ISERROR(SEARCH("Completed Behind Schedule",H46)))</formula>
    </cfRule>
    <cfRule type="containsText" dxfId="3975" priority="43" operator="containsText" text="Off Target">
      <formula>NOT(ISERROR(SEARCH("Off Target",H46)))</formula>
    </cfRule>
    <cfRule type="containsText" dxfId="3974" priority="44" operator="containsText" text="In Danger of Falling Behind Target">
      <formula>NOT(ISERROR(SEARCH("In Danger of Falling Behind Target",H46)))</formula>
    </cfRule>
    <cfRule type="containsText" dxfId="3973" priority="45" operator="containsText" text="Fully Achieved">
      <formula>NOT(ISERROR(SEARCH("Fully Achieved",H46)))</formula>
    </cfRule>
    <cfRule type="containsText" dxfId="3972" priority="46" operator="containsText" text="On track to be achieved">
      <formula>NOT(ISERROR(SEARCH("On track to be achieved",H46)))</formula>
    </cfRule>
  </conditionalFormatting>
  <conditionalFormatting sqref="V46">
    <cfRule type="containsText" dxfId="3971" priority="1" operator="containsText" text="Deleted">
      <formula>NOT(ISERROR(SEARCH("Deleted",V46)))</formula>
    </cfRule>
    <cfRule type="containsText" dxfId="3970" priority="2" operator="containsText" text="Deferred">
      <formula>NOT(ISERROR(SEARCH("Deferred",V46)))</formula>
    </cfRule>
    <cfRule type="containsText" dxfId="3969" priority="3" operator="containsText" text="Completion date within reasonable tolerance">
      <formula>NOT(ISERROR(SEARCH("Completion date within reasonable tolerance",V46)))</formula>
    </cfRule>
    <cfRule type="containsText" dxfId="3968" priority="4" operator="containsText" text="completed significantly after target deadline">
      <formula>NOT(ISERROR(SEARCH("completed significantly after target deadline",V46)))</formula>
    </cfRule>
    <cfRule type="containsText" dxfId="3967" priority="5" operator="containsText" text="Off target">
      <formula>NOT(ISERROR(SEARCH("Off target",V46)))</formula>
    </cfRule>
    <cfRule type="containsText" dxfId="3966" priority="6" operator="containsText" text="Target partially met">
      <formula>NOT(ISERROR(SEARCH("Target partially met",V46)))</formula>
    </cfRule>
    <cfRule type="containsText" dxfId="3965" priority="7" operator="containsText" text="Numerical outturn within 10% tolerance">
      <formula>NOT(ISERROR(SEARCH("Numerical outturn within 10% tolerance",V46)))</formula>
    </cfRule>
    <cfRule type="containsText" dxfId="3964" priority="8" operator="containsText" text="Numerical outturn within 5% Tolerance">
      <formula>NOT(ISERROR(SEARCH("Numerical outturn within 5% Tolerance",V46)))</formula>
    </cfRule>
    <cfRule type="containsText" dxfId="3963" priority="9" operator="containsText" text="Fully Achieved">
      <formula>NOT(ISERROR(SEARCH("Fully Achieved",V46)))</formula>
    </cfRule>
    <cfRule type="containsText" dxfId="3962" priority="10" operator="containsText" text="Update Not Provided">
      <formula>NOT(ISERROR(SEARCH("Update Not Provided",V46)))</formula>
    </cfRule>
    <cfRule type="containsText" dxfId="3961" priority="29" operator="containsText" text="Deferred">
      <formula>NOT(ISERROR(SEARCH("Deferred",V46)))</formula>
    </cfRule>
    <cfRule type="containsText" dxfId="3960" priority="30" operator="containsText" text="Update Not Provided">
      <formula>NOT(ISERROR(SEARCH("Update Not Provided",V46)))</formula>
    </cfRule>
    <cfRule type="containsText" dxfId="3959" priority="31" operator="containsText" text="Not Yet Due">
      <formula>NOT(ISERROR(SEARCH("Not Yet Due",V46)))</formula>
    </cfRule>
    <cfRule type="containsText" dxfId="3958" priority="32" operator="containsText" text="Deleted">
      <formula>NOT(ISERROR(SEARCH("Deleted",V46)))</formula>
    </cfRule>
    <cfRule type="containsText" dxfId="3957" priority="33" operator="containsText" text="Completed Behind Schedule">
      <formula>NOT(ISERROR(SEARCH("Completed Behind Schedule",V46)))</formula>
    </cfRule>
    <cfRule type="containsText" dxfId="3956" priority="34" operator="containsText" text="Off Target">
      <formula>NOT(ISERROR(SEARCH("Off Target",V46)))</formula>
    </cfRule>
    <cfRule type="containsText" dxfId="3955" priority="35" operator="containsText" text="In Danger of Falling Behind Target">
      <formula>NOT(ISERROR(SEARCH("In Danger of Falling Behind Target",V46)))</formula>
    </cfRule>
    <cfRule type="containsText" dxfId="3954" priority="36" operator="containsText" text="Fully Achieved">
      <formula>NOT(ISERROR(SEARCH("Fully Achieved",V46)))</formula>
    </cfRule>
    <cfRule type="containsText" dxfId="3953" priority="37" operator="containsText" text="On track to be achieved">
      <formula>NOT(ISERROR(SEARCH("On track to be achieved",V46)))</formula>
    </cfRule>
  </conditionalFormatting>
  <conditionalFormatting sqref="M46">
    <cfRule type="containsText" dxfId="3952" priority="20" operator="containsText" text="Deferred">
      <formula>NOT(ISERROR(SEARCH("Deferred",M46)))</formula>
    </cfRule>
    <cfRule type="containsText" dxfId="3951" priority="21" operator="containsText" text="Update Not Provided">
      <formula>NOT(ISERROR(SEARCH("Update Not Provided",M46)))</formula>
    </cfRule>
    <cfRule type="containsText" dxfId="3950" priority="22" operator="containsText" text="Not Yet Due">
      <formula>NOT(ISERROR(SEARCH("Not Yet Due",M46)))</formula>
    </cfRule>
    <cfRule type="containsText" dxfId="3949" priority="23" operator="containsText" text="Deleted">
      <formula>NOT(ISERROR(SEARCH("Deleted",M46)))</formula>
    </cfRule>
    <cfRule type="containsText" dxfId="3948" priority="24" operator="containsText" text="Completed Behind Schedule">
      <formula>NOT(ISERROR(SEARCH("Completed Behind Schedule",M46)))</formula>
    </cfRule>
    <cfRule type="containsText" dxfId="3947" priority="25" operator="containsText" text="Off Target">
      <formula>NOT(ISERROR(SEARCH("Off Target",M46)))</formula>
    </cfRule>
    <cfRule type="containsText" dxfId="3946" priority="26" operator="containsText" text="In Danger of Falling Behind Target">
      <formula>NOT(ISERROR(SEARCH("In Danger of Falling Behind Target",M46)))</formula>
    </cfRule>
    <cfRule type="containsText" dxfId="3945" priority="27" operator="containsText" text="Fully Achieved">
      <formula>NOT(ISERROR(SEARCH("Fully Achieved",M46)))</formula>
    </cfRule>
    <cfRule type="containsText" dxfId="3944" priority="28" operator="containsText" text="On track to be achieved">
      <formula>NOT(ISERROR(SEARCH("On track to be achieved",M46)))</formula>
    </cfRule>
  </conditionalFormatting>
  <conditionalFormatting sqref="R46">
    <cfRule type="containsText" dxfId="3943" priority="11" operator="containsText" text="Deferred">
      <formula>NOT(ISERROR(SEARCH("Deferred",R46)))</formula>
    </cfRule>
    <cfRule type="containsText" dxfId="3942" priority="12" operator="containsText" text="Update Not Provided">
      <formula>NOT(ISERROR(SEARCH("Update Not Provided",R46)))</formula>
    </cfRule>
    <cfRule type="containsText" dxfId="3941" priority="13" operator="containsText" text="Not Yet Due">
      <formula>NOT(ISERROR(SEARCH("Not Yet Due",R46)))</formula>
    </cfRule>
    <cfRule type="containsText" dxfId="3940" priority="14" operator="containsText" text="Deleted">
      <formula>NOT(ISERROR(SEARCH("Deleted",R46)))</formula>
    </cfRule>
    <cfRule type="containsText" dxfId="3939" priority="15" operator="containsText" text="Completed Behind Schedule">
      <formula>NOT(ISERROR(SEARCH("Completed Behind Schedule",R46)))</formula>
    </cfRule>
    <cfRule type="containsText" dxfId="3938" priority="16" operator="containsText" text="Off Target">
      <formula>NOT(ISERROR(SEARCH("Off Target",R46)))</formula>
    </cfRule>
    <cfRule type="containsText" dxfId="3937" priority="17" operator="containsText" text="In Danger of Falling Behind Target">
      <formula>NOT(ISERROR(SEARCH("In Danger of Falling Behind Target",R46)))</formula>
    </cfRule>
    <cfRule type="containsText" dxfId="3936" priority="18" operator="containsText" text="Fully Achieved">
      <formula>NOT(ISERROR(SEARCH("Fully Achieved",R46)))</formula>
    </cfRule>
    <cfRule type="containsText" dxfId="3935" priority="19" operator="containsText" text="On track to be achieved">
      <formula>NOT(ISERROR(SEARCH("On track to be achieved",R46)))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H3:H111 R3:R111 M3:M111">
      <formula1>$A$164:$A$172</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hyperlinks>
    <hyperlink ref="N36" r:id="rId1"/>
  </hyperlinks>
  <pageMargins left="0.23622047244094491" right="0.23622047244094491" top="0.74803149606299213" bottom="0.74803149606299213" header="0.31496062992125984" footer="0.31496062992125984"/>
  <pageSetup paperSize="8" orientation="portrait" r:id="rId2"/>
  <colBreaks count="1" manualBreakCount="1">
    <brk id="9"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B2" zoomScale="70" zoomScaleNormal="70" workbookViewId="0">
      <selection activeCell="C10" sqref="C10"/>
    </sheetView>
  </sheetViews>
  <sheetFormatPr defaultColWidth="9.140625" defaultRowHeight="15"/>
  <cols>
    <col min="1" max="1" width="9.140625" style="124"/>
    <col min="2" max="2" width="49.5703125" style="63" customWidth="1"/>
    <col min="3" max="3" width="27.140625" style="63" customWidth="1"/>
    <col min="4" max="4" width="27.140625" style="147" customWidth="1"/>
    <col min="5" max="8" width="27.140625" style="63" customWidth="1"/>
    <col min="9" max="40" width="9.140625" style="124"/>
    <col min="41" max="16384" width="9.140625" style="63"/>
  </cols>
  <sheetData>
    <row r="1" spans="1:40" s="124" customFormat="1" ht="33" customHeight="1" thickBot="1">
      <c r="B1" s="125" t="s">
        <v>417</v>
      </c>
      <c r="D1" s="126"/>
    </row>
    <row r="2" spans="1:40" ht="40.5" customHeight="1" thickTop="1" thickBot="1">
      <c r="B2" s="358" t="s">
        <v>423</v>
      </c>
      <c r="C2" s="360" t="s">
        <v>411</v>
      </c>
      <c r="D2" s="361"/>
      <c r="E2" s="362" t="s">
        <v>412</v>
      </c>
      <c r="F2" s="363"/>
      <c r="G2" s="364" t="s">
        <v>413</v>
      </c>
      <c r="H2" s="364"/>
    </row>
    <row r="3" spans="1:40" ht="50.25" customHeight="1" thickTop="1" thickBot="1">
      <c r="B3" s="359"/>
      <c r="C3" s="127" t="s">
        <v>418</v>
      </c>
      <c r="D3" s="128" t="s">
        <v>419</v>
      </c>
      <c r="E3" s="129" t="s">
        <v>418</v>
      </c>
      <c r="F3" s="130" t="s">
        <v>419</v>
      </c>
      <c r="G3" s="148" t="s">
        <v>418</v>
      </c>
      <c r="H3" s="149" t="s">
        <v>419</v>
      </c>
    </row>
    <row r="4" spans="1:40" s="135" customFormat="1" ht="21.75" thickTop="1" thickBot="1">
      <c r="A4" s="131"/>
      <c r="B4" s="132" t="s">
        <v>420</v>
      </c>
      <c r="C4" s="16"/>
      <c r="D4" s="133"/>
      <c r="E4" s="16"/>
      <c r="F4" s="16"/>
      <c r="G4" s="16"/>
      <c r="H4" s="13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40" s="141" customFormat="1" ht="37.5" customHeight="1" thickTop="1" thickBot="1">
      <c r="A5" s="136"/>
      <c r="B5" s="137" t="s">
        <v>421</v>
      </c>
      <c r="C5" s="138">
        <f>'2a. % By Priority'!C6+'2a. % By Priority'!C7</f>
        <v>80</v>
      </c>
      <c r="D5" s="139">
        <f>'2a. % By Priority'!G6</f>
        <v>0.96385542168674698</v>
      </c>
      <c r="E5" s="140">
        <f>'2a. % By Priority'!C9</f>
        <v>2</v>
      </c>
      <c r="F5" s="130">
        <f>'2a. % By Priority'!G9</f>
        <v>2.4096385542168676E-2</v>
      </c>
      <c r="G5" s="150">
        <f>'2a. % By Priority'!C13+'2a. % By Priority'!C14</f>
        <v>1</v>
      </c>
      <c r="H5" s="151">
        <f>'2a. % By Priority'!G13</f>
        <v>1.2048192771084338E-2</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141" customFormat="1" ht="21.75" thickTop="1" thickBot="1">
      <c r="A6" s="136"/>
      <c r="B6" s="142" t="s">
        <v>422</v>
      </c>
      <c r="C6" s="143"/>
      <c r="D6" s="144"/>
      <c r="E6" s="143"/>
      <c r="F6" s="144"/>
      <c r="G6" s="143"/>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1:40" s="141" customFormat="1" ht="37.5" customHeight="1" thickTop="1" thickBot="1">
      <c r="A7" s="136"/>
      <c r="B7" s="137" t="s">
        <v>278</v>
      </c>
      <c r="C7" s="138">
        <f>'2a. % By Priority'!C28+'2a. % By Priority'!C29</f>
        <v>50</v>
      </c>
      <c r="D7" s="139">
        <f>'2a. % By Priority'!G28</f>
        <v>0.96153846153846156</v>
      </c>
      <c r="E7" s="146">
        <f>'2a. % By Priority'!C31</f>
        <v>1</v>
      </c>
      <c r="F7" s="130">
        <f>'2a. % By Priority'!G31</f>
        <v>1.9230769230769232E-2</v>
      </c>
      <c r="G7" s="150">
        <f>'2a. % By Priority'!C35+'2a. % By Priority'!C36</f>
        <v>1</v>
      </c>
      <c r="H7" s="151">
        <f>'2a. % By Priority'!G35</f>
        <v>1.9230769230769232E-2</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0" s="141" customFormat="1" ht="37.5" customHeight="1" thickTop="1" thickBot="1">
      <c r="A8" s="136"/>
      <c r="B8" s="137" t="s">
        <v>414</v>
      </c>
      <c r="C8" s="138">
        <f>'2a. % By Priority'!C50+'2a. % By Priority'!C51</f>
        <v>14</v>
      </c>
      <c r="D8" s="139">
        <f>'2a. % By Priority'!G50</f>
        <v>0.93333333333333335</v>
      </c>
      <c r="E8" s="146">
        <f>'2a. % By Priority'!C53</f>
        <v>1</v>
      </c>
      <c r="F8" s="130">
        <f>'2a. % By Priority'!G53</f>
        <v>6.6666666666666666E-2</v>
      </c>
      <c r="G8" s="150">
        <f>'2a. % By Priority'!C57+'2a. % By Priority'!C58</f>
        <v>0</v>
      </c>
      <c r="H8" s="151">
        <f>'2a. % By Priority'!G57</f>
        <v>0</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row>
    <row r="9" spans="1:40" s="141" customFormat="1" ht="37.5" customHeight="1" thickTop="1" thickBot="1">
      <c r="A9" s="136"/>
      <c r="B9" s="137" t="s">
        <v>276</v>
      </c>
      <c r="C9" s="138">
        <f>'2a. % By Priority'!C72+'2a. % By Priority'!C73</f>
        <v>16</v>
      </c>
      <c r="D9" s="139">
        <f>'2a. % By Priority'!G72</f>
        <v>1</v>
      </c>
      <c r="E9" s="146">
        <f>'2a. % By Priority'!C75</f>
        <v>0</v>
      </c>
      <c r="F9" s="130">
        <f>'2a. % By Priority'!G75</f>
        <v>0</v>
      </c>
      <c r="G9" s="150">
        <f>'2a. % By Priority'!C79+'2a. % By Priority'!C80</f>
        <v>0</v>
      </c>
      <c r="H9" s="151">
        <f>'2a. % By Priority'!G79</f>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s="141" customFormat="1" ht="21.75" thickTop="1" thickBot="1">
      <c r="A10" s="136"/>
      <c r="B10" s="142" t="s">
        <v>264</v>
      </c>
      <c r="C10" s="143"/>
      <c r="D10" s="144"/>
      <c r="E10" s="143"/>
      <c r="F10" s="144"/>
      <c r="G10" s="143"/>
      <c r="H10" s="14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0" s="141" customFormat="1" ht="37.5" customHeight="1" thickTop="1" thickBot="1">
      <c r="A11" s="136"/>
      <c r="B11" s="181" t="s">
        <v>369</v>
      </c>
      <c r="C11" s="182">
        <f>'3a. % by Portfolio'!C6+'3a. % by Portfolio'!C7</f>
        <v>11</v>
      </c>
      <c r="D11" s="183">
        <f>'3a. % by Portfolio'!G6</f>
        <v>1</v>
      </c>
      <c r="E11" s="184">
        <f>'3a. % by Portfolio'!C9</f>
        <v>0</v>
      </c>
      <c r="F11" s="185">
        <f>'3a. % by Portfolio'!G9</f>
        <v>0</v>
      </c>
      <c r="G11" s="186">
        <f>'3a. % by Portfolio'!C13+'3a. % by Portfolio'!C14</f>
        <v>0</v>
      </c>
      <c r="H11" s="187">
        <f>'3a. % by Portfolio'!G13</f>
        <v>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141" customFormat="1" ht="37.5" customHeight="1" thickTop="1" thickBot="1">
      <c r="A12" s="136"/>
      <c r="B12" s="181" t="s">
        <v>368</v>
      </c>
      <c r="C12" s="182">
        <f>'3a. % by Portfolio'!C29+'3a. % by Portfolio'!C30</f>
        <v>20</v>
      </c>
      <c r="D12" s="183">
        <f>'3a. % by Portfolio'!G29</f>
        <v>0.90909090909090906</v>
      </c>
      <c r="E12" s="188">
        <f>'3a. % by Portfolio'!C32</f>
        <v>2</v>
      </c>
      <c r="F12" s="185">
        <f>'3a. % by Portfolio'!G32</f>
        <v>9.0909090909090912E-2</v>
      </c>
      <c r="G12" s="186">
        <f>'3a. % by Portfolio'!C13+'3a. % by Portfolio'!C14</f>
        <v>0</v>
      </c>
      <c r="H12" s="187">
        <f>'3a. % by Portfolio'!G36</f>
        <v>0</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141" customFormat="1" ht="37.5" customHeight="1" thickTop="1" thickBot="1">
      <c r="A13" s="136"/>
      <c r="B13" s="181" t="s">
        <v>424</v>
      </c>
      <c r="C13" s="182">
        <f>'3a. % by Portfolio'!C51+'3a. % by Portfolio'!C52</f>
        <v>12</v>
      </c>
      <c r="D13" s="183">
        <f>'3a. % by Portfolio'!G51</f>
        <v>1</v>
      </c>
      <c r="E13" s="188">
        <f>'3a. % by Portfolio'!C54</f>
        <v>0</v>
      </c>
      <c r="F13" s="185">
        <f>'3a. % by Portfolio'!G54</f>
        <v>0</v>
      </c>
      <c r="G13" s="186">
        <f>'3a. % by Portfolio'!C58+'3a. % by Portfolio'!C59</f>
        <v>0</v>
      </c>
      <c r="H13" s="187">
        <f>'3a. % by Portfolio'!G58</f>
        <v>0</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0" s="141" customFormat="1" ht="37.5" customHeight="1" thickTop="1" thickBot="1">
      <c r="A14" s="136"/>
      <c r="B14" s="181" t="s">
        <v>364</v>
      </c>
      <c r="C14" s="182">
        <f>'3a. % by Portfolio'!C73+'3a. % by Portfolio'!C74</f>
        <v>25</v>
      </c>
      <c r="D14" s="183">
        <f>'3a. % by Portfolio'!G73</f>
        <v>0.96153846153846145</v>
      </c>
      <c r="E14" s="188">
        <f>'3a. % by Portfolio'!C76</f>
        <v>0</v>
      </c>
      <c r="F14" s="185">
        <f>'3a. % by Portfolio'!G76</f>
        <v>0</v>
      </c>
      <c r="G14" s="186">
        <f>'3a. % by Portfolio'!C80+'3a. % by Portfolio'!C81</f>
        <v>1</v>
      </c>
      <c r="H14" s="187">
        <f>'3a. % by Portfolio'!G80</f>
        <v>3.8461538461538464E-2</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0" s="141" customFormat="1" ht="37.5" customHeight="1" thickTop="1" thickBot="1">
      <c r="A15" s="136"/>
      <c r="B15" s="181" t="s">
        <v>367</v>
      </c>
      <c r="C15" s="182">
        <f>'3a. % by Portfolio'!C95+'3a. % by Portfolio'!C96</f>
        <v>12</v>
      </c>
      <c r="D15" s="183">
        <f>'3a. % by Portfolio'!G95</f>
        <v>1</v>
      </c>
      <c r="E15" s="188">
        <f>'3a. % by Portfolio'!C98</f>
        <v>0</v>
      </c>
      <c r="F15" s="185">
        <f>'3a. % by Portfolio'!G98</f>
        <v>0</v>
      </c>
      <c r="G15" s="186">
        <f>'3a. % by Portfolio'!C102+'3a. % by Portfolio'!C103</f>
        <v>0</v>
      </c>
      <c r="H15" s="187">
        <f>'3a. % by Portfolio'!G102</f>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124" customFormat="1" ht="15.75" thickTop="1">
      <c r="D16" s="126"/>
    </row>
    <row r="17" spans="4:4" s="124" customFormat="1">
      <c r="D17" s="126"/>
    </row>
    <row r="18" spans="4:4" s="124" customFormat="1">
      <c r="D18" s="126"/>
    </row>
    <row r="19" spans="4:4" s="124" customFormat="1">
      <c r="D19" s="126"/>
    </row>
    <row r="20" spans="4:4" s="124" customFormat="1">
      <c r="D20" s="126"/>
    </row>
    <row r="21" spans="4:4" s="124" customFormat="1">
      <c r="D21" s="126"/>
    </row>
    <row r="22" spans="4:4" s="124" customFormat="1">
      <c r="D22" s="126"/>
    </row>
    <row r="23" spans="4:4" s="124" customFormat="1">
      <c r="D23" s="126"/>
    </row>
    <row r="24" spans="4:4" s="124" customFormat="1">
      <c r="D24" s="126"/>
    </row>
    <row r="25" spans="4:4" s="124" customFormat="1">
      <c r="D25" s="126"/>
    </row>
    <row r="26" spans="4:4" s="124" customFormat="1">
      <c r="D26" s="126"/>
    </row>
    <row r="27" spans="4:4" s="124" customFormat="1">
      <c r="D27" s="126"/>
    </row>
    <row r="28" spans="4:4" s="124" customFormat="1">
      <c r="D28" s="126"/>
    </row>
    <row r="29" spans="4:4" s="124" customFormat="1">
      <c r="D29" s="126"/>
    </row>
    <row r="30" spans="4:4" s="124" customFormat="1">
      <c r="D30" s="126"/>
    </row>
    <row r="31" spans="4:4" s="124" customFormat="1">
      <c r="D31" s="126"/>
    </row>
    <row r="32" spans="4:4" s="124" customFormat="1">
      <c r="D32" s="126"/>
    </row>
    <row r="33" spans="4:4" s="124" customFormat="1">
      <c r="D33" s="126"/>
    </row>
    <row r="34" spans="4:4" s="124" customFormat="1">
      <c r="D34" s="126"/>
    </row>
    <row r="35" spans="4:4" s="124" customFormat="1">
      <c r="D35" s="126"/>
    </row>
    <row r="36" spans="4:4" s="124" customFormat="1">
      <c r="D36" s="126"/>
    </row>
    <row r="37" spans="4:4" s="124" customFormat="1">
      <c r="D37" s="126"/>
    </row>
    <row r="38" spans="4:4" s="124" customFormat="1">
      <c r="D38" s="126"/>
    </row>
    <row r="39" spans="4:4" s="124" customFormat="1">
      <c r="D39" s="126"/>
    </row>
    <row r="40" spans="4:4" s="124" customFormat="1">
      <c r="D40" s="126"/>
    </row>
    <row r="41" spans="4:4" s="124" customFormat="1">
      <c r="D41" s="126"/>
    </row>
    <row r="42" spans="4:4" s="124" customFormat="1">
      <c r="D42" s="126"/>
    </row>
    <row r="43" spans="4:4" s="124" customFormat="1">
      <c r="D43" s="126"/>
    </row>
    <row r="44" spans="4:4" s="124" customFormat="1">
      <c r="D44" s="126"/>
    </row>
    <row r="45" spans="4:4" s="124" customFormat="1">
      <c r="D45" s="126"/>
    </row>
    <row r="46" spans="4:4" s="124" customFormat="1">
      <c r="D46" s="12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B1" zoomScale="70" zoomScaleNormal="70" workbookViewId="0">
      <selection activeCell="B18" sqref="B18"/>
    </sheetView>
  </sheetViews>
  <sheetFormatPr defaultColWidth="9.140625" defaultRowHeight="15"/>
  <cols>
    <col min="1" max="1" width="9.140625" style="124"/>
    <col min="2" max="2" width="49.5703125" style="63" customWidth="1"/>
    <col min="3" max="3" width="27.140625" style="63" customWidth="1"/>
    <col min="4" max="4" width="27.140625" style="147" customWidth="1"/>
    <col min="5" max="8" width="27.140625" style="63" customWidth="1"/>
    <col min="9" max="40" width="9.140625" style="124"/>
    <col min="41" max="16384" width="9.140625" style="63"/>
  </cols>
  <sheetData>
    <row r="1" spans="1:40" s="124" customFormat="1" ht="33" customHeight="1" thickBot="1">
      <c r="B1" s="125" t="s">
        <v>417</v>
      </c>
      <c r="D1" s="126"/>
    </row>
    <row r="2" spans="1:40" ht="40.5" customHeight="1" thickTop="1" thickBot="1">
      <c r="B2" s="358" t="s">
        <v>588</v>
      </c>
      <c r="C2" s="360" t="s">
        <v>411</v>
      </c>
      <c r="D2" s="361"/>
      <c r="E2" s="362" t="s">
        <v>412</v>
      </c>
      <c r="F2" s="363"/>
      <c r="G2" s="364" t="s">
        <v>413</v>
      </c>
      <c r="H2" s="364"/>
    </row>
    <row r="3" spans="1:40" ht="50.25" customHeight="1" thickTop="1" thickBot="1">
      <c r="B3" s="359"/>
      <c r="C3" s="127" t="s">
        <v>418</v>
      </c>
      <c r="D3" s="128" t="s">
        <v>419</v>
      </c>
      <c r="E3" s="129" t="s">
        <v>418</v>
      </c>
      <c r="F3" s="130" t="s">
        <v>419</v>
      </c>
      <c r="G3" s="148" t="s">
        <v>418</v>
      </c>
      <c r="H3" s="149" t="s">
        <v>419</v>
      </c>
    </row>
    <row r="4" spans="1:40" s="135" customFormat="1" ht="21.75" thickTop="1" thickBot="1">
      <c r="A4" s="131"/>
      <c r="B4" s="132" t="s">
        <v>420</v>
      </c>
      <c r="C4" s="16"/>
      <c r="D4" s="133"/>
      <c r="E4" s="16"/>
      <c r="F4" s="16"/>
      <c r="G4" s="16"/>
      <c r="H4" s="13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40" s="141" customFormat="1" ht="37.5" customHeight="1" thickTop="1" thickBot="1">
      <c r="A5" s="136"/>
      <c r="B5" s="137" t="s">
        <v>421</v>
      </c>
      <c r="C5" s="138">
        <f>'2a. % By Priority'!J6+'2a. % By Priority'!J7</f>
        <v>95</v>
      </c>
      <c r="D5" s="139">
        <f>'2a. % By Priority'!N6</f>
        <v>0.95959595959595956</v>
      </c>
      <c r="E5" s="140">
        <f>'2a. % By Priority'!J9</f>
        <v>2</v>
      </c>
      <c r="F5" s="130">
        <f>'2a. % By Priority'!N9</f>
        <v>2.0202020202020204E-2</v>
      </c>
      <c r="G5" s="150">
        <f>'2a. % By Priority'!J13+'2a. % By Priority'!J14</f>
        <v>2</v>
      </c>
      <c r="H5" s="151">
        <f>'2a. % By Priority'!N13</f>
        <v>2.0202020202020204E-2</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141" customFormat="1" ht="21.75" thickTop="1" thickBot="1">
      <c r="A6" s="136"/>
      <c r="B6" s="142" t="s">
        <v>422</v>
      </c>
      <c r="C6" s="143"/>
      <c r="D6" s="144"/>
      <c r="E6" s="143"/>
      <c r="F6" s="144"/>
      <c r="G6" s="143"/>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1:40" s="141" customFormat="1" ht="37.5" customHeight="1" thickTop="1" thickBot="1">
      <c r="A7" s="136"/>
      <c r="B7" s="137" t="s">
        <v>278</v>
      </c>
      <c r="C7" s="138">
        <f>'2a. % By Priority'!J28+'2a. % By Priority'!J29</f>
        <v>57</v>
      </c>
      <c r="D7" s="139">
        <f>'2a. % By Priority'!N28</f>
        <v>0.95</v>
      </c>
      <c r="E7" s="146">
        <f>'2a. % By Priority'!J31</f>
        <v>2</v>
      </c>
      <c r="F7" s="130">
        <f>'2a. % By Priority'!N31</f>
        <v>3.3333333333333333E-2</v>
      </c>
      <c r="G7" s="150">
        <f>'2a. % By Priority'!J35+'2a. % By Priority'!J36</f>
        <v>1</v>
      </c>
      <c r="H7" s="151">
        <f>'2a. % By Priority'!N35</f>
        <v>1.6666666666666666E-2</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0" s="141" customFormat="1" ht="37.5" customHeight="1" thickTop="1" thickBot="1">
      <c r="A8" s="136"/>
      <c r="B8" s="137" t="s">
        <v>414</v>
      </c>
      <c r="C8" s="138">
        <f>'2a. % By Priority'!J50+'2a. % By Priority'!J51</f>
        <v>21</v>
      </c>
      <c r="D8" s="139">
        <f>'2a. % By Priority'!N50</f>
        <v>0.95454545454545459</v>
      </c>
      <c r="E8" s="146">
        <f>'2a. % By Priority'!J53</f>
        <v>0</v>
      </c>
      <c r="F8" s="130">
        <f>'2a. % By Priority'!N53</f>
        <v>0</v>
      </c>
      <c r="G8" s="150">
        <f>'2a. % By Priority'!J57+'2a. % By Priority'!J58</f>
        <v>1</v>
      </c>
      <c r="H8" s="151">
        <f>'2a. % By Priority'!N57</f>
        <v>4.5454545454545456E-2</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row>
    <row r="9" spans="1:40" s="141" customFormat="1" ht="37.5" customHeight="1" thickTop="1" thickBot="1">
      <c r="A9" s="136"/>
      <c r="B9" s="137" t="s">
        <v>276</v>
      </c>
      <c r="C9" s="138">
        <f>'2a. % By Priority'!J72+'2a. % By Priority'!J73</f>
        <v>17</v>
      </c>
      <c r="D9" s="139">
        <f>'2a. % By Priority'!N72</f>
        <v>1</v>
      </c>
      <c r="E9" s="146">
        <f>'2a. % By Priority'!J75</f>
        <v>0</v>
      </c>
      <c r="F9" s="130">
        <f>'2a. % By Priority'!N75</f>
        <v>0</v>
      </c>
      <c r="G9" s="150">
        <f>'2a. % By Priority'!J79+'2a. % By Priority'!J80</f>
        <v>0</v>
      </c>
      <c r="H9" s="151">
        <f>'2a. % By Priority'!N79</f>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s="141" customFormat="1" ht="21.75" thickTop="1" thickBot="1">
      <c r="A10" s="136"/>
      <c r="B10" s="142" t="s">
        <v>264</v>
      </c>
      <c r="C10" s="143"/>
      <c r="D10" s="144"/>
      <c r="E10" s="143"/>
      <c r="F10" s="144"/>
      <c r="G10" s="143"/>
      <c r="H10" s="14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0" s="141" customFormat="1" ht="37.5" customHeight="1" thickTop="1" thickBot="1">
      <c r="A11" s="136"/>
      <c r="B11" s="181" t="s">
        <v>369</v>
      </c>
      <c r="C11" s="182">
        <f>'3a. % by Portfolio'!J6+'3a. % by Portfolio'!J7</f>
        <v>14</v>
      </c>
      <c r="D11" s="183">
        <f>'3a. % by Portfolio'!N6</f>
        <v>0.93333333333333335</v>
      </c>
      <c r="E11" s="184">
        <f>'3a. % by Portfolio'!J9</f>
        <v>1</v>
      </c>
      <c r="F11" s="185">
        <f>'3a. % by Portfolio'!N9</f>
        <v>6.6666666666666666E-2</v>
      </c>
      <c r="G11" s="186">
        <f>'3a. % by Portfolio'!J13+'3a. % by Portfolio'!J14</f>
        <v>0</v>
      </c>
      <c r="H11" s="187">
        <f>'3a. % by Portfolio'!N13</f>
        <v>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141" customFormat="1" ht="37.5" customHeight="1" thickTop="1" thickBot="1">
      <c r="A12" s="136"/>
      <c r="B12" s="181" t="s">
        <v>368</v>
      </c>
      <c r="C12" s="182">
        <f>'3a. % by Portfolio'!J29+'3a. % by Portfolio'!J30</f>
        <v>29</v>
      </c>
      <c r="D12" s="183">
        <f>'3a. % by Portfolio'!N29</f>
        <v>0.96666666666666656</v>
      </c>
      <c r="E12" s="188">
        <f>'3a. % by Portfolio'!J32</f>
        <v>1</v>
      </c>
      <c r="F12" s="185">
        <f>'3a. % by Portfolio'!N32</f>
        <v>3.3333333333333333E-2</v>
      </c>
      <c r="G12" s="186">
        <f>'3a. % by Portfolio'!J13+'3a. % by Portfolio'!J14</f>
        <v>0</v>
      </c>
      <c r="H12" s="187">
        <f>'3a. % by Portfolio'!N36</f>
        <v>0</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141" customFormat="1" ht="37.5" customHeight="1" thickTop="1" thickBot="1">
      <c r="A13" s="136"/>
      <c r="B13" s="181" t="s">
        <v>424</v>
      </c>
      <c r="C13" s="182">
        <f>'3a. % by Portfolio'!J51+'3a. % by Portfolio'!J52</f>
        <v>13</v>
      </c>
      <c r="D13" s="183">
        <f>'3a. % by Portfolio'!N51</f>
        <v>0.9285714285714286</v>
      </c>
      <c r="E13" s="188">
        <f>'3a. % by Portfolio'!J54</f>
        <v>0</v>
      </c>
      <c r="F13" s="185">
        <f>'3a. % by Portfolio'!N54</f>
        <v>0</v>
      </c>
      <c r="G13" s="186">
        <f>'3a. % by Portfolio'!J58+'3a. % by Portfolio'!J59</f>
        <v>1</v>
      </c>
      <c r="H13" s="187">
        <f>'3a. % by Portfolio'!N58</f>
        <v>7.1428571428571425E-2</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0" s="141" customFormat="1" ht="37.5" customHeight="1" thickTop="1" thickBot="1">
      <c r="A14" s="136"/>
      <c r="B14" s="181" t="s">
        <v>364</v>
      </c>
      <c r="C14" s="182">
        <f>'3a. % by Portfolio'!J73+'3a. % by Portfolio'!J74</f>
        <v>26</v>
      </c>
      <c r="D14" s="183">
        <f>'3a. % by Portfolio'!N73</f>
        <v>0.96296296296296291</v>
      </c>
      <c r="E14" s="188">
        <f>'3a. % by Portfolio'!J76</f>
        <v>0</v>
      </c>
      <c r="F14" s="185">
        <f>'3a. % by Portfolio'!N76</f>
        <v>0</v>
      </c>
      <c r="G14" s="186">
        <f>'3a. % by Portfolio'!J80+'3a. % by Portfolio'!J81</f>
        <v>1</v>
      </c>
      <c r="H14" s="187">
        <f>'3a. % by Portfolio'!N80</f>
        <v>3.7037037037037035E-2</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0" s="141" customFormat="1" ht="37.5" customHeight="1" thickTop="1" thickBot="1">
      <c r="A15" s="136"/>
      <c r="B15" s="181" t="s">
        <v>367</v>
      </c>
      <c r="C15" s="182">
        <f>'3a. % by Portfolio'!J95+'3a. % by Portfolio'!J96</f>
        <v>13</v>
      </c>
      <c r="D15" s="183">
        <f>'3a. % by Portfolio'!N95</f>
        <v>1</v>
      </c>
      <c r="E15" s="188">
        <f>'3a. % by Portfolio'!J98</f>
        <v>0</v>
      </c>
      <c r="F15" s="185">
        <f>'3a. % by Portfolio'!N98</f>
        <v>0</v>
      </c>
      <c r="G15" s="186">
        <f>'3a. % by Portfolio'!J102+'3a. % by Portfolio'!J103</f>
        <v>0</v>
      </c>
      <c r="H15" s="187">
        <f>'3a. % by Portfolio'!N102</f>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124" customFormat="1" ht="15.75" thickTop="1">
      <c r="D16" s="126"/>
    </row>
    <row r="17" spans="4:4" s="124" customFormat="1">
      <c r="D17" s="126"/>
    </row>
    <row r="18" spans="4:4" s="124" customFormat="1">
      <c r="D18" s="126"/>
    </row>
    <row r="19" spans="4:4" s="124" customFormat="1">
      <c r="D19" s="126"/>
    </row>
    <row r="20" spans="4:4" s="124" customFormat="1">
      <c r="D20" s="126"/>
    </row>
    <row r="21" spans="4:4" s="124" customFormat="1">
      <c r="D21" s="126"/>
    </row>
    <row r="22" spans="4:4" s="124" customFormat="1">
      <c r="D22" s="126"/>
    </row>
    <row r="23" spans="4:4" s="124" customFormat="1">
      <c r="D23" s="126"/>
    </row>
    <row r="24" spans="4:4" s="124" customFormat="1">
      <c r="D24" s="126"/>
    </row>
    <row r="25" spans="4:4" s="124" customFormat="1">
      <c r="D25" s="126"/>
    </row>
    <row r="26" spans="4:4" s="124" customFormat="1">
      <c r="D26" s="126"/>
    </row>
    <row r="27" spans="4:4" s="124" customFormat="1">
      <c r="D27" s="126"/>
    </row>
    <row r="28" spans="4:4" s="124" customFormat="1">
      <c r="D28" s="126"/>
    </row>
    <row r="29" spans="4:4" s="124" customFormat="1">
      <c r="D29" s="126"/>
    </row>
    <row r="30" spans="4:4" s="124" customFormat="1">
      <c r="D30" s="126"/>
    </row>
    <row r="31" spans="4:4" s="124" customFormat="1">
      <c r="D31" s="126"/>
    </row>
    <row r="32" spans="4:4" s="124" customFormat="1">
      <c r="D32" s="126"/>
    </row>
    <row r="33" spans="4:4" s="124" customFormat="1">
      <c r="D33" s="126"/>
    </row>
    <row r="34" spans="4:4" s="124" customFormat="1">
      <c r="D34" s="126"/>
    </row>
    <row r="35" spans="4:4" s="124" customFormat="1">
      <c r="D35" s="126"/>
    </row>
    <row r="36" spans="4:4" s="124" customFormat="1">
      <c r="D36" s="126"/>
    </row>
    <row r="37" spans="4:4" s="124" customFormat="1">
      <c r="D37" s="126"/>
    </row>
    <row r="38" spans="4:4" s="124" customFormat="1">
      <c r="D38" s="126"/>
    </row>
    <row r="39" spans="4:4" s="124" customFormat="1">
      <c r="D39" s="126"/>
    </row>
    <row r="40" spans="4:4" s="124" customFormat="1">
      <c r="D40" s="126"/>
    </row>
    <row r="41" spans="4:4" s="124" customFormat="1">
      <c r="D41" s="126"/>
    </row>
    <row r="42" spans="4:4" s="124" customFormat="1">
      <c r="D42" s="126"/>
    </row>
    <row r="43" spans="4:4" s="124" customFormat="1">
      <c r="D43" s="126"/>
    </row>
    <row r="44" spans="4:4" s="124" customFormat="1">
      <c r="D44" s="126"/>
    </row>
    <row r="45" spans="4:4" s="124" customFormat="1">
      <c r="D45" s="126"/>
    </row>
    <row r="46" spans="4:4" s="124" customFormat="1">
      <c r="D46" s="12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topLeftCell="H1" zoomScale="77" zoomScaleNormal="77" workbookViewId="0">
      <pane ySplit="1" topLeftCell="A2" activePane="bottomLeft" state="frozen"/>
      <selection pane="bottomLeft" activeCell="J16" sqref="J16"/>
    </sheetView>
  </sheetViews>
  <sheetFormatPr defaultColWidth="9.140625" defaultRowHeight="14.25"/>
  <cols>
    <col min="1" max="1" width="2.140625" style="24" customWidth="1"/>
    <col min="2" max="2" width="38.85546875" style="24" customWidth="1"/>
    <col min="3" max="3" width="13.7109375" style="21" customWidth="1"/>
    <col min="4" max="4" width="13.85546875" style="21" customWidth="1"/>
    <col min="5" max="5" width="16.28515625" style="21" customWidth="1"/>
    <col min="6" max="6" width="14.140625" style="21" customWidth="1"/>
    <col min="7" max="7" width="17.140625" style="21" customWidth="1"/>
    <col min="8" max="8" width="4.7109375" style="21" customWidth="1"/>
    <col min="9" max="9" width="38.85546875" style="24" customWidth="1"/>
    <col min="10" max="10" width="13.7109375" style="21" customWidth="1"/>
    <col min="11" max="11" width="13.85546875" style="21" customWidth="1"/>
    <col min="12" max="12" width="16.28515625" style="21" customWidth="1"/>
    <col min="13" max="13" width="14.140625" style="21" customWidth="1"/>
    <col min="14" max="14" width="17.140625" style="21" customWidth="1"/>
    <col min="15" max="15" width="4.7109375" style="21" customWidth="1"/>
    <col min="16" max="16" width="38.85546875" style="24" hidden="1" customWidth="1"/>
    <col min="17" max="17" width="13.7109375" style="21" hidden="1" customWidth="1"/>
    <col min="18" max="18" width="13.85546875" style="21" hidden="1" customWidth="1"/>
    <col min="19" max="19" width="16.28515625" style="21" hidden="1" customWidth="1"/>
    <col min="20" max="20" width="14.140625" style="21" hidden="1" customWidth="1"/>
    <col min="21" max="21" width="17.140625" style="21" hidden="1" customWidth="1"/>
    <col min="22" max="22" width="4.7109375" style="21" customWidth="1"/>
    <col min="23" max="23" width="55.28515625" style="21" hidden="1" customWidth="1"/>
    <col min="24" max="24" width="14.5703125" style="21" hidden="1" customWidth="1"/>
    <col min="25" max="27" width="17.140625" style="21" hidden="1" customWidth="1"/>
    <col min="28" max="28" width="17.140625" style="49" hidden="1" customWidth="1"/>
    <col min="29" max="32" width="9.140625" style="24" customWidth="1"/>
    <col min="33" max="16384" width="9.140625" style="24"/>
  </cols>
  <sheetData>
    <row r="1" spans="2:32" s="18" customFormat="1" ht="20.25">
      <c r="B1" s="66" t="s">
        <v>404</v>
      </c>
      <c r="C1" s="64"/>
      <c r="D1" s="65"/>
      <c r="E1" s="65"/>
      <c r="F1" s="65"/>
      <c r="G1" s="65"/>
      <c r="H1" s="17"/>
      <c r="I1" s="66" t="s">
        <v>405</v>
      </c>
      <c r="J1" s="64"/>
      <c r="K1" s="65"/>
      <c r="L1" s="65"/>
      <c r="M1" s="65"/>
      <c r="N1" s="65"/>
      <c r="O1" s="17"/>
      <c r="P1" s="90" t="s">
        <v>406</v>
      </c>
      <c r="Q1" s="64"/>
      <c r="R1" s="65"/>
      <c r="S1" s="65"/>
      <c r="T1" s="65"/>
      <c r="U1" s="65"/>
      <c r="V1" s="17"/>
      <c r="W1" s="69" t="s">
        <v>407</v>
      </c>
      <c r="X1" s="67"/>
      <c r="Y1" s="67"/>
      <c r="Z1" s="67"/>
      <c r="AA1" s="67"/>
      <c r="AB1" s="68"/>
    </row>
    <row r="2" spans="2:32" ht="15.75">
      <c r="B2" s="19"/>
      <c r="C2" s="20"/>
      <c r="D2" s="20"/>
      <c r="E2" s="20"/>
      <c r="F2" s="20"/>
      <c r="G2" s="20"/>
      <c r="I2" s="19"/>
      <c r="J2" s="20"/>
      <c r="K2" s="20"/>
      <c r="L2" s="20"/>
      <c r="M2" s="20"/>
      <c r="N2" s="20"/>
      <c r="P2" s="19"/>
      <c r="Q2" s="20"/>
      <c r="R2" s="20"/>
      <c r="S2" s="20"/>
      <c r="T2" s="20"/>
      <c r="U2" s="20"/>
      <c r="W2" s="22"/>
      <c r="X2" s="22"/>
      <c r="Y2" s="22"/>
      <c r="Z2" s="22"/>
      <c r="AA2" s="22"/>
      <c r="AB2" s="23"/>
    </row>
    <row r="3" spans="2:32" ht="15.75">
      <c r="B3" s="81" t="s">
        <v>386</v>
      </c>
      <c r="C3" s="82"/>
      <c r="D3" s="82"/>
      <c r="E3" s="82"/>
      <c r="F3" s="82"/>
      <c r="G3" s="83"/>
      <c r="I3" s="81" t="s">
        <v>386</v>
      </c>
      <c r="J3" s="82"/>
      <c r="K3" s="82"/>
      <c r="L3" s="82"/>
      <c r="M3" s="82"/>
      <c r="N3" s="83"/>
      <c r="P3" s="81" t="s">
        <v>386</v>
      </c>
      <c r="Q3" s="82"/>
      <c r="R3" s="82"/>
      <c r="S3" s="82"/>
      <c r="T3" s="82"/>
      <c r="U3" s="83"/>
      <c r="W3" s="26" t="s">
        <v>386</v>
      </c>
      <c r="X3" s="27"/>
      <c r="Y3" s="27"/>
      <c r="Z3" s="27"/>
      <c r="AA3" s="27"/>
      <c r="AB3" s="28"/>
    </row>
    <row r="4" spans="2:32" s="21" customFormat="1" ht="39" customHeight="1">
      <c r="B4" s="84" t="s">
        <v>387</v>
      </c>
      <c r="C4" s="84" t="s">
        <v>388</v>
      </c>
      <c r="D4" s="84" t="s">
        <v>389</v>
      </c>
      <c r="E4" s="84" t="s">
        <v>390</v>
      </c>
      <c r="F4" s="84" t="s">
        <v>391</v>
      </c>
      <c r="G4" s="84" t="s">
        <v>392</v>
      </c>
      <c r="I4" s="84" t="s">
        <v>387</v>
      </c>
      <c r="J4" s="84" t="s">
        <v>388</v>
      </c>
      <c r="K4" s="84" t="s">
        <v>389</v>
      </c>
      <c r="L4" s="84" t="s">
        <v>390</v>
      </c>
      <c r="M4" s="84" t="s">
        <v>391</v>
      </c>
      <c r="N4" s="84" t="s">
        <v>392</v>
      </c>
      <c r="P4" s="84" t="s">
        <v>387</v>
      </c>
      <c r="Q4" s="84" t="s">
        <v>388</v>
      </c>
      <c r="R4" s="84" t="s">
        <v>389</v>
      </c>
      <c r="S4" s="84" t="s">
        <v>390</v>
      </c>
      <c r="T4" s="84" t="s">
        <v>391</v>
      </c>
      <c r="U4" s="84" t="s">
        <v>392</v>
      </c>
      <c r="W4" s="84" t="s">
        <v>387</v>
      </c>
      <c r="X4" s="84" t="s">
        <v>388</v>
      </c>
      <c r="Y4" s="84" t="s">
        <v>389</v>
      </c>
      <c r="Z4" s="84" t="s">
        <v>390</v>
      </c>
      <c r="AA4" s="84" t="s">
        <v>391</v>
      </c>
      <c r="AB4" s="84" t="s">
        <v>392</v>
      </c>
    </row>
    <row r="5" spans="2:32" s="32" customFormat="1" ht="5.25" customHeight="1">
      <c r="B5" s="29"/>
      <c r="C5" s="30"/>
      <c r="D5" s="30"/>
      <c r="E5" s="30"/>
      <c r="F5" s="30"/>
      <c r="G5" s="30"/>
      <c r="H5" s="31"/>
      <c r="I5" s="29"/>
      <c r="J5" s="30"/>
      <c r="K5" s="30"/>
      <c r="L5" s="30"/>
      <c r="M5" s="30"/>
      <c r="N5" s="30"/>
      <c r="O5" s="31"/>
      <c r="P5" s="29"/>
      <c r="Q5" s="30"/>
      <c r="R5" s="30"/>
      <c r="S5" s="30"/>
      <c r="T5" s="30"/>
      <c r="U5" s="30"/>
      <c r="V5" s="31"/>
      <c r="W5" s="29"/>
      <c r="X5" s="30"/>
      <c r="Y5" s="30"/>
      <c r="Z5" s="30"/>
      <c r="AA5" s="30"/>
      <c r="AB5" s="30"/>
    </row>
    <row r="6" spans="2:32" ht="30.75" customHeight="1">
      <c r="B6" s="70" t="s">
        <v>393</v>
      </c>
      <c r="C6" s="71">
        <f>COUNTIF('1. All Data'!$H$3:$H$111,"Fully Achieved")</f>
        <v>8</v>
      </c>
      <c r="D6" s="72">
        <f>C6/C20</f>
        <v>7.3394495412844041E-2</v>
      </c>
      <c r="E6" s="365">
        <f>D6+D7</f>
        <v>0.73394495412844041</v>
      </c>
      <c r="F6" s="72">
        <f>C6/C21</f>
        <v>9.6385542168674704E-2</v>
      </c>
      <c r="G6" s="380">
        <f>F6+F7</f>
        <v>0.96385542168674698</v>
      </c>
      <c r="I6" s="70" t="s">
        <v>393</v>
      </c>
      <c r="J6" s="71">
        <f>COUNTIF('1. All Data'!$M$3:$M$111,"Fully Achieved")</f>
        <v>23</v>
      </c>
      <c r="K6" s="72">
        <f>J6/J20</f>
        <v>0.21100917431192662</v>
      </c>
      <c r="L6" s="365">
        <f>K6+K7</f>
        <v>0.87155963302752304</v>
      </c>
      <c r="M6" s="72">
        <f>J6/J21</f>
        <v>0.23232323232323232</v>
      </c>
      <c r="N6" s="380">
        <f>M6+M7</f>
        <v>0.95959595959595956</v>
      </c>
      <c r="P6" s="70" t="s">
        <v>393</v>
      </c>
      <c r="Q6" s="71">
        <f>COUNTIF('1. All Data'!$R$3:$R$111,"Fully Achieved")</f>
        <v>0</v>
      </c>
      <c r="R6" s="72">
        <f>Q6/Q20</f>
        <v>0</v>
      </c>
      <c r="S6" s="365">
        <f>R6+R7</f>
        <v>0</v>
      </c>
      <c r="T6" s="72" t="e">
        <f>Q6/Q21</f>
        <v>#DIV/0!</v>
      </c>
      <c r="U6" s="380" t="e">
        <f>T6+T7</f>
        <v>#DIV/0!</v>
      </c>
      <c r="W6" s="70" t="s">
        <v>393</v>
      </c>
      <c r="X6" s="71"/>
      <c r="Y6" s="72"/>
      <c r="Z6" s="365"/>
      <c r="AA6" s="72"/>
      <c r="AB6" s="380">
        <f>AA6+AA7</f>
        <v>0</v>
      </c>
    </row>
    <row r="7" spans="2:32" ht="30.75" customHeight="1">
      <c r="B7" s="70" t="s">
        <v>344</v>
      </c>
      <c r="C7" s="71">
        <f>COUNTIF('1. All Data'!$H$3:$H$111,"On Track to be Achieved")</f>
        <v>72</v>
      </c>
      <c r="D7" s="72">
        <f>C7/C20</f>
        <v>0.66055045871559637</v>
      </c>
      <c r="E7" s="365"/>
      <c r="F7" s="72">
        <f>C7/C21</f>
        <v>0.86746987951807231</v>
      </c>
      <c r="G7" s="380"/>
      <c r="I7" s="70" t="s">
        <v>344</v>
      </c>
      <c r="J7" s="71">
        <f>COUNTIF('1. All Data'!$M$3:$M$111,"On Track to be Achieved")</f>
        <v>72</v>
      </c>
      <c r="K7" s="72">
        <f>J7/J20</f>
        <v>0.66055045871559637</v>
      </c>
      <c r="L7" s="365"/>
      <c r="M7" s="72">
        <f>J7/J21</f>
        <v>0.72727272727272729</v>
      </c>
      <c r="N7" s="380"/>
      <c r="P7" s="70" t="s">
        <v>344</v>
      </c>
      <c r="Q7" s="71">
        <f>COUNTIF('1. All Data'!$R$3:$R$111,"On Track to be Achieved")</f>
        <v>0</v>
      </c>
      <c r="R7" s="72">
        <f>Q7/Q20</f>
        <v>0</v>
      </c>
      <c r="S7" s="365"/>
      <c r="T7" s="72" t="e">
        <f>Q7/Q21</f>
        <v>#DIV/0!</v>
      </c>
      <c r="U7" s="380"/>
      <c r="W7" s="70" t="s">
        <v>344</v>
      </c>
      <c r="X7" s="71"/>
      <c r="Y7" s="72"/>
      <c r="Z7" s="365"/>
      <c r="AA7" s="72"/>
      <c r="AB7" s="380"/>
    </row>
    <row r="8" spans="2:32" s="38" customFormat="1" ht="6" customHeight="1">
      <c r="B8" s="33"/>
      <c r="C8" s="34"/>
      <c r="D8" s="35"/>
      <c r="E8" s="35"/>
      <c r="F8" s="35"/>
      <c r="G8" s="36"/>
      <c r="H8" s="37"/>
      <c r="I8" s="33"/>
      <c r="J8" s="34"/>
      <c r="K8" s="35"/>
      <c r="L8" s="35"/>
      <c r="M8" s="35"/>
      <c r="N8" s="36"/>
      <c r="O8" s="37"/>
      <c r="P8" s="33"/>
      <c r="Q8" s="34"/>
      <c r="R8" s="35"/>
      <c r="S8" s="35"/>
      <c r="T8" s="35"/>
      <c r="U8" s="36"/>
      <c r="V8" s="37"/>
      <c r="W8" s="33"/>
      <c r="X8" s="34"/>
      <c r="Y8" s="35"/>
      <c r="Z8" s="35"/>
      <c r="AA8" s="35"/>
      <c r="AB8" s="36"/>
      <c r="AD8" s="32"/>
      <c r="AE8" s="32"/>
      <c r="AF8" s="32"/>
    </row>
    <row r="9" spans="2:32" ht="18.75" customHeight="1">
      <c r="B9" s="368" t="s">
        <v>345</v>
      </c>
      <c r="C9" s="371">
        <f>COUNTIF('1. All Data'!$H$3:$H$111,"In Danger of Falling Behind Target")</f>
        <v>2</v>
      </c>
      <c r="D9" s="374">
        <f>C9/C20</f>
        <v>1.834862385321101E-2</v>
      </c>
      <c r="E9" s="374">
        <f>D9</f>
        <v>1.834862385321101E-2</v>
      </c>
      <c r="F9" s="374">
        <f>C9/C21</f>
        <v>2.4096385542168676E-2</v>
      </c>
      <c r="G9" s="377">
        <f>F9</f>
        <v>2.4096385542168676E-2</v>
      </c>
      <c r="I9" s="368" t="s">
        <v>345</v>
      </c>
      <c r="J9" s="371">
        <f>COUNTIF('1. All Data'!$M$5:$M$129,"In Danger of Falling Behind Target")</f>
        <v>2</v>
      </c>
      <c r="K9" s="374">
        <f>J9/J20</f>
        <v>1.834862385321101E-2</v>
      </c>
      <c r="L9" s="374">
        <f>K9</f>
        <v>1.834862385321101E-2</v>
      </c>
      <c r="M9" s="374">
        <f>J9/J21</f>
        <v>2.0202020202020204E-2</v>
      </c>
      <c r="N9" s="377">
        <f>M9</f>
        <v>2.0202020202020204E-2</v>
      </c>
      <c r="P9" s="368" t="s">
        <v>345</v>
      </c>
      <c r="Q9" s="371">
        <f>COUNTIF('1. All Data'!$R$3:$R$111,"In Danger of Falling Behind Target")</f>
        <v>0</v>
      </c>
      <c r="R9" s="374">
        <f>Q9/Q20</f>
        <v>0</v>
      </c>
      <c r="S9" s="374">
        <f>R9</f>
        <v>0</v>
      </c>
      <c r="T9" s="374" t="e">
        <f>Q9/Q21</f>
        <v>#DIV/0!</v>
      </c>
      <c r="U9" s="377" t="e">
        <f>T9</f>
        <v>#DIV/0!</v>
      </c>
      <c r="W9" s="91" t="s">
        <v>337</v>
      </c>
      <c r="X9" s="92"/>
      <c r="Y9" s="72"/>
      <c r="Z9" s="365"/>
      <c r="AA9" s="72"/>
      <c r="AB9" s="366">
        <f>AA9</f>
        <v>0</v>
      </c>
      <c r="AD9" s="39"/>
    </row>
    <row r="10" spans="2:32" ht="19.5" customHeight="1">
      <c r="B10" s="369"/>
      <c r="C10" s="372"/>
      <c r="D10" s="375"/>
      <c r="E10" s="375"/>
      <c r="F10" s="375"/>
      <c r="G10" s="378"/>
      <c r="I10" s="369"/>
      <c r="J10" s="372"/>
      <c r="K10" s="375"/>
      <c r="L10" s="375"/>
      <c r="M10" s="375"/>
      <c r="N10" s="378"/>
      <c r="P10" s="369"/>
      <c r="Q10" s="372"/>
      <c r="R10" s="375"/>
      <c r="S10" s="375"/>
      <c r="T10" s="375"/>
      <c r="U10" s="378"/>
      <c r="W10" s="91" t="s">
        <v>338</v>
      </c>
      <c r="X10" s="92"/>
      <c r="Y10" s="72"/>
      <c r="Z10" s="365"/>
      <c r="AA10" s="72"/>
      <c r="AB10" s="366"/>
      <c r="AD10" s="39"/>
    </row>
    <row r="11" spans="2:32" ht="19.5" customHeight="1">
      <c r="B11" s="370"/>
      <c r="C11" s="373"/>
      <c r="D11" s="376"/>
      <c r="E11" s="376"/>
      <c r="F11" s="376"/>
      <c r="G11" s="379"/>
      <c r="I11" s="370"/>
      <c r="J11" s="373"/>
      <c r="K11" s="376"/>
      <c r="L11" s="376"/>
      <c r="M11" s="376"/>
      <c r="N11" s="379"/>
      <c r="P11" s="370"/>
      <c r="Q11" s="373"/>
      <c r="R11" s="376"/>
      <c r="S11" s="376"/>
      <c r="T11" s="376"/>
      <c r="U11" s="379"/>
      <c r="W11" s="91" t="s">
        <v>341</v>
      </c>
      <c r="X11" s="92"/>
      <c r="Y11" s="72"/>
      <c r="Z11" s="365"/>
      <c r="AA11" s="72"/>
      <c r="AB11" s="366"/>
      <c r="AD11" s="39"/>
    </row>
    <row r="12" spans="2:32" s="32" customFormat="1" ht="6" customHeight="1">
      <c r="B12" s="29"/>
      <c r="C12" s="30"/>
      <c r="D12" s="40"/>
      <c r="E12" s="40"/>
      <c r="F12" s="40"/>
      <c r="G12" s="41"/>
      <c r="H12" s="31"/>
      <c r="I12" s="29"/>
      <c r="J12" s="30"/>
      <c r="K12" s="40"/>
      <c r="L12" s="40"/>
      <c r="M12" s="40"/>
      <c r="N12" s="41"/>
      <c r="O12" s="31"/>
      <c r="P12" s="29"/>
      <c r="Q12" s="30"/>
      <c r="R12" s="40"/>
      <c r="S12" s="40"/>
      <c r="T12" s="40"/>
      <c r="U12" s="41"/>
      <c r="V12" s="31"/>
      <c r="W12" s="29"/>
      <c r="X12" s="30"/>
      <c r="Y12" s="40"/>
      <c r="Z12" s="40"/>
      <c r="AA12" s="40"/>
      <c r="AB12" s="41"/>
      <c r="AD12" s="42"/>
    </row>
    <row r="13" spans="2:32" ht="29.25" customHeight="1">
      <c r="B13" s="74" t="s">
        <v>346</v>
      </c>
      <c r="C13" s="71">
        <f>COUNTIF('1. All Data'!H3:H111,"completed behind schedule")</f>
        <v>0</v>
      </c>
      <c r="D13" s="72">
        <f>C13/C20</f>
        <v>0</v>
      </c>
      <c r="E13" s="365">
        <f>D13+D14</f>
        <v>9.1743119266055051E-3</v>
      </c>
      <c r="F13" s="72">
        <f>C13/C21</f>
        <v>0</v>
      </c>
      <c r="G13" s="367">
        <f>F13+F14</f>
        <v>1.2048192771084338E-2</v>
      </c>
      <c r="I13" s="74" t="s">
        <v>346</v>
      </c>
      <c r="J13" s="71">
        <f>COUNTIF('1. All Data'!M3:M111,"Completed Behind Schedule")</f>
        <v>1</v>
      </c>
      <c r="K13" s="72">
        <f>J13/J20</f>
        <v>9.1743119266055051E-3</v>
      </c>
      <c r="L13" s="365">
        <f>K13+K14</f>
        <v>1.834862385321101E-2</v>
      </c>
      <c r="M13" s="72">
        <f>J13/J21</f>
        <v>1.0101010101010102E-2</v>
      </c>
      <c r="N13" s="367">
        <f>M13+M14</f>
        <v>2.0202020202020204E-2</v>
      </c>
      <c r="P13" s="74" t="s">
        <v>346</v>
      </c>
      <c r="Q13" s="71">
        <f>COUNTIF('1. All Data'!R3:R111,"completed behind schedule")</f>
        <v>0</v>
      </c>
      <c r="R13" s="72">
        <f>Q13/Q20</f>
        <v>0</v>
      </c>
      <c r="S13" s="365">
        <f>R13+R14</f>
        <v>0</v>
      </c>
      <c r="T13" s="72" t="e">
        <f>Q13/Q21</f>
        <v>#DIV/0!</v>
      </c>
      <c r="U13" s="367" t="e">
        <f>T13+T14</f>
        <v>#DIV/0!</v>
      </c>
      <c r="W13" s="74" t="s">
        <v>340</v>
      </c>
      <c r="X13" s="93"/>
      <c r="Y13" s="72"/>
      <c r="Z13" s="365"/>
      <c r="AA13" s="72"/>
      <c r="AB13" s="367">
        <f>AA13+AA14</f>
        <v>0</v>
      </c>
    </row>
    <row r="14" spans="2:32" ht="29.25" customHeight="1">
      <c r="B14" s="74" t="s">
        <v>339</v>
      </c>
      <c r="C14" s="71">
        <f>COUNTIF('1. All Data'!H3:H111,"off target")</f>
        <v>1</v>
      </c>
      <c r="D14" s="72">
        <f>C14/C20</f>
        <v>9.1743119266055051E-3</v>
      </c>
      <c r="E14" s="365"/>
      <c r="F14" s="72">
        <f>C14/C21</f>
        <v>1.2048192771084338E-2</v>
      </c>
      <c r="G14" s="367"/>
      <c r="I14" s="74" t="s">
        <v>339</v>
      </c>
      <c r="J14" s="71">
        <f>COUNTIF('1. All Data'!M3:M111,"Off Target")</f>
        <v>1</v>
      </c>
      <c r="K14" s="72">
        <f>J14/J20</f>
        <v>9.1743119266055051E-3</v>
      </c>
      <c r="L14" s="365"/>
      <c r="M14" s="72">
        <f>J14/J21</f>
        <v>1.0101010101010102E-2</v>
      </c>
      <c r="N14" s="367"/>
      <c r="P14" s="74" t="s">
        <v>339</v>
      </c>
      <c r="Q14" s="71">
        <f>COUNTIF('1. All Data'!R3:R111,"off target")</f>
        <v>0</v>
      </c>
      <c r="R14" s="72">
        <f>Q14/Q20</f>
        <v>0</v>
      </c>
      <c r="S14" s="365"/>
      <c r="T14" s="72" t="e">
        <f>Q14/Q21</f>
        <v>#DIV/0!</v>
      </c>
      <c r="U14" s="367"/>
      <c r="W14" s="74" t="s">
        <v>339</v>
      </c>
      <c r="X14" s="93"/>
      <c r="Y14" s="72"/>
      <c r="Z14" s="365"/>
      <c r="AA14" s="72"/>
      <c r="AB14" s="367"/>
    </row>
    <row r="15" spans="2:32" s="32" customFormat="1" ht="7.5" customHeight="1">
      <c r="B15" s="29"/>
      <c r="C15" s="43"/>
      <c r="D15" s="40"/>
      <c r="E15" s="40"/>
      <c r="F15" s="40"/>
      <c r="G15" s="44"/>
      <c r="H15" s="31"/>
      <c r="I15" s="29"/>
      <c r="J15" s="43"/>
      <c r="K15" s="40"/>
      <c r="L15" s="40"/>
      <c r="M15" s="40"/>
      <c r="N15" s="44"/>
      <c r="O15" s="31"/>
      <c r="P15" s="29"/>
      <c r="Q15" s="43"/>
      <c r="R15" s="40"/>
      <c r="S15" s="40"/>
      <c r="T15" s="40"/>
      <c r="U15" s="44"/>
      <c r="V15" s="31"/>
      <c r="W15" s="29"/>
      <c r="X15" s="43"/>
      <c r="Y15" s="40"/>
      <c r="Z15" s="40"/>
      <c r="AA15" s="40"/>
      <c r="AB15" s="44"/>
    </row>
    <row r="16" spans="2:32" ht="20.25" customHeight="1">
      <c r="B16" s="75" t="s">
        <v>394</v>
      </c>
      <c r="C16" s="71">
        <f>COUNTIF('1. All Data'!H3:H111,"not yet due")</f>
        <v>26</v>
      </c>
      <c r="D16" s="76">
        <f>C16/C20</f>
        <v>0.23853211009174313</v>
      </c>
      <c r="E16" s="76">
        <f>D16</f>
        <v>0.23853211009174313</v>
      </c>
      <c r="F16" s="45"/>
      <c r="G16" s="46"/>
      <c r="I16" s="75" t="s">
        <v>394</v>
      </c>
      <c r="J16" s="71">
        <f>COUNTIF('1. All Data'!M3:M111,"not yet due")</f>
        <v>10</v>
      </c>
      <c r="K16" s="76">
        <f>J16/J20</f>
        <v>9.1743119266055051E-2</v>
      </c>
      <c r="L16" s="76">
        <f>K16</f>
        <v>9.1743119266055051E-2</v>
      </c>
      <c r="M16" s="45"/>
      <c r="N16" s="46"/>
      <c r="P16" s="75" t="s">
        <v>394</v>
      </c>
      <c r="Q16" s="71">
        <f>COUNTIF('1. All Data'!R3:R111,"not yet due")</f>
        <v>0</v>
      </c>
      <c r="R16" s="76">
        <f>Q16/Q20</f>
        <v>0</v>
      </c>
      <c r="S16" s="76">
        <f>R16</f>
        <v>0</v>
      </c>
      <c r="T16" s="45"/>
      <c r="U16" s="46"/>
      <c r="W16" s="75" t="s">
        <v>394</v>
      </c>
      <c r="X16" s="71"/>
      <c r="Y16" s="76"/>
      <c r="Z16" s="76"/>
      <c r="AA16" s="45"/>
      <c r="AB16" s="46"/>
    </row>
    <row r="17" spans="2:30" ht="20.25" customHeight="1">
      <c r="B17" s="75" t="s">
        <v>334</v>
      </c>
      <c r="C17" s="71">
        <f>COUNTIF('1. All Data'!H3:H111,"update not provided")</f>
        <v>0</v>
      </c>
      <c r="D17" s="76">
        <f>C17/C20</f>
        <v>0</v>
      </c>
      <c r="E17" s="76">
        <f>D17</f>
        <v>0</v>
      </c>
      <c r="F17" s="45"/>
      <c r="G17" s="48"/>
      <c r="I17" s="75" t="s">
        <v>334</v>
      </c>
      <c r="J17" s="71">
        <f>COUNTIF('1. All Data'!M3:M111,"update not provided")</f>
        <v>0</v>
      </c>
      <c r="K17" s="76">
        <f>J17/J20</f>
        <v>0</v>
      </c>
      <c r="L17" s="76">
        <f>K17</f>
        <v>0</v>
      </c>
      <c r="M17" s="45"/>
      <c r="N17" s="48"/>
      <c r="P17" s="75" t="s">
        <v>334</v>
      </c>
      <c r="Q17" s="71">
        <f>COUNTIF('1. All Data'!R3:R111,"update not provided")</f>
        <v>109</v>
      </c>
      <c r="R17" s="76">
        <f>Q17/Q20</f>
        <v>1</v>
      </c>
      <c r="S17" s="76">
        <f>R17</f>
        <v>1</v>
      </c>
      <c r="T17" s="45"/>
      <c r="U17" s="48"/>
      <c r="W17" s="75" t="s">
        <v>334</v>
      </c>
      <c r="X17" s="71"/>
      <c r="Y17" s="76"/>
      <c r="Z17" s="76"/>
      <c r="AA17" s="45"/>
      <c r="AB17" s="48"/>
    </row>
    <row r="18" spans="2:30" ht="15.75" customHeight="1">
      <c r="B18" s="77" t="s">
        <v>342</v>
      </c>
      <c r="C18" s="71">
        <f>COUNTIF('1. All Data'!H3:H111,"deferred")</f>
        <v>0</v>
      </c>
      <c r="D18" s="78">
        <f>C18/C20</f>
        <v>0</v>
      </c>
      <c r="E18" s="78">
        <f>D18</f>
        <v>0</v>
      </c>
      <c r="F18" s="50"/>
      <c r="G18" s="46"/>
      <c r="I18" s="77" t="s">
        <v>342</v>
      </c>
      <c r="J18" s="71">
        <f>COUNTIF('1. All Data'!M3:M111,"deferred")</f>
        <v>0</v>
      </c>
      <c r="K18" s="78">
        <f>J18/J20</f>
        <v>0</v>
      </c>
      <c r="L18" s="78">
        <f>K18</f>
        <v>0</v>
      </c>
      <c r="M18" s="50"/>
      <c r="N18" s="46"/>
      <c r="P18" s="77" t="s">
        <v>342</v>
      </c>
      <c r="Q18" s="71">
        <f>COUNTIF('1. All Data'!R3:R111,"deferred")</f>
        <v>0</v>
      </c>
      <c r="R18" s="78">
        <f>Q18/Q20</f>
        <v>0</v>
      </c>
      <c r="S18" s="78">
        <f>R18</f>
        <v>0</v>
      </c>
      <c r="T18" s="50"/>
      <c r="U18" s="46"/>
      <c r="W18" s="77" t="s">
        <v>342</v>
      </c>
      <c r="X18" s="71"/>
      <c r="Y18" s="78"/>
      <c r="Z18" s="78"/>
      <c r="AA18" s="50"/>
      <c r="AB18" s="46"/>
      <c r="AD18" s="39"/>
    </row>
    <row r="19" spans="2:30" ht="15.75" customHeight="1">
      <c r="B19" s="77" t="s">
        <v>343</v>
      </c>
      <c r="C19" s="71">
        <f>COUNTIF('1. All Data'!H3:H111,"deleted")</f>
        <v>0</v>
      </c>
      <c r="D19" s="78">
        <f>C19/C20</f>
        <v>0</v>
      </c>
      <c r="E19" s="78">
        <f>D19</f>
        <v>0</v>
      </c>
      <c r="F19" s="50"/>
      <c r="G19" s="52" t="s">
        <v>395</v>
      </c>
      <c r="I19" s="77" t="s">
        <v>343</v>
      </c>
      <c r="J19" s="71">
        <f>COUNTIF('1. All Data'!M3:M111,"deleted")</f>
        <v>0</v>
      </c>
      <c r="K19" s="78">
        <f>J19/J20</f>
        <v>0</v>
      </c>
      <c r="L19" s="78">
        <f>K19</f>
        <v>0</v>
      </c>
      <c r="M19" s="50"/>
      <c r="N19" s="52" t="s">
        <v>395</v>
      </c>
      <c r="P19" s="77" t="s">
        <v>343</v>
      </c>
      <c r="Q19" s="71">
        <f>COUNTIF('1. All Data'!R3:R111,"deleted")</f>
        <v>0</v>
      </c>
      <c r="R19" s="78">
        <f>Q19/Q20</f>
        <v>0</v>
      </c>
      <c r="S19" s="78">
        <f>R19</f>
        <v>0</v>
      </c>
      <c r="T19" s="50"/>
      <c r="U19" s="52" t="s">
        <v>395</v>
      </c>
      <c r="W19" s="77" t="s">
        <v>343</v>
      </c>
      <c r="X19" s="71"/>
      <c r="Y19" s="78"/>
      <c r="Z19" s="78"/>
      <c r="AA19" s="50"/>
      <c r="AB19" s="52" t="s">
        <v>395</v>
      </c>
    </row>
    <row r="20" spans="2:30" ht="15.75" customHeight="1">
      <c r="B20" s="79" t="s">
        <v>396</v>
      </c>
      <c r="C20" s="80">
        <f>SUM(C6:C19)</f>
        <v>109</v>
      </c>
      <c r="D20" s="50"/>
      <c r="E20" s="50"/>
      <c r="F20" s="46"/>
      <c r="G20" s="46"/>
      <c r="I20" s="79" t="s">
        <v>396</v>
      </c>
      <c r="J20" s="80">
        <f>SUM(J6:J19)</f>
        <v>109</v>
      </c>
      <c r="K20" s="50"/>
      <c r="L20" s="50"/>
      <c r="M20" s="46"/>
      <c r="N20" s="46"/>
      <c r="P20" s="79" t="s">
        <v>396</v>
      </c>
      <c r="Q20" s="80">
        <f>SUM(Q6:Q19)</f>
        <v>109</v>
      </c>
      <c r="R20" s="50"/>
      <c r="S20" s="50"/>
      <c r="T20" s="46"/>
      <c r="U20" s="46"/>
      <c r="W20" s="79" t="s">
        <v>396</v>
      </c>
      <c r="X20" s="80"/>
      <c r="Y20" s="50"/>
      <c r="Z20" s="50"/>
      <c r="AA20" s="46"/>
      <c r="AB20" s="46"/>
    </row>
    <row r="21" spans="2:30" ht="15.75" customHeight="1">
      <c r="B21" s="79" t="s">
        <v>397</v>
      </c>
      <c r="C21" s="80">
        <f>C20-C19-C18-C17-C16</f>
        <v>83</v>
      </c>
      <c r="D21" s="46"/>
      <c r="E21" s="46"/>
      <c r="F21" s="46"/>
      <c r="G21" s="46"/>
      <c r="I21" s="79" t="s">
        <v>397</v>
      </c>
      <c r="J21" s="80">
        <f>J20-J19-J18-J17-J16</f>
        <v>99</v>
      </c>
      <c r="K21" s="46"/>
      <c r="L21" s="46"/>
      <c r="M21" s="46"/>
      <c r="N21" s="46"/>
      <c r="P21" s="79" t="s">
        <v>397</v>
      </c>
      <c r="Q21" s="80">
        <f>Q20-Q19-Q18-Q17-Q16</f>
        <v>0</v>
      </c>
      <c r="R21" s="46"/>
      <c r="S21" s="46"/>
      <c r="T21" s="46"/>
      <c r="U21" s="46"/>
      <c r="W21" s="79" t="s">
        <v>397</v>
      </c>
      <c r="X21" s="80"/>
      <c r="Y21" s="46"/>
      <c r="Z21" s="46"/>
      <c r="AA21" s="46"/>
      <c r="AB21" s="46"/>
      <c r="AD21" s="39"/>
    </row>
    <row r="22" spans="2:30" ht="15.75" customHeight="1">
      <c r="W22" s="53"/>
      <c r="AA22" s="47"/>
      <c r="AD22" s="39"/>
    </row>
    <row r="23" spans="2:30" ht="15.75" customHeight="1">
      <c r="AA23" s="47"/>
    </row>
    <row r="24" spans="2:30" ht="15" customHeight="1">
      <c r="AA24" s="47"/>
    </row>
    <row r="25" spans="2:30" ht="19.5" customHeight="1">
      <c r="B25" s="85" t="s">
        <v>401</v>
      </c>
      <c r="C25" s="86"/>
      <c r="D25" s="86"/>
      <c r="E25" s="86"/>
      <c r="F25" s="82"/>
      <c r="G25" s="87"/>
      <c r="I25" s="85" t="s">
        <v>401</v>
      </c>
      <c r="J25" s="86"/>
      <c r="K25" s="86"/>
      <c r="L25" s="86"/>
      <c r="M25" s="82"/>
      <c r="N25" s="87"/>
      <c r="P25" s="85" t="s">
        <v>401</v>
      </c>
      <c r="Q25" s="86"/>
      <c r="R25" s="86"/>
      <c r="S25" s="86"/>
      <c r="T25" s="82"/>
      <c r="U25" s="87"/>
      <c r="W25" s="57" t="s">
        <v>398</v>
      </c>
      <c r="X25" s="27"/>
      <c r="Y25" s="27"/>
      <c r="Z25" s="27"/>
      <c r="AA25" s="27"/>
      <c r="AB25" s="28"/>
    </row>
    <row r="26" spans="2:30" ht="42" customHeight="1">
      <c r="B26" s="84" t="s">
        <v>387</v>
      </c>
      <c r="C26" s="84" t="s">
        <v>388</v>
      </c>
      <c r="D26" s="84" t="s">
        <v>389</v>
      </c>
      <c r="E26" s="84" t="s">
        <v>390</v>
      </c>
      <c r="F26" s="84" t="s">
        <v>391</v>
      </c>
      <c r="G26" s="84" t="s">
        <v>392</v>
      </c>
      <c r="I26" s="84" t="s">
        <v>387</v>
      </c>
      <c r="J26" s="84" t="s">
        <v>388</v>
      </c>
      <c r="K26" s="84" t="s">
        <v>389</v>
      </c>
      <c r="L26" s="84" t="s">
        <v>390</v>
      </c>
      <c r="M26" s="84" t="s">
        <v>391</v>
      </c>
      <c r="N26" s="84" t="s">
        <v>392</v>
      </c>
      <c r="P26" s="84" t="s">
        <v>387</v>
      </c>
      <c r="Q26" s="84" t="s">
        <v>388</v>
      </c>
      <c r="R26" s="84" t="s">
        <v>389</v>
      </c>
      <c r="S26" s="84" t="s">
        <v>390</v>
      </c>
      <c r="T26" s="84" t="s">
        <v>391</v>
      </c>
      <c r="U26" s="84" t="s">
        <v>392</v>
      </c>
      <c r="W26" s="84" t="s">
        <v>387</v>
      </c>
      <c r="X26" s="84" t="s">
        <v>388</v>
      </c>
      <c r="Y26" s="84" t="s">
        <v>389</v>
      </c>
      <c r="Z26" s="84" t="s">
        <v>390</v>
      </c>
      <c r="AA26" s="84" t="s">
        <v>391</v>
      </c>
      <c r="AB26" s="84" t="s">
        <v>392</v>
      </c>
    </row>
    <row r="27" spans="2:30" s="32" customFormat="1" ht="6" customHeight="1">
      <c r="B27" s="29"/>
      <c r="C27" s="30"/>
      <c r="D27" s="30"/>
      <c r="E27" s="30"/>
      <c r="F27" s="30"/>
      <c r="G27" s="30"/>
      <c r="H27" s="31"/>
      <c r="I27" s="29"/>
      <c r="J27" s="30"/>
      <c r="K27" s="30"/>
      <c r="L27" s="30"/>
      <c r="M27" s="30"/>
      <c r="N27" s="30"/>
      <c r="O27" s="31"/>
      <c r="P27" s="29"/>
      <c r="Q27" s="30"/>
      <c r="R27" s="30"/>
      <c r="S27" s="30"/>
      <c r="T27" s="30"/>
      <c r="U27" s="30"/>
      <c r="V27" s="31"/>
      <c r="W27" s="29"/>
      <c r="X27" s="30"/>
      <c r="Y27" s="30"/>
      <c r="Z27" s="30"/>
      <c r="AA27" s="30"/>
      <c r="AB27" s="30"/>
    </row>
    <row r="28" spans="2:30" ht="21.75" customHeight="1">
      <c r="B28" s="70" t="s">
        <v>393</v>
      </c>
      <c r="C28" s="71">
        <f>COUNTIFS('1. All Data'!$AA$3:$AA$111,"Value For Money Council",'1. All Data'!$H$3:$H$111,"Fully Achieved")</f>
        <v>6</v>
      </c>
      <c r="D28" s="72">
        <f>C28/C42</f>
        <v>9.0909090909090912E-2</v>
      </c>
      <c r="E28" s="365">
        <f>D28+D29</f>
        <v>0.75757575757575757</v>
      </c>
      <c r="F28" s="72">
        <f>C28/C43</f>
        <v>0.11538461538461539</v>
      </c>
      <c r="G28" s="380">
        <f>F28+F29</f>
        <v>0.96153846153846156</v>
      </c>
      <c r="I28" s="70" t="s">
        <v>393</v>
      </c>
      <c r="J28" s="71">
        <f>COUNTIFS('1. All Data'!$AA$3:$AA$111,"Value For Money Council",'1. All Data'!$M$3:$M$111,"Fully Achieved")</f>
        <v>18</v>
      </c>
      <c r="K28" s="72">
        <f>J28/J42</f>
        <v>0.27272727272727271</v>
      </c>
      <c r="L28" s="365">
        <f>K28+K29</f>
        <v>0.86363636363636365</v>
      </c>
      <c r="M28" s="72">
        <f>J28/J43</f>
        <v>0.3</v>
      </c>
      <c r="N28" s="380">
        <f>M28+M29</f>
        <v>0.95</v>
      </c>
      <c r="P28" s="70" t="s">
        <v>393</v>
      </c>
      <c r="Q28" s="71">
        <f>COUNTIFS('1. All Data'!$AA$3:$AA$111,"Value For Money Council",'1. All Data'!$R$3:$R$111,"Fully Achieved")</f>
        <v>0</v>
      </c>
      <c r="R28" s="72">
        <f>Q28/Q42</f>
        <v>0</v>
      </c>
      <c r="S28" s="365">
        <f>R28+R29</f>
        <v>0</v>
      </c>
      <c r="T28" s="72" t="e">
        <f>Q28/Q43</f>
        <v>#DIV/0!</v>
      </c>
      <c r="U28" s="380" t="e">
        <f>T28+T29</f>
        <v>#DIV/0!</v>
      </c>
      <c r="W28" s="70" t="s">
        <v>393</v>
      </c>
      <c r="X28" s="71"/>
      <c r="Y28" s="72"/>
      <c r="Z28" s="365"/>
      <c r="AA28" s="72"/>
      <c r="AB28" s="380">
        <f>AA28+AA29</f>
        <v>0</v>
      </c>
    </row>
    <row r="29" spans="2:30" ht="18.75" customHeight="1">
      <c r="B29" s="70" t="s">
        <v>344</v>
      </c>
      <c r="C29" s="71">
        <f>COUNTIFS('1. All Data'!$AA$3:$AA$111,"Value For Money Council",'1. All Data'!$H$3:$H$111,"On Track to be achieved")</f>
        <v>44</v>
      </c>
      <c r="D29" s="72">
        <f>C29/C42</f>
        <v>0.66666666666666663</v>
      </c>
      <c r="E29" s="365"/>
      <c r="F29" s="72">
        <f>C29/C43</f>
        <v>0.84615384615384615</v>
      </c>
      <c r="G29" s="380"/>
      <c r="I29" s="70" t="s">
        <v>344</v>
      </c>
      <c r="J29" s="71">
        <f>COUNTIFS('1. All Data'!$AA$3:$AA$111,"Value For Money Council",'1. All Data'!$M$3:$M$111,"On Track to be achieved")</f>
        <v>39</v>
      </c>
      <c r="K29" s="72">
        <f>J29/J42</f>
        <v>0.59090909090909094</v>
      </c>
      <c r="L29" s="365"/>
      <c r="M29" s="72">
        <f>J29/J43</f>
        <v>0.65</v>
      </c>
      <c r="N29" s="380"/>
      <c r="P29" s="70" t="s">
        <v>344</v>
      </c>
      <c r="Q29" s="71">
        <f>COUNTIFS('1. All Data'!$AA$3:$AA$111,"Value For Money Council",'1. All Data'!$R$3:$R$111,"On Track to be achieved")</f>
        <v>0</v>
      </c>
      <c r="R29" s="72">
        <f>Q29/Q42</f>
        <v>0</v>
      </c>
      <c r="S29" s="365"/>
      <c r="T29" s="72" t="e">
        <f>Q29/Q43</f>
        <v>#DIV/0!</v>
      </c>
      <c r="U29" s="380"/>
      <c r="W29" s="70" t="s">
        <v>344</v>
      </c>
      <c r="X29" s="71"/>
      <c r="Y29" s="72"/>
      <c r="Z29" s="365"/>
      <c r="AA29" s="72"/>
      <c r="AB29" s="380"/>
    </row>
    <row r="30" spans="2:30" s="32" customFormat="1" ht="6" customHeight="1">
      <c r="B30" s="33"/>
      <c r="C30" s="34"/>
      <c r="D30" s="35"/>
      <c r="E30" s="35"/>
      <c r="F30" s="35"/>
      <c r="G30" s="36"/>
      <c r="H30" s="31"/>
      <c r="I30" s="33"/>
      <c r="J30" s="34"/>
      <c r="K30" s="35"/>
      <c r="L30" s="35"/>
      <c r="M30" s="35"/>
      <c r="N30" s="36"/>
      <c r="O30" s="31"/>
      <c r="P30" s="33"/>
      <c r="Q30" s="34"/>
      <c r="R30" s="35"/>
      <c r="S30" s="35"/>
      <c r="T30" s="35"/>
      <c r="U30" s="36"/>
      <c r="V30" s="31"/>
      <c r="W30" s="33"/>
      <c r="X30" s="34"/>
      <c r="Y30" s="35"/>
      <c r="Z30" s="35"/>
      <c r="AA30" s="35"/>
      <c r="AB30" s="36"/>
    </row>
    <row r="31" spans="2:30" ht="21" customHeight="1">
      <c r="B31" s="368" t="s">
        <v>345</v>
      </c>
      <c r="C31" s="371">
        <f>COUNTIFS('1. All Data'!$AA$3:$AA$111,"Value For Money Council",'1. All Data'!$H$3:$H$111,"In Danger of Falling Behind Target")</f>
        <v>1</v>
      </c>
      <c r="D31" s="374">
        <f>C31/C42</f>
        <v>1.5151515151515152E-2</v>
      </c>
      <c r="E31" s="374">
        <f>D31</f>
        <v>1.5151515151515152E-2</v>
      </c>
      <c r="F31" s="374">
        <f>C31/C43</f>
        <v>1.9230769230769232E-2</v>
      </c>
      <c r="G31" s="377">
        <f>F31</f>
        <v>1.9230769230769232E-2</v>
      </c>
      <c r="I31" s="368" t="s">
        <v>345</v>
      </c>
      <c r="J31" s="371">
        <f>COUNTIFS('1. All Data'!$AA$3:$AA$111,"Value For Money Council",'1. All Data'!$M$3:$M$111,"In Danger of Falling Behind Target")</f>
        <v>2</v>
      </c>
      <c r="K31" s="374">
        <f>J31/J42</f>
        <v>3.0303030303030304E-2</v>
      </c>
      <c r="L31" s="374">
        <f>K31</f>
        <v>3.0303030303030304E-2</v>
      </c>
      <c r="M31" s="374">
        <f>J31/J43</f>
        <v>3.3333333333333333E-2</v>
      </c>
      <c r="N31" s="377">
        <f>M31</f>
        <v>3.3333333333333333E-2</v>
      </c>
      <c r="P31" s="368" t="s">
        <v>345</v>
      </c>
      <c r="Q31" s="371">
        <f>COUNTIFS('1. All Data'!$AA$3:$AA$111,"Value For Money Council",'1. All Data'!$R$3:$R$111,"In Danger of Falling Behind Target")</f>
        <v>0</v>
      </c>
      <c r="R31" s="374">
        <f>Q31/Q42</f>
        <v>0</v>
      </c>
      <c r="S31" s="374">
        <f>R31</f>
        <v>0</v>
      </c>
      <c r="T31" s="374" t="e">
        <f>Q31/Q43</f>
        <v>#DIV/0!</v>
      </c>
      <c r="U31" s="377" t="e">
        <f>T31</f>
        <v>#DIV/0!</v>
      </c>
      <c r="W31" s="91" t="s">
        <v>337</v>
      </c>
      <c r="X31" s="92"/>
      <c r="Y31" s="72"/>
      <c r="Z31" s="365"/>
      <c r="AA31" s="72"/>
      <c r="AB31" s="366">
        <f>AA31</f>
        <v>0</v>
      </c>
    </row>
    <row r="32" spans="2:30" ht="20.25" customHeight="1">
      <c r="B32" s="369"/>
      <c r="C32" s="372"/>
      <c r="D32" s="375"/>
      <c r="E32" s="375"/>
      <c r="F32" s="375"/>
      <c r="G32" s="378"/>
      <c r="I32" s="369"/>
      <c r="J32" s="372"/>
      <c r="K32" s="375"/>
      <c r="L32" s="375"/>
      <c r="M32" s="375"/>
      <c r="N32" s="378"/>
      <c r="P32" s="369"/>
      <c r="Q32" s="372"/>
      <c r="R32" s="375"/>
      <c r="S32" s="375"/>
      <c r="T32" s="375"/>
      <c r="U32" s="378"/>
      <c r="W32" s="91" t="s">
        <v>338</v>
      </c>
      <c r="X32" s="92"/>
      <c r="Y32" s="72"/>
      <c r="Z32" s="365"/>
      <c r="AA32" s="72"/>
      <c r="AB32" s="366"/>
    </row>
    <row r="33" spans="2:28" ht="18.75" customHeight="1">
      <c r="B33" s="370"/>
      <c r="C33" s="373"/>
      <c r="D33" s="376"/>
      <c r="E33" s="376"/>
      <c r="F33" s="376"/>
      <c r="G33" s="379"/>
      <c r="I33" s="370"/>
      <c r="J33" s="373"/>
      <c r="K33" s="376"/>
      <c r="L33" s="376"/>
      <c r="M33" s="376"/>
      <c r="N33" s="379"/>
      <c r="P33" s="370"/>
      <c r="Q33" s="373"/>
      <c r="R33" s="376"/>
      <c r="S33" s="376"/>
      <c r="T33" s="376"/>
      <c r="U33" s="379"/>
      <c r="W33" s="91" t="s">
        <v>341</v>
      </c>
      <c r="X33" s="92"/>
      <c r="Y33" s="72"/>
      <c r="Z33" s="365"/>
      <c r="AA33" s="72"/>
      <c r="AB33" s="366"/>
    </row>
    <row r="34" spans="2:28" s="32" customFormat="1" ht="6" customHeight="1">
      <c r="B34" s="29"/>
      <c r="C34" s="30"/>
      <c r="D34" s="40"/>
      <c r="E34" s="40"/>
      <c r="F34" s="40"/>
      <c r="G34" s="41"/>
      <c r="H34" s="31"/>
      <c r="I34" s="29"/>
      <c r="J34" s="30"/>
      <c r="K34" s="40"/>
      <c r="L34" s="40"/>
      <c r="M34" s="40"/>
      <c r="N34" s="41"/>
      <c r="O34" s="31"/>
      <c r="P34" s="29"/>
      <c r="Q34" s="30"/>
      <c r="R34" s="40"/>
      <c r="S34" s="40"/>
      <c r="T34" s="40"/>
      <c r="U34" s="41"/>
      <c r="V34" s="31"/>
      <c r="W34" s="29"/>
      <c r="X34" s="30"/>
      <c r="Y34" s="40"/>
      <c r="Z34" s="40"/>
      <c r="AA34" s="40"/>
      <c r="AB34" s="41"/>
    </row>
    <row r="35" spans="2:28" ht="20.25" customHeight="1">
      <c r="B35" s="74" t="s">
        <v>346</v>
      </c>
      <c r="C35" s="71">
        <f>COUNTIFS('1. All Data'!$AA$3:$AA$111,"Value For Money Council",'1. All Data'!$H$3:$H$111,"Completed Behind Schedule")</f>
        <v>0</v>
      </c>
      <c r="D35" s="72">
        <f>C35/C42</f>
        <v>0</v>
      </c>
      <c r="E35" s="365">
        <f>D35+D36</f>
        <v>1.5151515151515152E-2</v>
      </c>
      <c r="F35" s="72">
        <f>C35/C43</f>
        <v>0</v>
      </c>
      <c r="G35" s="367">
        <f>F35+F36</f>
        <v>1.9230769230769232E-2</v>
      </c>
      <c r="I35" s="74" t="s">
        <v>346</v>
      </c>
      <c r="J35" s="71">
        <f>COUNTIFS('1. All Data'!$AA$3:$AA$111,"Value For Money Council",'1. All Data'!$M$3:$M$111,"Completed Behind Schedule")</f>
        <v>1</v>
      </c>
      <c r="K35" s="72">
        <f>J35/J42</f>
        <v>1.5151515151515152E-2</v>
      </c>
      <c r="L35" s="365">
        <f>K35+K36</f>
        <v>1.5151515151515152E-2</v>
      </c>
      <c r="M35" s="72">
        <f>J35/J43</f>
        <v>1.6666666666666666E-2</v>
      </c>
      <c r="N35" s="367">
        <f>M35+M36</f>
        <v>1.6666666666666666E-2</v>
      </c>
      <c r="P35" s="74" t="s">
        <v>346</v>
      </c>
      <c r="Q35" s="71">
        <f>COUNTIFS('1. All Data'!$AA$3:$AA$111,"Value For Money Council",'1. All Data'!$R$3:$R$111,"Completed Behind Schedule")</f>
        <v>0</v>
      </c>
      <c r="R35" s="72">
        <f>Q35/Q42</f>
        <v>0</v>
      </c>
      <c r="S35" s="365">
        <f>R35+R36</f>
        <v>0</v>
      </c>
      <c r="T35" s="72" t="e">
        <f>Q35/Q43</f>
        <v>#DIV/0!</v>
      </c>
      <c r="U35" s="367" t="e">
        <f>T35+T36</f>
        <v>#DIV/0!</v>
      </c>
      <c r="W35" s="74" t="s">
        <v>340</v>
      </c>
      <c r="X35" s="93"/>
      <c r="Y35" s="72"/>
      <c r="Z35" s="365"/>
      <c r="AA35" s="72"/>
      <c r="AB35" s="367">
        <f>AA35+AA36</f>
        <v>0</v>
      </c>
    </row>
    <row r="36" spans="2:28" ht="20.25" customHeight="1">
      <c r="B36" s="74" t="s">
        <v>339</v>
      </c>
      <c r="C36" s="71">
        <f>COUNTIFS('1. All Data'!$AA$3:$AA$111,"Value For Money Council",'1. All Data'!$H$3:$H$111,"Off Target")</f>
        <v>1</v>
      </c>
      <c r="D36" s="72">
        <f>C36/C42</f>
        <v>1.5151515151515152E-2</v>
      </c>
      <c r="E36" s="365"/>
      <c r="F36" s="72">
        <f>C36/C43</f>
        <v>1.9230769230769232E-2</v>
      </c>
      <c r="G36" s="367"/>
      <c r="I36" s="74" t="s">
        <v>339</v>
      </c>
      <c r="J36" s="71">
        <f>COUNTIFS('1. All Data'!$AA$3:$AA$111,"Value For Money Council",'1. All Data'!$M$3:$M$111,"Off Target")</f>
        <v>0</v>
      </c>
      <c r="K36" s="72">
        <f>J36/J42</f>
        <v>0</v>
      </c>
      <c r="L36" s="365"/>
      <c r="M36" s="72">
        <f>J36/J43</f>
        <v>0</v>
      </c>
      <c r="N36" s="367"/>
      <c r="P36" s="74" t="s">
        <v>339</v>
      </c>
      <c r="Q36" s="71">
        <f>COUNTIFS('1. All Data'!$AA$3:$AA$111,"Value For Money Council",'1. All Data'!$R$3:$R$111,"Off Target")</f>
        <v>0</v>
      </c>
      <c r="R36" s="72">
        <f>Q36/Q42</f>
        <v>0</v>
      </c>
      <c r="S36" s="365"/>
      <c r="T36" s="72" t="e">
        <f>Q36/Q43</f>
        <v>#DIV/0!</v>
      </c>
      <c r="U36" s="367"/>
      <c r="W36" s="74" t="s">
        <v>339</v>
      </c>
      <c r="X36" s="93"/>
      <c r="Y36" s="72"/>
      <c r="Z36" s="365"/>
      <c r="AA36" s="72"/>
      <c r="AB36" s="367"/>
    </row>
    <row r="37" spans="2:28" s="32" customFormat="1" ht="6.75" customHeight="1">
      <c r="B37" s="29"/>
      <c r="C37" s="43"/>
      <c r="D37" s="40"/>
      <c r="E37" s="40"/>
      <c r="F37" s="40"/>
      <c r="G37" s="44"/>
      <c r="H37" s="31"/>
      <c r="I37" s="29"/>
      <c r="J37" s="43"/>
      <c r="K37" s="40"/>
      <c r="L37" s="40"/>
      <c r="M37" s="40"/>
      <c r="N37" s="44"/>
      <c r="O37" s="31"/>
      <c r="P37" s="29"/>
      <c r="Q37" s="43"/>
      <c r="R37" s="40"/>
      <c r="S37" s="40"/>
      <c r="T37" s="40"/>
      <c r="U37" s="44"/>
      <c r="V37" s="31"/>
      <c r="W37" s="29"/>
      <c r="X37" s="43"/>
      <c r="Y37" s="40"/>
      <c r="Z37" s="40"/>
      <c r="AA37" s="40"/>
      <c r="AB37" s="44"/>
    </row>
    <row r="38" spans="2:28" ht="15" customHeight="1">
      <c r="B38" s="75" t="s">
        <v>394</v>
      </c>
      <c r="C38" s="71">
        <f>COUNTIFS('1. All Data'!$AA$3:$AA$111,"Value For Money Council",'1. All Data'!$H$3:$H$111,"Not yet due")</f>
        <v>14</v>
      </c>
      <c r="D38" s="76">
        <f>C38/C42</f>
        <v>0.21212121212121213</v>
      </c>
      <c r="E38" s="76">
        <f>D38</f>
        <v>0.21212121212121213</v>
      </c>
      <c r="F38" s="45"/>
      <c r="G38" s="46"/>
      <c r="I38" s="75" t="s">
        <v>394</v>
      </c>
      <c r="J38" s="71">
        <f>COUNTIFS('1. All Data'!$AA$3:$AA$111,"Value For Money Council",'1. All Data'!$M$3:$M$111,"Not yet due")</f>
        <v>6</v>
      </c>
      <c r="K38" s="76">
        <f>J38/J42</f>
        <v>9.0909090909090912E-2</v>
      </c>
      <c r="L38" s="76">
        <f>K38</f>
        <v>9.0909090909090912E-2</v>
      </c>
      <c r="M38" s="45"/>
      <c r="N38" s="46"/>
      <c r="P38" s="75" t="s">
        <v>394</v>
      </c>
      <c r="Q38" s="71">
        <f>COUNTIFS('1. All Data'!$AA$3:$AA$111,"Value For Money Council",'1. All Data'!$R$3:$R$111,"Not yet due")</f>
        <v>0</v>
      </c>
      <c r="R38" s="76">
        <f>Q38/Q42</f>
        <v>0</v>
      </c>
      <c r="S38" s="76">
        <f>R38</f>
        <v>0</v>
      </c>
      <c r="T38" s="45"/>
      <c r="U38" s="46"/>
      <c r="W38" s="75" t="s">
        <v>394</v>
      </c>
      <c r="X38" s="71"/>
      <c r="Y38" s="76"/>
      <c r="Z38" s="76"/>
      <c r="AA38" s="45"/>
      <c r="AB38" s="46"/>
    </row>
    <row r="39" spans="2:28" ht="15" customHeight="1">
      <c r="B39" s="75" t="s">
        <v>334</v>
      </c>
      <c r="C39" s="71">
        <f>COUNTIFS('1. All Data'!$AA$3:$AA$111,"Value For Money Council",'1. All Data'!$H$3:$H$111,"update not provided")</f>
        <v>0</v>
      </c>
      <c r="D39" s="76">
        <f>C39/C42</f>
        <v>0</v>
      </c>
      <c r="E39" s="76">
        <f>D39</f>
        <v>0</v>
      </c>
      <c r="F39" s="45"/>
      <c r="G39" s="48"/>
      <c r="I39" s="75" t="s">
        <v>334</v>
      </c>
      <c r="J39" s="71">
        <f>COUNTIFS('1. All Data'!$AA$3:$AA$111,"Value For Money Council",'1. All Data'!$M$3:$M$111,"update not provided")</f>
        <v>0</v>
      </c>
      <c r="K39" s="76">
        <f>J39/J42</f>
        <v>0</v>
      </c>
      <c r="L39" s="76">
        <f>K39</f>
        <v>0</v>
      </c>
      <c r="M39" s="45"/>
      <c r="N39" s="48"/>
      <c r="P39" s="75" t="s">
        <v>334</v>
      </c>
      <c r="Q39" s="71">
        <f>COUNTIFS('1. All Data'!$AA$3:$AA$111,"Value For Money Council",'1. All Data'!$R$3:$R$111,"update not provided")</f>
        <v>66</v>
      </c>
      <c r="R39" s="76">
        <f>Q39/Q42</f>
        <v>1</v>
      </c>
      <c r="S39" s="76">
        <f>R39</f>
        <v>1</v>
      </c>
      <c r="T39" s="45"/>
      <c r="U39" s="48"/>
      <c r="W39" s="75" t="s">
        <v>334</v>
      </c>
      <c r="X39" s="71"/>
      <c r="Y39" s="76"/>
      <c r="Z39" s="76"/>
      <c r="AA39" s="45"/>
      <c r="AB39" s="48"/>
    </row>
    <row r="40" spans="2:28" ht="15.75" customHeight="1">
      <c r="B40" s="77" t="s">
        <v>342</v>
      </c>
      <c r="C40" s="71">
        <f>COUNTIFS('1. All Data'!$AA$3:$AA$111,"Value For Money Council",'1. All Data'!$H$3:$H$111,"Deferred")</f>
        <v>0</v>
      </c>
      <c r="D40" s="78">
        <f>C40/C42</f>
        <v>0</v>
      </c>
      <c r="E40" s="78">
        <f>D40</f>
        <v>0</v>
      </c>
      <c r="F40" s="50"/>
      <c r="G40" s="46"/>
      <c r="I40" s="77" t="s">
        <v>342</v>
      </c>
      <c r="J40" s="71">
        <f>COUNTIFS('1. All Data'!$AA$3:$AA$111,"Value For Money Council",'1. All Data'!$M$3:$M$111,"Deferred")</f>
        <v>0</v>
      </c>
      <c r="K40" s="78">
        <f>J40/J42</f>
        <v>0</v>
      </c>
      <c r="L40" s="78">
        <f>K40</f>
        <v>0</v>
      </c>
      <c r="M40" s="50"/>
      <c r="N40" s="46"/>
      <c r="P40" s="77" t="s">
        <v>342</v>
      </c>
      <c r="Q40" s="71">
        <f>COUNTIFS('1. All Data'!$AA$3:$AA$111,"Value For Money Council",'1. All Data'!$R$3:$R$111,"Deferred")</f>
        <v>0</v>
      </c>
      <c r="R40" s="78">
        <f>Q40/Q42</f>
        <v>0</v>
      </c>
      <c r="S40" s="78">
        <f>R40</f>
        <v>0</v>
      </c>
      <c r="T40" s="50"/>
      <c r="U40" s="46"/>
      <c r="W40" s="77" t="s">
        <v>342</v>
      </c>
      <c r="X40" s="71"/>
      <c r="Y40" s="78"/>
      <c r="Z40" s="78"/>
      <c r="AA40" s="50"/>
      <c r="AB40" s="46"/>
    </row>
    <row r="41" spans="2:28" ht="15.75" customHeight="1">
      <c r="B41" s="77" t="s">
        <v>343</v>
      </c>
      <c r="C41" s="71">
        <f>COUNTIFS('1. All Data'!$AA$3:$AA$111,"Value For Money Council",'1. All Data'!$H$3:$H$111,"Deleted")</f>
        <v>0</v>
      </c>
      <c r="D41" s="78">
        <f>C41/C42</f>
        <v>0</v>
      </c>
      <c r="E41" s="78">
        <f>D41</f>
        <v>0</v>
      </c>
      <c r="F41" s="50"/>
      <c r="G41" s="52" t="s">
        <v>395</v>
      </c>
      <c r="I41" s="77" t="s">
        <v>343</v>
      </c>
      <c r="J41" s="71">
        <f>COUNTIFS('1. All Data'!$AA$3:$AA$111,"Value For Money Council",'1. All Data'!$M$3:$M$111,"Deleted")</f>
        <v>0</v>
      </c>
      <c r="K41" s="78">
        <f>J41/J42</f>
        <v>0</v>
      </c>
      <c r="L41" s="78">
        <f>K41</f>
        <v>0</v>
      </c>
      <c r="M41" s="50"/>
      <c r="N41" s="52" t="s">
        <v>395</v>
      </c>
      <c r="P41" s="77" t="s">
        <v>343</v>
      </c>
      <c r="Q41" s="71">
        <f>COUNTIFS('1. All Data'!$AA$3:$AA$111,"Value For Money Council",'1. All Data'!$R$3:$R$111,"Deleted")</f>
        <v>0</v>
      </c>
      <c r="R41" s="78">
        <f>Q41/Q42</f>
        <v>0</v>
      </c>
      <c r="S41" s="78">
        <f>R41</f>
        <v>0</v>
      </c>
      <c r="T41" s="50"/>
      <c r="U41" s="52" t="s">
        <v>395</v>
      </c>
      <c r="W41" s="77" t="s">
        <v>343</v>
      </c>
      <c r="X41" s="71"/>
      <c r="Y41" s="78"/>
      <c r="Z41" s="78"/>
      <c r="AA41" s="50"/>
      <c r="AB41" s="52" t="s">
        <v>395</v>
      </c>
    </row>
    <row r="42" spans="2:28" ht="15.75" customHeight="1">
      <c r="B42" s="79" t="s">
        <v>396</v>
      </c>
      <c r="C42" s="80">
        <f>SUM(C28:C41)</f>
        <v>66</v>
      </c>
      <c r="D42" s="50"/>
      <c r="E42" s="50"/>
      <c r="F42" s="46"/>
      <c r="G42" s="46"/>
      <c r="I42" s="79" t="s">
        <v>396</v>
      </c>
      <c r="J42" s="80">
        <f>SUM(J28:J41)</f>
        <v>66</v>
      </c>
      <c r="K42" s="50"/>
      <c r="L42" s="50"/>
      <c r="M42" s="46"/>
      <c r="N42" s="46"/>
      <c r="P42" s="79" t="s">
        <v>396</v>
      </c>
      <c r="Q42" s="80">
        <f>SUM(Q28:Q41)</f>
        <v>66</v>
      </c>
      <c r="R42" s="50"/>
      <c r="S42" s="50"/>
      <c r="T42" s="46"/>
      <c r="U42" s="46"/>
      <c r="W42" s="79" t="s">
        <v>396</v>
      </c>
      <c r="X42" s="80"/>
      <c r="Y42" s="50"/>
      <c r="Z42" s="50"/>
      <c r="AA42" s="46"/>
      <c r="AB42" s="46"/>
    </row>
    <row r="43" spans="2:28" ht="15.75" customHeight="1">
      <c r="B43" s="79" t="s">
        <v>397</v>
      </c>
      <c r="C43" s="80">
        <f>C42-C41-C40-C39-C38</f>
        <v>52</v>
      </c>
      <c r="D43" s="46"/>
      <c r="E43" s="46"/>
      <c r="F43" s="46"/>
      <c r="G43" s="46"/>
      <c r="I43" s="79" t="s">
        <v>397</v>
      </c>
      <c r="J43" s="80">
        <f>J42-J41-J40-J39-J38</f>
        <v>60</v>
      </c>
      <c r="K43" s="46"/>
      <c r="L43" s="46"/>
      <c r="M43" s="46"/>
      <c r="N43" s="46"/>
      <c r="P43" s="79" t="s">
        <v>397</v>
      </c>
      <c r="Q43" s="80">
        <f>Q42-Q41-Q40-Q39-Q38</f>
        <v>0</v>
      </c>
      <c r="R43" s="46"/>
      <c r="S43" s="46"/>
      <c r="T43" s="46"/>
      <c r="U43" s="46"/>
      <c r="W43" s="79" t="s">
        <v>397</v>
      </c>
      <c r="X43" s="80"/>
      <c r="Y43" s="46"/>
      <c r="Z43" s="46"/>
      <c r="AA43" s="46"/>
      <c r="AB43" s="46"/>
    </row>
    <row r="44" spans="2:28" ht="15.75" customHeight="1">
      <c r="W44" s="58"/>
      <c r="X44" s="31"/>
      <c r="Y44" s="31"/>
      <c r="Z44" s="31"/>
      <c r="AA44" s="46"/>
      <c r="AB44" s="51"/>
    </row>
    <row r="45" spans="2:28" ht="15.75" customHeight="1"/>
    <row r="46" spans="2:28" s="32" customFormat="1" ht="15.75" customHeight="1">
      <c r="B46" s="59"/>
      <c r="C46" s="31"/>
      <c r="D46" s="31"/>
      <c r="E46" s="31"/>
      <c r="F46" s="46"/>
      <c r="G46" s="31"/>
      <c r="H46" s="31"/>
      <c r="I46" s="59"/>
      <c r="J46" s="31"/>
      <c r="K46" s="31"/>
      <c r="L46" s="31"/>
      <c r="M46" s="46"/>
      <c r="N46" s="31"/>
      <c r="O46" s="31"/>
      <c r="P46" s="59"/>
      <c r="Q46" s="31"/>
      <c r="R46" s="31"/>
      <c r="S46" s="31"/>
      <c r="T46" s="46"/>
      <c r="U46" s="31"/>
      <c r="V46" s="31"/>
      <c r="W46" s="31"/>
      <c r="X46" s="31"/>
      <c r="Y46" s="31"/>
      <c r="Z46" s="31"/>
      <c r="AA46" s="31"/>
      <c r="AB46" s="51"/>
    </row>
    <row r="47" spans="2:28" ht="15.75" customHeight="1">
      <c r="B47" s="54" t="s">
        <v>402</v>
      </c>
      <c r="C47" s="55"/>
      <c r="D47" s="55"/>
      <c r="E47" s="55"/>
      <c r="F47" s="25"/>
      <c r="G47" s="56"/>
      <c r="I47" s="54" t="s">
        <v>402</v>
      </c>
      <c r="J47" s="55"/>
      <c r="K47" s="55"/>
      <c r="L47" s="55"/>
      <c r="M47" s="25"/>
      <c r="N47" s="56"/>
      <c r="P47" s="54" t="s">
        <v>402</v>
      </c>
      <c r="Q47" s="55"/>
      <c r="R47" s="55"/>
      <c r="S47" s="55"/>
      <c r="T47" s="25"/>
      <c r="U47" s="56"/>
      <c r="W47" s="57" t="s">
        <v>399</v>
      </c>
      <c r="X47" s="27"/>
      <c r="Y47" s="27"/>
      <c r="Z47" s="27"/>
      <c r="AA47" s="27"/>
      <c r="AB47" s="28"/>
    </row>
    <row r="48" spans="2:28" ht="36" customHeight="1">
      <c r="B48" s="84" t="s">
        <v>387</v>
      </c>
      <c r="C48" s="84" t="s">
        <v>388</v>
      </c>
      <c r="D48" s="84" t="s">
        <v>389</v>
      </c>
      <c r="E48" s="84" t="s">
        <v>390</v>
      </c>
      <c r="F48" s="84" t="s">
        <v>391</v>
      </c>
      <c r="G48" s="84" t="s">
        <v>392</v>
      </c>
      <c r="I48" s="84" t="s">
        <v>387</v>
      </c>
      <c r="J48" s="84" t="s">
        <v>388</v>
      </c>
      <c r="K48" s="84" t="s">
        <v>389</v>
      </c>
      <c r="L48" s="84" t="s">
        <v>390</v>
      </c>
      <c r="M48" s="84" t="s">
        <v>391</v>
      </c>
      <c r="N48" s="84" t="s">
        <v>392</v>
      </c>
      <c r="P48" s="84" t="s">
        <v>387</v>
      </c>
      <c r="Q48" s="84" t="s">
        <v>388</v>
      </c>
      <c r="R48" s="84" t="s">
        <v>389</v>
      </c>
      <c r="S48" s="84" t="s">
        <v>390</v>
      </c>
      <c r="T48" s="84" t="s">
        <v>391</v>
      </c>
      <c r="U48" s="84" t="s">
        <v>392</v>
      </c>
      <c r="W48" s="84" t="s">
        <v>387</v>
      </c>
      <c r="X48" s="84" t="s">
        <v>388</v>
      </c>
      <c r="Y48" s="84" t="s">
        <v>389</v>
      </c>
      <c r="Z48" s="84" t="s">
        <v>390</v>
      </c>
      <c r="AA48" s="84" t="s">
        <v>391</v>
      </c>
      <c r="AB48" s="84" t="s">
        <v>392</v>
      </c>
    </row>
    <row r="49" spans="2:32" s="38" customFormat="1" ht="7.5" customHeight="1">
      <c r="B49" s="29"/>
      <c r="C49" s="30"/>
      <c r="D49" s="30"/>
      <c r="E49" s="30"/>
      <c r="F49" s="30"/>
      <c r="G49" s="30"/>
      <c r="H49" s="37"/>
      <c r="I49" s="29"/>
      <c r="J49" s="30"/>
      <c r="K49" s="30"/>
      <c r="L49" s="30"/>
      <c r="M49" s="30"/>
      <c r="N49" s="30"/>
      <c r="O49" s="37"/>
      <c r="P49" s="29"/>
      <c r="Q49" s="30"/>
      <c r="R49" s="30"/>
      <c r="S49" s="30"/>
      <c r="T49" s="30"/>
      <c r="U49" s="30"/>
      <c r="V49" s="37"/>
      <c r="W49" s="29"/>
      <c r="X49" s="30"/>
      <c r="Y49" s="30"/>
      <c r="Z49" s="30"/>
      <c r="AA49" s="30"/>
      <c r="AB49" s="30"/>
      <c r="AD49" s="32"/>
      <c r="AE49" s="32"/>
      <c r="AF49" s="32"/>
    </row>
    <row r="50" spans="2:32" ht="18.75" customHeight="1">
      <c r="B50" s="70" t="s">
        <v>393</v>
      </c>
      <c r="C50" s="71">
        <f>COUNTIFS('1. All Data'!$AA$3:$AA$111,"Environment and Health &amp; Wellbeing",'1. All Data'!$H$3:$H$111,"Fully Achieved")</f>
        <v>2</v>
      </c>
      <c r="D50" s="72">
        <f>C50/C64</f>
        <v>8.6956521739130432E-2</v>
      </c>
      <c r="E50" s="365">
        <f>D50+D51</f>
        <v>0.60869565217391308</v>
      </c>
      <c r="F50" s="72">
        <f>C50/C65</f>
        <v>0.13333333333333333</v>
      </c>
      <c r="G50" s="380">
        <f>F50+F51</f>
        <v>0.93333333333333335</v>
      </c>
      <c r="I50" s="70" t="s">
        <v>393</v>
      </c>
      <c r="J50" s="71">
        <f>COUNTIFS('1. All Data'!$AA$3:$AA$111,"Environment and Health &amp; Wellbeing",'1. All Data'!$M$3:$M$111,"Fully Achieved")</f>
        <v>4</v>
      </c>
      <c r="K50" s="72">
        <f>J50/J64</f>
        <v>0.17391304347826086</v>
      </c>
      <c r="L50" s="365">
        <f>K50+K51</f>
        <v>0.91304347826086951</v>
      </c>
      <c r="M50" s="72">
        <f>J50/J65</f>
        <v>0.18181818181818182</v>
      </c>
      <c r="N50" s="380">
        <f>M50+M51</f>
        <v>0.95454545454545459</v>
      </c>
      <c r="P50" s="70" t="s">
        <v>393</v>
      </c>
      <c r="Q50" s="71">
        <f>COUNTIFS('1. All Data'!$AA$3:$AA$111,"Environment and Health &amp; Wellbeing",'1. All Data'!$R$3:$R$111,"Fully Achieved")</f>
        <v>0</v>
      </c>
      <c r="R50" s="72">
        <f>Q50/Q64</f>
        <v>0</v>
      </c>
      <c r="S50" s="365">
        <f>R50+R51</f>
        <v>0</v>
      </c>
      <c r="T50" s="72" t="e">
        <f>Q50/Q65</f>
        <v>#DIV/0!</v>
      </c>
      <c r="U50" s="380" t="e">
        <f>T50+T51</f>
        <v>#DIV/0!</v>
      </c>
      <c r="W50" s="70" t="s">
        <v>393</v>
      </c>
      <c r="X50" s="71"/>
      <c r="Y50" s="72"/>
      <c r="Z50" s="365"/>
      <c r="AA50" s="72"/>
      <c r="AB50" s="380">
        <f>AA50+AA51</f>
        <v>0</v>
      </c>
    </row>
    <row r="51" spans="2:32" ht="18.75" customHeight="1">
      <c r="B51" s="70" t="s">
        <v>344</v>
      </c>
      <c r="C51" s="71">
        <f>COUNTIFS('1. All Data'!$AA$3:$AA$111,"Environment and Health &amp; Wellbeing",'1. All Data'!$H$3:$H$111,"On Track to be achieved")</f>
        <v>12</v>
      </c>
      <c r="D51" s="72">
        <f>C51/C64</f>
        <v>0.52173913043478259</v>
      </c>
      <c r="E51" s="365"/>
      <c r="F51" s="72">
        <f>C51/C65</f>
        <v>0.8</v>
      </c>
      <c r="G51" s="380"/>
      <c r="I51" s="70" t="s">
        <v>344</v>
      </c>
      <c r="J51" s="71">
        <f>COUNTIFS('1. All Data'!$AA$3:$AA$111,"Environment and Health &amp; Wellbeing",'1. All Data'!$M$3:$M$111,"On Track to be achieved")</f>
        <v>17</v>
      </c>
      <c r="K51" s="72">
        <f>J51/J64</f>
        <v>0.73913043478260865</v>
      </c>
      <c r="L51" s="365"/>
      <c r="M51" s="72">
        <f>J51/J65</f>
        <v>0.77272727272727271</v>
      </c>
      <c r="N51" s="380"/>
      <c r="P51" s="70" t="s">
        <v>344</v>
      </c>
      <c r="Q51" s="71">
        <f>COUNTIFS('1. All Data'!$AA$3:$AA$111,"Environment and Health &amp; Wellbeing",'1. All Data'!$R$3:$R$111,"On Track to be achieved")</f>
        <v>0</v>
      </c>
      <c r="R51" s="72">
        <f>Q51/Q64</f>
        <v>0</v>
      </c>
      <c r="S51" s="365"/>
      <c r="T51" s="72" t="e">
        <f>Q51/Q65</f>
        <v>#DIV/0!</v>
      </c>
      <c r="U51" s="380"/>
      <c r="W51" s="70" t="s">
        <v>344</v>
      </c>
      <c r="X51" s="71"/>
      <c r="Y51" s="72"/>
      <c r="Z51" s="365"/>
      <c r="AA51" s="72"/>
      <c r="AB51" s="380"/>
    </row>
    <row r="52" spans="2:32" s="38" customFormat="1" ht="6.75" customHeight="1">
      <c r="B52" s="33"/>
      <c r="C52" s="34"/>
      <c r="D52" s="35"/>
      <c r="E52" s="35"/>
      <c r="F52" s="35"/>
      <c r="G52" s="36"/>
      <c r="H52" s="37"/>
      <c r="I52" s="33"/>
      <c r="J52" s="34"/>
      <c r="K52" s="35"/>
      <c r="L52" s="35"/>
      <c r="M52" s="35"/>
      <c r="N52" s="36"/>
      <c r="O52" s="37"/>
      <c r="P52" s="33"/>
      <c r="Q52" s="34"/>
      <c r="R52" s="35"/>
      <c r="S52" s="35"/>
      <c r="T52" s="35"/>
      <c r="U52" s="36"/>
      <c r="V52" s="37"/>
      <c r="W52" s="33"/>
      <c r="X52" s="34"/>
      <c r="Y52" s="35"/>
      <c r="Z52" s="35"/>
      <c r="AA52" s="35"/>
      <c r="AB52" s="36"/>
      <c r="AD52" s="32"/>
      <c r="AE52" s="32"/>
      <c r="AF52" s="32"/>
    </row>
    <row r="53" spans="2:32" ht="19.5" customHeight="1">
      <c r="B53" s="368" t="s">
        <v>345</v>
      </c>
      <c r="C53" s="371">
        <f>COUNTIFS('1. All Data'!$AA$3:$AA$111,"Environment and Health &amp; Wellbeing",'1. All Data'!$H$3:$H$111,"In Danger of Falling Behind Target")</f>
        <v>1</v>
      </c>
      <c r="D53" s="374">
        <f>C53/C64</f>
        <v>4.3478260869565216E-2</v>
      </c>
      <c r="E53" s="374">
        <f>D53</f>
        <v>4.3478260869565216E-2</v>
      </c>
      <c r="F53" s="374">
        <f>C53/C65</f>
        <v>6.6666666666666666E-2</v>
      </c>
      <c r="G53" s="377">
        <f>F53</f>
        <v>6.6666666666666666E-2</v>
      </c>
      <c r="I53" s="368" t="s">
        <v>345</v>
      </c>
      <c r="J53" s="371">
        <f>COUNTIFS('1. All Data'!$AA$3:$AA$111,"Environment and Health &amp; Wellbeing",'1. All Data'!$M$3:$M$111,"In Danger of Falling Behind Target")</f>
        <v>0</v>
      </c>
      <c r="K53" s="374">
        <f>J53/J64</f>
        <v>0</v>
      </c>
      <c r="L53" s="374">
        <f>K53</f>
        <v>0</v>
      </c>
      <c r="M53" s="374">
        <f>J53/J65</f>
        <v>0</v>
      </c>
      <c r="N53" s="377">
        <f>M53</f>
        <v>0</v>
      </c>
      <c r="P53" s="368" t="s">
        <v>345</v>
      </c>
      <c r="Q53" s="371">
        <f>COUNTIFS('1. All Data'!$AA$3:$AA$111,"Environment and Health &amp; Wellbeing",'1. All Data'!$R$3:$R$111,"In Danger of Falling Behind Target")</f>
        <v>0</v>
      </c>
      <c r="R53" s="374">
        <f>Q53/Q64</f>
        <v>0</v>
      </c>
      <c r="S53" s="374">
        <f>R53</f>
        <v>0</v>
      </c>
      <c r="T53" s="374" t="e">
        <f>Q53/Q65</f>
        <v>#DIV/0!</v>
      </c>
      <c r="U53" s="377" t="e">
        <f>T53</f>
        <v>#DIV/0!</v>
      </c>
      <c r="W53" s="91" t="s">
        <v>337</v>
      </c>
      <c r="X53" s="92"/>
      <c r="Y53" s="72"/>
      <c r="Z53" s="365"/>
      <c r="AA53" s="72"/>
      <c r="AB53" s="366">
        <f>AA53</f>
        <v>0</v>
      </c>
    </row>
    <row r="54" spans="2:32" ht="19.5" customHeight="1">
      <c r="B54" s="369"/>
      <c r="C54" s="372"/>
      <c r="D54" s="375"/>
      <c r="E54" s="375"/>
      <c r="F54" s="375"/>
      <c r="G54" s="378"/>
      <c r="I54" s="369"/>
      <c r="J54" s="372"/>
      <c r="K54" s="375"/>
      <c r="L54" s="375"/>
      <c r="M54" s="375"/>
      <c r="N54" s="378"/>
      <c r="P54" s="369"/>
      <c r="Q54" s="372"/>
      <c r="R54" s="375"/>
      <c r="S54" s="375"/>
      <c r="T54" s="375"/>
      <c r="U54" s="378"/>
      <c r="W54" s="91" t="s">
        <v>338</v>
      </c>
      <c r="X54" s="92"/>
      <c r="Y54" s="72"/>
      <c r="Z54" s="365"/>
      <c r="AA54" s="72"/>
      <c r="AB54" s="366"/>
    </row>
    <row r="55" spans="2:32" ht="19.5" customHeight="1">
      <c r="B55" s="370"/>
      <c r="C55" s="373"/>
      <c r="D55" s="376"/>
      <c r="E55" s="376"/>
      <c r="F55" s="376"/>
      <c r="G55" s="379"/>
      <c r="I55" s="370"/>
      <c r="J55" s="373"/>
      <c r="K55" s="376"/>
      <c r="L55" s="376"/>
      <c r="M55" s="376"/>
      <c r="N55" s="379"/>
      <c r="P55" s="370"/>
      <c r="Q55" s="373"/>
      <c r="R55" s="376"/>
      <c r="S55" s="376"/>
      <c r="T55" s="376"/>
      <c r="U55" s="379"/>
      <c r="W55" s="91" t="s">
        <v>341</v>
      </c>
      <c r="X55" s="92"/>
      <c r="Y55" s="72"/>
      <c r="Z55" s="365"/>
      <c r="AA55" s="72"/>
      <c r="AB55" s="366"/>
    </row>
    <row r="56" spans="2:32" s="38" customFormat="1" ht="6" customHeight="1">
      <c r="B56" s="29"/>
      <c r="C56" s="30"/>
      <c r="D56" s="40"/>
      <c r="E56" s="40"/>
      <c r="F56" s="40"/>
      <c r="G56" s="41"/>
      <c r="H56" s="37"/>
      <c r="I56" s="29"/>
      <c r="J56" s="30"/>
      <c r="K56" s="40"/>
      <c r="L56" s="40"/>
      <c r="M56" s="40"/>
      <c r="N56" s="41"/>
      <c r="O56" s="37"/>
      <c r="P56" s="29"/>
      <c r="Q56" s="30"/>
      <c r="R56" s="40"/>
      <c r="S56" s="40"/>
      <c r="T56" s="40"/>
      <c r="U56" s="41"/>
      <c r="V56" s="37"/>
      <c r="W56" s="29"/>
      <c r="X56" s="30"/>
      <c r="Y56" s="40"/>
      <c r="Z56" s="40"/>
      <c r="AA56" s="40"/>
      <c r="AB56" s="41"/>
      <c r="AD56" s="32"/>
      <c r="AE56" s="32"/>
      <c r="AF56" s="32"/>
    </row>
    <row r="57" spans="2:32" ht="22.5" customHeight="1">
      <c r="B57" s="74" t="s">
        <v>346</v>
      </c>
      <c r="C57" s="71">
        <f>COUNTIFS('1. All Data'!$AA$3:$AA$111,"Environment and Health &amp; Wellbeing",'1. All Data'!$H$3:$H$111,"Completed Behind Schedule")</f>
        <v>0</v>
      </c>
      <c r="D57" s="72">
        <f>C57/C64</f>
        <v>0</v>
      </c>
      <c r="E57" s="365">
        <f>D57+D58</f>
        <v>0</v>
      </c>
      <c r="F57" s="72">
        <f>C57/C65</f>
        <v>0</v>
      </c>
      <c r="G57" s="367">
        <f>F57+F58</f>
        <v>0</v>
      </c>
      <c r="I57" s="74" t="s">
        <v>346</v>
      </c>
      <c r="J57" s="71">
        <f>COUNTIFS('1. All Data'!$AA$3:$AA$111,"Environment and Health &amp; Wellbeing",'1. All Data'!$M$3:$M$111,"Completed Behind Schedule")</f>
        <v>0</v>
      </c>
      <c r="K57" s="72">
        <f>J57/J64</f>
        <v>0</v>
      </c>
      <c r="L57" s="365">
        <f>K57+K58</f>
        <v>4.3478260869565216E-2</v>
      </c>
      <c r="M57" s="72">
        <f>J57/J65</f>
        <v>0</v>
      </c>
      <c r="N57" s="367">
        <f>M57+M58</f>
        <v>4.5454545454545456E-2</v>
      </c>
      <c r="P57" s="74" t="s">
        <v>346</v>
      </c>
      <c r="Q57" s="71">
        <f>COUNTIFS('1. All Data'!$AA$3:$AA$111,"Environment and Health &amp; Wellbeing",'1. All Data'!$R$3:$R$111,"Completed Behind Schedule")</f>
        <v>0</v>
      </c>
      <c r="R57" s="72">
        <f>Q57/Q64</f>
        <v>0</v>
      </c>
      <c r="S57" s="365">
        <f>R57+R58</f>
        <v>0</v>
      </c>
      <c r="T57" s="72" t="e">
        <f>Q57/Q65</f>
        <v>#DIV/0!</v>
      </c>
      <c r="U57" s="367" t="e">
        <f>T57+T58</f>
        <v>#DIV/0!</v>
      </c>
      <c r="W57" s="74" t="s">
        <v>340</v>
      </c>
      <c r="X57" s="93"/>
      <c r="Y57" s="72"/>
      <c r="Z57" s="365"/>
      <c r="AA57" s="72"/>
      <c r="AB57" s="367">
        <f>AA57+AA58</f>
        <v>0</v>
      </c>
    </row>
    <row r="58" spans="2:32" ht="22.5" customHeight="1">
      <c r="B58" s="74" t="s">
        <v>339</v>
      </c>
      <c r="C58" s="71">
        <f>COUNTIFS('1. All Data'!$AA$3:$AA$111,"Environment and Health &amp; Wellbeing",'1. All Data'!$H$3:$H$111,"Off Target")</f>
        <v>0</v>
      </c>
      <c r="D58" s="72">
        <f>C58/C64</f>
        <v>0</v>
      </c>
      <c r="E58" s="365"/>
      <c r="F58" s="72">
        <f>C58/C65</f>
        <v>0</v>
      </c>
      <c r="G58" s="367"/>
      <c r="I58" s="74" t="s">
        <v>339</v>
      </c>
      <c r="J58" s="71">
        <f>COUNTIFS('1. All Data'!$AA$3:$AA$111,"Environment and Health &amp; Wellbeing",'1. All Data'!$M$3:$M$111,"Off Target")</f>
        <v>1</v>
      </c>
      <c r="K58" s="72">
        <f>J58/J64</f>
        <v>4.3478260869565216E-2</v>
      </c>
      <c r="L58" s="365"/>
      <c r="M58" s="72">
        <f>J58/J65</f>
        <v>4.5454545454545456E-2</v>
      </c>
      <c r="N58" s="367"/>
      <c r="P58" s="74" t="s">
        <v>339</v>
      </c>
      <c r="Q58" s="71">
        <f>COUNTIFS('1. All Data'!$AA$3:$AA$111,"Environment and Health &amp; Wellbeing",'1. All Data'!$R$3:$R$111,"Off Target")</f>
        <v>0</v>
      </c>
      <c r="R58" s="72">
        <f>Q58/Q64</f>
        <v>0</v>
      </c>
      <c r="S58" s="365"/>
      <c r="T58" s="72" t="e">
        <f>Q58/Q65</f>
        <v>#DIV/0!</v>
      </c>
      <c r="U58" s="367"/>
      <c r="W58" s="74" t="s">
        <v>339</v>
      </c>
      <c r="X58" s="93"/>
      <c r="Y58" s="72"/>
      <c r="Z58" s="365"/>
      <c r="AA58" s="72"/>
      <c r="AB58" s="367"/>
    </row>
    <row r="59" spans="2:32" s="38" customFormat="1" ht="6.75" customHeight="1">
      <c r="B59" s="29"/>
      <c r="C59" s="43"/>
      <c r="D59" s="40"/>
      <c r="E59" s="40"/>
      <c r="F59" s="40"/>
      <c r="G59" s="44"/>
      <c r="H59" s="37"/>
      <c r="I59" s="29"/>
      <c r="J59" s="43"/>
      <c r="K59" s="40"/>
      <c r="L59" s="40"/>
      <c r="M59" s="40"/>
      <c r="N59" s="44"/>
      <c r="O59" s="37"/>
      <c r="P59" s="29"/>
      <c r="Q59" s="43"/>
      <c r="R59" s="40"/>
      <c r="S59" s="40"/>
      <c r="T59" s="40"/>
      <c r="U59" s="44"/>
      <c r="V59" s="37"/>
      <c r="W59" s="29"/>
      <c r="X59" s="43"/>
      <c r="Y59" s="40"/>
      <c r="Z59" s="40"/>
      <c r="AA59" s="40"/>
      <c r="AB59" s="44"/>
      <c r="AD59" s="32"/>
      <c r="AE59" s="32"/>
      <c r="AF59" s="32"/>
    </row>
    <row r="60" spans="2:32" ht="15.75" customHeight="1">
      <c r="B60" s="75" t="s">
        <v>394</v>
      </c>
      <c r="C60" s="71">
        <f>COUNTIFS('1. All Data'!$AA$3:$AA$111,"Environment and Health &amp; Wellbeing",'1. All Data'!$H$3:$H$111,"Not yet due")</f>
        <v>8</v>
      </c>
      <c r="D60" s="76">
        <f>C60/C64</f>
        <v>0.34782608695652173</v>
      </c>
      <c r="E60" s="76">
        <f>D60</f>
        <v>0.34782608695652173</v>
      </c>
      <c r="F60" s="45"/>
      <c r="G60" s="46"/>
      <c r="I60" s="75" t="s">
        <v>394</v>
      </c>
      <c r="J60" s="71">
        <f>COUNTIFS('1. All Data'!$AA$3:$AA$111,"Environment and Health &amp; Wellbeing",'1. All Data'!$M$3:$M$111,"Not yet due")</f>
        <v>1</v>
      </c>
      <c r="K60" s="76">
        <f>J60/J64</f>
        <v>4.3478260869565216E-2</v>
      </c>
      <c r="L60" s="76">
        <f>K60</f>
        <v>4.3478260869565216E-2</v>
      </c>
      <c r="M60" s="45"/>
      <c r="N60" s="46"/>
      <c r="P60" s="75" t="s">
        <v>394</v>
      </c>
      <c r="Q60" s="71">
        <f>COUNTIFS('1. All Data'!$AA$3:$AA$111,"Environment and Health &amp; Wellbeing",'1. All Data'!$R$3:$R$111,"Not yet due")</f>
        <v>0</v>
      </c>
      <c r="R60" s="76">
        <f>Q60/Q64</f>
        <v>0</v>
      </c>
      <c r="S60" s="76">
        <f>R60</f>
        <v>0</v>
      </c>
      <c r="T60" s="45"/>
      <c r="U60" s="46"/>
      <c r="W60" s="75" t="s">
        <v>394</v>
      </c>
      <c r="X60" s="71"/>
      <c r="Y60" s="76"/>
      <c r="Z60" s="76"/>
      <c r="AA60" s="45"/>
      <c r="AB60" s="46"/>
    </row>
    <row r="61" spans="2:32" ht="15.75" customHeight="1">
      <c r="B61" s="75" t="s">
        <v>334</v>
      </c>
      <c r="C61" s="71">
        <f>COUNTIFS('1. All Data'!$AA$3:$AA$111,"Environment and Health &amp; Wellbeing",'1. All Data'!$H$3:$H$111,"update not provided")</f>
        <v>0</v>
      </c>
      <c r="D61" s="76">
        <f>C61/C64</f>
        <v>0</v>
      </c>
      <c r="E61" s="76">
        <f>D61</f>
        <v>0</v>
      </c>
      <c r="F61" s="45"/>
      <c r="G61" s="48"/>
      <c r="I61" s="75" t="s">
        <v>334</v>
      </c>
      <c r="J61" s="71">
        <f>COUNTIFS('1. All Data'!$AA$3:$AA$111,"Environment and Health &amp; Wellbeing",'1. All Data'!$M$3:$M$111,"update not provided")</f>
        <v>0</v>
      </c>
      <c r="K61" s="76">
        <f>J61/J64</f>
        <v>0</v>
      </c>
      <c r="L61" s="76">
        <f>K61</f>
        <v>0</v>
      </c>
      <c r="M61" s="45"/>
      <c r="N61" s="48"/>
      <c r="P61" s="75" t="s">
        <v>334</v>
      </c>
      <c r="Q61" s="71">
        <f>COUNTIFS('1. All Data'!$AA$3:$AA$111,"Environment and Health &amp; Wellbeing",'1. All Data'!$R$3:$R$111,"update not provided")</f>
        <v>23</v>
      </c>
      <c r="R61" s="76">
        <f>Q61/Q64</f>
        <v>1</v>
      </c>
      <c r="S61" s="76">
        <f>R61</f>
        <v>1</v>
      </c>
      <c r="T61" s="45"/>
      <c r="U61" s="48"/>
      <c r="W61" s="75" t="s">
        <v>334</v>
      </c>
      <c r="X61" s="71"/>
      <c r="Y61" s="76"/>
      <c r="Z61" s="76"/>
      <c r="AA61" s="45"/>
      <c r="AB61" s="48"/>
    </row>
    <row r="62" spans="2:32" ht="15.75" customHeight="1">
      <c r="B62" s="77" t="s">
        <v>342</v>
      </c>
      <c r="C62" s="71">
        <f>COUNTIFS('1. All Data'!$AA$3:$AA$111,"Environment and Health &amp; Wellbeing",'1. All Data'!$H$3:$H$111,"Deferred")</f>
        <v>0</v>
      </c>
      <c r="D62" s="78">
        <f>C62/C64</f>
        <v>0</v>
      </c>
      <c r="E62" s="78">
        <f>D62</f>
        <v>0</v>
      </c>
      <c r="F62" s="50"/>
      <c r="G62" s="46"/>
      <c r="I62" s="77" t="s">
        <v>342</v>
      </c>
      <c r="J62" s="71">
        <f>COUNTIFS('1. All Data'!$AA$3:$AA$111,"Environment and Health &amp; Wellbeing",'1. All Data'!$M$3:$M$111,"Deferred")</f>
        <v>0</v>
      </c>
      <c r="K62" s="78">
        <f>J62/J64</f>
        <v>0</v>
      </c>
      <c r="L62" s="78">
        <f>K62</f>
        <v>0</v>
      </c>
      <c r="M62" s="50"/>
      <c r="N62" s="46"/>
      <c r="P62" s="77" t="s">
        <v>342</v>
      </c>
      <c r="Q62" s="71">
        <f>COUNTIFS('1. All Data'!$AA$3:$AA$111,"Environment and Health &amp; Wellbeing",'1. All Data'!$R$3:$R$111,"Deferred")</f>
        <v>0</v>
      </c>
      <c r="R62" s="78">
        <f>Q62/Q64</f>
        <v>0</v>
      </c>
      <c r="S62" s="78">
        <f>R62</f>
        <v>0</v>
      </c>
      <c r="T62" s="50"/>
      <c r="U62" s="46"/>
      <c r="W62" s="77" t="s">
        <v>342</v>
      </c>
      <c r="X62" s="71"/>
      <c r="Y62" s="78"/>
      <c r="Z62" s="78"/>
      <c r="AA62" s="50"/>
      <c r="AB62" s="46"/>
    </row>
    <row r="63" spans="2:32" ht="15.75" customHeight="1">
      <c r="B63" s="77" t="s">
        <v>343</v>
      </c>
      <c r="C63" s="88">
        <f>COUNTIFS('1. All Data'!$AA$3:$AA$111,"Environment and Health &amp; Wellbeing",'1. All Data'!$H$3:$H$111,"Deleted")</f>
        <v>0</v>
      </c>
      <c r="D63" s="78">
        <f>C63/C64</f>
        <v>0</v>
      </c>
      <c r="E63" s="78">
        <f>D63</f>
        <v>0</v>
      </c>
      <c r="F63" s="50"/>
      <c r="G63" s="52" t="s">
        <v>395</v>
      </c>
      <c r="I63" s="77" t="s">
        <v>343</v>
      </c>
      <c r="J63" s="88">
        <f>COUNTIFS('1. All Data'!$AA$3:$AA$111,"Environment and Health &amp; Wellbeing",'1. All Data'!$M$3:$M$111,"Deleted")</f>
        <v>0</v>
      </c>
      <c r="K63" s="78">
        <f>J63/J64</f>
        <v>0</v>
      </c>
      <c r="L63" s="78">
        <f>K63</f>
        <v>0</v>
      </c>
      <c r="M63" s="50"/>
      <c r="N63" s="52" t="s">
        <v>395</v>
      </c>
      <c r="P63" s="77" t="s">
        <v>343</v>
      </c>
      <c r="Q63" s="88">
        <f>COUNTIFS('1. All Data'!$AA$3:$AA$111,"Environment and Health &amp; Wellbeing",'1. All Data'!$R$3:$R$111,"Deleted")</f>
        <v>0</v>
      </c>
      <c r="R63" s="78">
        <f>Q63/Q64</f>
        <v>0</v>
      </c>
      <c r="S63" s="78">
        <f>R63</f>
        <v>0</v>
      </c>
      <c r="T63" s="50"/>
      <c r="U63" s="52" t="s">
        <v>395</v>
      </c>
      <c r="W63" s="77" t="s">
        <v>343</v>
      </c>
      <c r="X63" s="71"/>
      <c r="Y63" s="78"/>
      <c r="Z63" s="78"/>
      <c r="AA63" s="50"/>
      <c r="AB63" s="52" t="s">
        <v>395</v>
      </c>
    </row>
    <row r="64" spans="2:32" ht="15.75" customHeight="1">
      <c r="B64" s="89" t="s">
        <v>396</v>
      </c>
      <c r="C64" s="80">
        <f>SUM(C50:C63)</f>
        <v>23</v>
      </c>
      <c r="D64" s="50"/>
      <c r="E64" s="50"/>
      <c r="F64" s="46"/>
      <c r="G64" s="46"/>
      <c r="I64" s="89" t="s">
        <v>396</v>
      </c>
      <c r="J64" s="80">
        <f>SUM(J50:J63)</f>
        <v>23</v>
      </c>
      <c r="K64" s="50"/>
      <c r="L64" s="50"/>
      <c r="M64" s="46"/>
      <c r="N64" s="46"/>
      <c r="P64" s="89" t="s">
        <v>396</v>
      </c>
      <c r="Q64" s="80">
        <f>SUM(Q50:Q63)</f>
        <v>23</v>
      </c>
      <c r="R64" s="50"/>
      <c r="S64" s="50"/>
      <c r="T64" s="46"/>
      <c r="U64" s="46"/>
      <c r="W64" s="79" t="s">
        <v>396</v>
      </c>
      <c r="X64" s="80"/>
      <c r="Y64" s="50"/>
      <c r="Z64" s="50"/>
      <c r="AA64" s="46"/>
      <c r="AB64" s="46"/>
    </row>
    <row r="65" spans="2:28" ht="15.75" customHeight="1">
      <c r="B65" s="89" t="s">
        <v>397</v>
      </c>
      <c r="C65" s="80">
        <f>C64-C63-C62-C61-C60</f>
        <v>15</v>
      </c>
      <c r="D65" s="46"/>
      <c r="E65" s="46"/>
      <c r="F65" s="46"/>
      <c r="G65" s="46"/>
      <c r="I65" s="89" t="s">
        <v>397</v>
      </c>
      <c r="J65" s="80">
        <f>J64-J63-J62-J61-J60</f>
        <v>22</v>
      </c>
      <c r="K65" s="46"/>
      <c r="L65" s="46"/>
      <c r="M65" s="46"/>
      <c r="N65" s="46"/>
      <c r="P65" s="89" t="s">
        <v>397</v>
      </c>
      <c r="Q65" s="80">
        <f>Q64-Q63-Q62-Q61-Q60</f>
        <v>0</v>
      </c>
      <c r="R65" s="46"/>
      <c r="S65" s="46"/>
      <c r="T65" s="46"/>
      <c r="U65" s="46"/>
      <c r="W65" s="79" t="s">
        <v>397</v>
      </c>
      <c r="X65" s="80"/>
      <c r="Y65" s="46"/>
      <c r="Z65" s="46"/>
      <c r="AA65" s="46"/>
      <c r="AB65" s="46"/>
    </row>
    <row r="66" spans="2:28" ht="15.75" customHeight="1">
      <c r="X66" s="60"/>
    </row>
    <row r="67" spans="2:28" ht="15.75" customHeight="1">
      <c r="X67" s="60"/>
    </row>
    <row r="68" spans="2:28" ht="15.75" customHeight="1">
      <c r="X68" s="60"/>
    </row>
    <row r="69" spans="2:28" ht="15.75" customHeight="1">
      <c r="B69" s="54" t="s">
        <v>403</v>
      </c>
      <c r="C69" s="55"/>
      <c r="D69" s="55"/>
      <c r="E69" s="55"/>
      <c r="F69" s="25"/>
      <c r="G69" s="56"/>
      <c r="I69" s="54" t="s">
        <v>403</v>
      </c>
      <c r="J69" s="55"/>
      <c r="K69" s="55"/>
      <c r="L69" s="55"/>
      <c r="M69" s="25"/>
      <c r="N69" s="56"/>
      <c r="P69" s="54" t="s">
        <v>403</v>
      </c>
      <c r="Q69" s="55"/>
      <c r="R69" s="55"/>
      <c r="S69" s="55"/>
      <c r="T69" s="25"/>
      <c r="U69" s="56"/>
      <c r="W69" s="61" t="s">
        <v>400</v>
      </c>
      <c r="X69" s="62"/>
      <c r="Y69" s="27"/>
      <c r="Z69" s="27"/>
      <c r="AA69" s="27"/>
      <c r="AB69" s="28"/>
    </row>
    <row r="70" spans="2:28" ht="41.25" customHeight="1">
      <c r="B70" s="84" t="s">
        <v>387</v>
      </c>
      <c r="C70" s="84" t="s">
        <v>388</v>
      </c>
      <c r="D70" s="84" t="s">
        <v>389</v>
      </c>
      <c r="E70" s="84" t="s">
        <v>390</v>
      </c>
      <c r="F70" s="84" t="s">
        <v>391</v>
      </c>
      <c r="G70" s="84" t="s">
        <v>392</v>
      </c>
      <c r="I70" s="84" t="s">
        <v>387</v>
      </c>
      <c r="J70" s="84" t="s">
        <v>388</v>
      </c>
      <c r="K70" s="84" t="s">
        <v>389</v>
      </c>
      <c r="L70" s="84" t="s">
        <v>390</v>
      </c>
      <c r="M70" s="84" t="s">
        <v>391</v>
      </c>
      <c r="N70" s="84" t="s">
        <v>392</v>
      </c>
      <c r="P70" s="84" t="s">
        <v>387</v>
      </c>
      <c r="Q70" s="84" t="s">
        <v>388</v>
      </c>
      <c r="R70" s="84" t="s">
        <v>389</v>
      </c>
      <c r="S70" s="84" t="s">
        <v>390</v>
      </c>
      <c r="T70" s="84" t="s">
        <v>391</v>
      </c>
      <c r="U70" s="84" t="s">
        <v>392</v>
      </c>
      <c r="W70" s="84" t="s">
        <v>387</v>
      </c>
      <c r="X70" s="84" t="s">
        <v>388</v>
      </c>
      <c r="Y70" s="84" t="s">
        <v>389</v>
      </c>
      <c r="Z70" s="84" t="s">
        <v>390</v>
      </c>
      <c r="AA70" s="84" t="s">
        <v>391</v>
      </c>
      <c r="AB70" s="84" t="s">
        <v>392</v>
      </c>
    </row>
    <row r="71" spans="2:28" ht="6.75" customHeight="1">
      <c r="B71" s="29"/>
      <c r="C71" s="30"/>
      <c r="D71" s="30"/>
      <c r="E71" s="30"/>
      <c r="F71" s="30"/>
      <c r="G71" s="30"/>
      <c r="I71" s="29"/>
      <c r="J71" s="30"/>
      <c r="K71" s="30"/>
      <c r="L71" s="30"/>
      <c r="M71" s="30"/>
      <c r="N71" s="30"/>
      <c r="P71" s="29"/>
      <c r="Q71" s="30"/>
      <c r="R71" s="30"/>
      <c r="S71" s="30"/>
      <c r="T71" s="30"/>
      <c r="U71" s="30"/>
      <c r="W71" s="29"/>
      <c r="X71" s="30"/>
      <c r="Y71" s="30"/>
      <c r="Z71" s="30"/>
      <c r="AA71" s="30"/>
      <c r="AB71" s="30"/>
    </row>
    <row r="72" spans="2:28" ht="27.75" customHeight="1">
      <c r="B72" s="70" t="s">
        <v>393</v>
      </c>
      <c r="C72" s="71">
        <f>COUNTIFS('1. All Data'!$AA$3:$AA$111,"Community Regeneration",'1. All Data'!$H$3:$H$111,"Fully Achieved")</f>
        <v>0</v>
      </c>
      <c r="D72" s="72">
        <f>C72/C86</f>
        <v>0</v>
      </c>
      <c r="E72" s="365">
        <f>D72+D73</f>
        <v>0.8</v>
      </c>
      <c r="F72" s="72">
        <f>C72/C87</f>
        <v>0</v>
      </c>
      <c r="G72" s="380">
        <f>F72+F73</f>
        <v>1</v>
      </c>
      <c r="I72" s="70" t="s">
        <v>393</v>
      </c>
      <c r="J72" s="71">
        <f>COUNTIFS('1. All Data'!$AA$3:$AA$111,"Community Regeneration",'1. All Data'!$M$3:$M$111,"Fully Achieved")</f>
        <v>1</v>
      </c>
      <c r="K72" s="72">
        <f>J72/J86</f>
        <v>0.05</v>
      </c>
      <c r="L72" s="365">
        <f>K72+K73</f>
        <v>0.85000000000000009</v>
      </c>
      <c r="M72" s="72">
        <f>J72/J87</f>
        <v>5.8823529411764705E-2</v>
      </c>
      <c r="N72" s="380">
        <f>M72+M73</f>
        <v>1</v>
      </c>
      <c r="P72" s="70" t="s">
        <v>393</v>
      </c>
      <c r="Q72" s="71">
        <f>COUNTIFS('1. All Data'!$AA$3:$AA$111,"Community Regeneration",'1. All Data'!$R$3:$R$111,"Fully Achieved")</f>
        <v>0</v>
      </c>
      <c r="R72" s="72">
        <f>Q72/Q86</f>
        <v>0</v>
      </c>
      <c r="S72" s="365">
        <f>R72+R73</f>
        <v>0</v>
      </c>
      <c r="T72" s="72" t="e">
        <f>Q72/Q87</f>
        <v>#DIV/0!</v>
      </c>
      <c r="U72" s="380" t="e">
        <f>T72+T73</f>
        <v>#DIV/0!</v>
      </c>
      <c r="W72" s="70" t="s">
        <v>393</v>
      </c>
      <c r="X72" s="71"/>
      <c r="Y72" s="72"/>
      <c r="Z72" s="365"/>
      <c r="AA72" s="72"/>
      <c r="AB72" s="380">
        <f>AA72+AA73</f>
        <v>0</v>
      </c>
    </row>
    <row r="73" spans="2:28" ht="27.75" customHeight="1">
      <c r="B73" s="70" t="s">
        <v>344</v>
      </c>
      <c r="C73" s="71">
        <f>COUNTIFS('1. All Data'!$AA$3:$AA$111,"Community Regeneration",'1. All Data'!$H$3:$H$111,"On Track to be achieved")</f>
        <v>16</v>
      </c>
      <c r="D73" s="72">
        <f>C73/C86</f>
        <v>0.8</v>
      </c>
      <c r="E73" s="365"/>
      <c r="F73" s="72">
        <f>C73/C87</f>
        <v>1</v>
      </c>
      <c r="G73" s="380"/>
      <c r="I73" s="70" t="s">
        <v>344</v>
      </c>
      <c r="J73" s="71">
        <f>COUNTIFS('1. All Data'!$AA$3:$AA$111,"Community Regeneration",'1. All Data'!$M$3:$M$111,"On Track to be achieved")</f>
        <v>16</v>
      </c>
      <c r="K73" s="72">
        <f>J73/J86</f>
        <v>0.8</v>
      </c>
      <c r="L73" s="365"/>
      <c r="M73" s="72">
        <f>J73/J87</f>
        <v>0.94117647058823528</v>
      </c>
      <c r="N73" s="380"/>
      <c r="P73" s="70" t="s">
        <v>344</v>
      </c>
      <c r="Q73" s="71">
        <f>COUNTIFS('1. All Data'!$AA$3:$AA$111,"Community Regeneration",'1. All Data'!$R$3:$R$111,"On Track to be achieved")</f>
        <v>0</v>
      </c>
      <c r="R73" s="72">
        <f>Q73/Q86</f>
        <v>0</v>
      </c>
      <c r="S73" s="365"/>
      <c r="T73" s="72" t="e">
        <f>Q73/Q87</f>
        <v>#DIV/0!</v>
      </c>
      <c r="U73" s="380"/>
      <c r="W73" s="70" t="s">
        <v>344</v>
      </c>
      <c r="X73" s="71"/>
      <c r="Y73" s="72"/>
      <c r="Z73" s="365"/>
      <c r="AA73" s="72"/>
      <c r="AB73" s="380"/>
    </row>
    <row r="74" spans="2:28" ht="7.5" customHeight="1">
      <c r="B74" s="33"/>
      <c r="C74" s="34"/>
      <c r="D74" s="35"/>
      <c r="E74" s="35"/>
      <c r="F74" s="35"/>
      <c r="G74" s="36"/>
      <c r="I74" s="33"/>
      <c r="J74" s="34"/>
      <c r="K74" s="35"/>
      <c r="L74" s="35"/>
      <c r="M74" s="35"/>
      <c r="N74" s="36"/>
      <c r="P74" s="33"/>
      <c r="Q74" s="34"/>
      <c r="R74" s="35"/>
      <c r="S74" s="35"/>
      <c r="T74" s="35"/>
      <c r="U74" s="36"/>
      <c r="W74" s="33"/>
      <c r="X74" s="34"/>
      <c r="Y74" s="35"/>
      <c r="Z74" s="35"/>
      <c r="AA74" s="35"/>
      <c r="AB74" s="36"/>
    </row>
    <row r="75" spans="2:28" ht="18.75" customHeight="1">
      <c r="B75" s="368" t="s">
        <v>345</v>
      </c>
      <c r="C75" s="371">
        <f>COUNTIFS('1. All Data'!$AA$3:$AA$111,"Community Regeneration",'1. All Data'!$H$3:$H$111,"In Danger of Falling Behind Target")</f>
        <v>0</v>
      </c>
      <c r="D75" s="374">
        <f>C75/C86</f>
        <v>0</v>
      </c>
      <c r="E75" s="374">
        <f>D75</f>
        <v>0</v>
      </c>
      <c r="F75" s="374">
        <f>C75/C87</f>
        <v>0</v>
      </c>
      <c r="G75" s="377">
        <f>F75</f>
        <v>0</v>
      </c>
      <c r="I75" s="368" t="s">
        <v>345</v>
      </c>
      <c r="J75" s="371">
        <f>COUNTIFS('1. All Data'!$AA$3:$AA$111,"Community Regeneration",'1. All Data'!$M$3:$M$111,"In Danger of Falling Behind Target")</f>
        <v>0</v>
      </c>
      <c r="K75" s="374">
        <f>J75/J86</f>
        <v>0</v>
      </c>
      <c r="L75" s="374">
        <f>K75</f>
        <v>0</v>
      </c>
      <c r="M75" s="374">
        <f>J75/J87</f>
        <v>0</v>
      </c>
      <c r="N75" s="377">
        <f>M75</f>
        <v>0</v>
      </c>
      <c r="P75" s="368" t="s">
        <v>345</v>
      </c>
      <c r="Q75" s="371">
        <f>COUNTIFS('1. All Data'!$AA$3:$AA$111,"Community Regeneration",'1. All Data'!$R$3:$R$111,"In Danger of Falling Behind Target")</f>
        <v>0</v>
      </c>
      <c r="R75" s="374">
        <f>Q75/Q86</f>
        <v>0</v>
      </c>
      <c r="S75" s="374">
        <f>R75</f>
        <v>0</v>
      </c>
      <c r="T75" s="374" t="e">
        <f>Q75/Q87</f>
        <v>#DIV/0!</v>
      </c>
      <c r="U75" s="377" t="e">
        <f>T75</f>
        <v>#DIV/0!</v>
      </c>
      <c r="W75" s="91" t="s">
        <v>337</v>
      </c>
      <c r="X75" s="92"/>
      <c r="Y75" s="72"/>
      <c r="Z75" s="365"/>
      <c r="AA75" s="72"/>
      <c r="AB75" s="366">
        <f>AA75</f>
        <v>0</v>
      </c>
    </row>
    <row r="76" spans="2:28" ht="18.75" customHeight="1">
      <c r="B76" s="369"/>
      <c r="C76" s="372"/>
      <c r="D76" s="375"/>
      <c r="E76" s="375"/>
      <c r="F76" s="375"/>
      <c r="G76" s="378"/>
      <c r="I76" s="369"/>
      <c r="J76" s="372"/>
      <c r="K76" s="375"/>
      <c r="L76" s="375"/>
      <c r="M76" s="375"/>
      <c r="N76" s="378"/>
      <c r="P76" s="369"/>
      <c r="Q76" s="372"/>
      <c r="R76" s="375"/>
      <c r="S76" s="375"/>
      <c r="T76" s="375"/>
      <c r="U76" s="378"/>
      <c r="W76" s="91" t="s">
        <v>338</v>
      </c>
      <c r="X76" s="92"/>
      <c r="Y76" s="72"/>
      <c r="Z76" s="365"/>
      <c r="AA76" s="72"/>
      <c r="AB76" s="366"/>
    </row>
    <row r="77" spans="2:28" ht="18.75" customHeight="1">
      <c r="B77" s="370"/>
      <c r="C77" s="373"/>
      <c r="D77" s="376"/>
      <c r="E77" s="376"/>
      <c r="F77" s="376"/>
      <c r="G77" s="379"/>
      <c r="I77" s="370"/>
      <c r="J77" s="373"/>
      <c r="K77" s="376"/>
      <c r="L77" s="376"/>
      <c r="M77" s="376"/>
      <c r="N77" s="379"/>
      <c r="P77" s="370"/>
      <c r="Q77" s="373"/>
      <c r="R77" s="376"/>
      <c r="S77" s="376"/>
      <c r="T77" s="376"/>
      <c r="U77" s="379"/>
      <c r="W77" s="91" t="s">
        <v>341</v>
      </c>
      <c r="X77" s="92"/>
      <c r="Y77" s="72"/>
      <c r="Z77" s="365"/>
      <c r="AA77" s="72"/>
      <c r="AB77" s="366"/>
    </row>
    <row r="78" spans="2:28" ht="6" customHeight="1">
      <c r="B78" s="29"/>
      <c r="C78" s="30"/>
      <c r="D78" s="40"/>
      <c r="E78" s="40"/>
      <c r="F78" s="40"/>
      <c r="G78" s="41"/>
      <c r="I78" s="29"/>
      <c r="J78" s="30"/>
      <c r="K78" s="40"/>
      <c r="L78" s="40"/>
      <c r="M78" s="40"/>
      <c r="N78" s="41"/>
      <c r="P78" s="29"/>
      <c r="Q78" s="30"/>
      <c r="R78" s="40"/>
      <c r="S78" s="40"/>
      <c r="T78" s="40"/>
      <c r="U78" s="41"/>
      <c r="W78" s="29"/>
      <c r="X78" s="30"/>
      <c r="Y78" s="40"/>
      <c r="Z78" s="40"/>
      <c r="AA78" s="40"/>
      <c r="AB78" s="41"/>
    </row>
    <row r="79" spans="2:28" ht="30" customHeight="1">
      <c r="B79" s="74" t="s">
        <v>346</v>
      </c>
      <c r="C79" s="71">
        <f>COUNTIFS('1. All Data'!$AA$3:$AA$111,"Community Regeneration",'1. All Data'!$H$3:$H$111,"Completed Behind Schedule")</f>
        <v>0</v>
      </c>
      <c r="D79" s="72">
        <f>C79/C86</f>
        <v>0</v>
      </c>
      <c r="E79" s="365">
        <f>D79+D80</f>
        <v>0</v>
      </c>
      <c r="F79" s="72">
        <f>C79/C87</f>
        <v>0</v>
      </c>
      <c r="G79" s="367">
        <f>F79+F80</f>
        <v>0</v>
      </c>
      <c r="I79" s="74" t="s">
        <v>346</v>
      </c>
      <c r="J79" s="71">
        <f>COUNTIFS('1. All Data'!$AA$3:$AA$111,"Community Regeneration",'1. All Data'!$M$3:$M$111,"Completed Behind Schedule")</f>
        <v>0</v>
      </c>
      <c r="K79" s="72">
        <f>J79/J86</f>
        <v>0</v>
      </c>
      <c r="L79" s="365">
        <f>K79+K80</f>
        <v>0</v>
      </c>
      <c r="M79" s="72">
        <f>J79/J87</f>
        <v>0</v>
      </c>
      <c r="N79" s="367">
        <f>M79+M80</f>
        <v>0</v>
      </c>
      <c r="P79" s="74" t="s">
        <v>346</v>
      </c>
      <c r="Q79" s="71">
        <f>COUNTIFS('1. All Data'!$AA$3:$AA$111,"Community Regeneration",'1. All Data'!$R$3:$R$111,"Completed Behind Schedule")</f>
        <v>0</v>
      </c>
      <c r="R79" s="72">
        <f>Q79/Q86</f>
        <v>0</v>
      </c>
      <c r="S79" s="365">
        <f>R79+R80</f>
        <v>0</v>
      </c>
      <c r="T79" s="72" t="e">
        <f>Q79/Q87</f>
        <v>#DIV/0!</v>
      </c>
      <c r="U79" s="367" t="e">
        <f>T79+T80</f>
        <v>#DIV/0!</v>
      </c>
      <c r="W79" s="74" t="s">
        <v>340</v>
      </c>
      <c r="X79" s="93"/>
      <c r="Y79" s="72"/>
      <c r="Z79" s="365"/>
      <c r="AA79" s="72"/>
      <c r="AB79" s="367">
        <f>AA79+AA80</f>
        <v>0</v>
      </c>
    </row>
    <row r="80" spans="2:28" ht="30" customHeight="1">
      <c r="B80" s="74" t="s">
        <v>339</v>
      </c>
      <c r="C80" s="71">
        <f>COUNTIFS('1. All Data'!$AA$3:$AA$111,"Community Regeneration",'1. All Data'!$H$3:$H$111,"Off Target")</f>
        <v>0</v>
      </c>
      <c r="D80" s="72">
        <f>C80/C86</f>
        <v>0</v>
      </c>
      <c r="E80" s="365"/>
      <c r="F80" s="72">
        <f>C80/C87</f>
        <v>0</v>
      </c>
      <c r="G80" s="367"/>
      <c r="I80" s="74" t="s">
        <v>339</v>
      </c>
      <c r="J80" s="71">
        <f>COUNTIFS('1. All Data'!$AA$3:$AA$111,"Community Regeneration",'1. All Data'!$M$3:$M$111,"Off Target")</f>
        <v>0</v>
      </c>
      <c r="K80" s="72">
        <f>J80/J86</f>
        <v>0</v>
      </c>
      <c r="L80" s="365"/>
      <c r="M80" s="72">
        <f>J80/J87</f>
        <v>0</v>
      </c>
      <c r="N80" s="367"/>
      <c r="P80" s="74" t="s">
        <v>339</v>
      </c>
      <c r="Q80" s="71">
        <f>COUNTIFS('1. All Data'!$AA$3:$AA$111,"Community Regeneration",'1. All Data'!$R$3:$R$111,"Off Target")</f>
        <v>0</v>
      </c>
      <c r="R80" s="72">
        <f>Q80/Q86</f>
        <v>0</v>
      </c>
      <c r="S80" s="365"/>
      <c r="T80" s="72" t="e">
        <f>Q80/Q87</f>
        <v>#DIV/0!</v>
      </c>
      <c r="U80" s="367"/>
      <c r="W80" s="74" t="s">
        <v>339</v>
      </c>
      <c r="X80" s="93"/>
      <c r="Y80" s="72"/>
      <c r="Z80" s="365"/>
      <c r="AA80" s="72"/>
      <c r="AB80" s="367"/>
    </row>
    <row r="81" spans="2:28" ht="5.25" customHeight="1">
      <c r="B81" s="29"/>
      <c r="C81" s="43"/>
      <c r="D81" s="40"/>
      <c r="E81" s="40"/>
      <c r="F81" s="40"/>
      <c r="G81" s="44"/>
      <c r="I81" s="29"/>
      <c r="J81" s="43"/>
      <c r="K81" s="40"/>
      <c r="L81" s="40"/>
      <c r="M81" s="40"/>
      <c r="N81" s="44"/>
      <c r="P81" s="29"/>
      <c r="Q81" s="43"/>
      <c r="R81" s="40"/>
      <c r="S81" s="40"/>
      <c r="T81" s="40"/>
      <c r="U81" s="44"/>
      <c r="W81" s="29"/>
      <c r="X81" s="43"/>
      <c r="Y81" s="40"/>
      <c r="Z81" s="40"/>
      <c r="AA81" s="40"/>
      <c r="AB81" s="44"/>
    </row>
    <row r="82" spans="2:28" ht="15.75" customHeight="1">
      <c r="B82" s="75" t="s">
        <v>394</v>
      </c>
      <c r="C82" s="71">
        <f>COUNTIFS('1. All Data'!$AA$3:$AA$111,"Community Regeneration",'1. All Data'!$H$3:$H$111,"Not yet due")</f>
        <v>4</v>
      </c>
      <c r="D82" s="76">
        <f>C82/C86</f>
        <v>0.2</v>
      </c>
      <c r="E82" s="76">
        <f>D82</f>
        <v>0.2</v>
      </c>
      <c r="F82" s="45"/>
      <c r="G82" s="46"/>
      <c r="I82" s="75" t="s">
        <v>394</v>
      </c>
      <c r="J82" s="71">
        <f>COUNTIFS('1. All Data'!$AA$3:$AA$111,"Community Regeneration",'1. All Data'!$M$3:$M$111,"Not yet due")</f>
        <v>3</v>
      </c>
      <c r="K82" s="76">
        <f>J82/J86</f>
        <v>0.15</v>
      </c>
      <c r="L82" s="76">
        <f>K82</f>
        <v>0.15</v>
      </c>
      <c r="M82" s="45"/>
      <c r="N82" s="46"/>
      <c r="P82" s="75" t="s">
        <v>394</v>
      </c>
      <c r="Q82" s="71">
        <f>COUNTIFS('1. All Data'!$AA$3:$AA$111,"Community Regeneration",'1. All Data'!$R$3:$R$111,"Not yet due")</f>
        <v>0</v>
      </c>
      <c r="R82" s="76">
        <f>Q82/Q86</f>
        <v>0</v>
      </c>
      <c r="S82" s="76">
        <f>R82</f>
        <v>0</v>
      </c>
      <c r="T82" s="45"/>
      <c r="U82" s="46"/>
      <c r="W82" s="75" t="s">
        <v>394</v>
      </c>
      <c r="X82" s="71"/>
      <c r="Y82" s="76"/>
      <c r="Z82" s="76"/>
      <c r="AA82" s="45"/>
      <c r="AB82" s="46"/>
    </row>
    <row r="83" spans="2:28" ht="15.75" customHeight="1">
      <c r="B83" s="75" t="s">
        <v>334</v>
      </c>
      <c r="C83" s="71">
        <f>COUNTIFS('1. All Data'!$AA$3:$AA$111,"Community Regeneration",'1. All Data'!$H$3:$H$111,"update not provided")</f>
        <v>0</v>
      </c>
      <c r="D83" s="76">
        <f>C83/C86</f>
        <v>0</v>
      </c>
      <c r="E83" s="76">
        <f>D83</f>
        <v>0</v>
      </c>
      <c r="F83" s="45"/>
      <c r="G83" s="48"/>
      <c r="I83" s="75" t="s">
        <v>334</v>
      </c>
      <c r="J83" s="71">
        <f>COUNTIFS('1. All Data'!$AA$3:$AA$111,"Community Regeneration",'1. All Data'!$M$3:$M$111,"update not provided")</f>
        <v>0</v>
      </c>
      <c r="K83" s="76">
        <f>J83/J86</f>
        <v>0</v>
      </c>
      <c r="L83" s="76">
        <f>K83</f>
        <v>0</v>
      </c>
      <c r="M83" s="45"/>
      <c r="N83" s="48"/>
      <c r="P83" s="75" t="s">
        <v>334</v>
      </c>
      <c r="Q83" s="71">
        <f>COUNTIFS('1. All Data'!$AA$3:$AA$111,"Community Regeneration",'1. All Data'!$R$3:$R$111,"update not provided")</f>
        <v>20</v>
      </c>
      <c r="R83" s="76">
        <f>Q83/Q86</f>
        <v>1</v>
      </c>
      <c r="S83" s="76">
        <f>R83</f>
        <v>1</v>
      </c>
      <c r="T83" s="45"/>
      <c r="U83" s="48"/>
      <c r="W83" s="75" t="s">
        <v>334</v>
      </c>
      <c r="X83" s="71"/>
      <c r="Y83" s="76"/>
      <c r="Z83" s="76"/>
      <c r="AA83" s="45"/>
      <c r="AB83" s="48"/>
    </row>
    <row r="84" spans="2:28" ht="15.75" customHeight="1">
      <c r="B84" s="77" t="s">
        <v>342</v>
      </c>
      <c r="C84" s="71">
        <f>COUNTIFS('1. All Data'!$AA$3:$AA$111,"Community Regeneration",'1. All Data'!$H$3:$H$111,"Deferred")</f>
        <v>0</v>
      </c>
      <c r="D84" s="78">
        <f>C84/C86</f>
        <v>0</v>
      </c>
      <c r="E84" s="78">
        <f>D84</f>
        <v>0</v>
      </c>
      <c r="F84" s="50"/>
      <c r="G84" s="46"/>
      <c r="I84" s="77" t="s">
        <v>342</v>
      </c>
      <c r="J84" s="71">
        <f>COUNTIFS('1. All Data'!$AA$3:$AA$111,"Community Regeneration",'1. All Data'!$M$3:$M$111,"Deferred")</f>
        <v>0</v>
      </c>
      <c r="K84" s="78">
        <f>J84/J86</f>
        <v>0</v>
      </c>
      <c r="L84" s="78">
        <f>K84</f>
        <v>0</v>
      </c>
      <c r="M84" s="50"/>
      <c r="N84" s="46"/>
      <c r="P84" s="77" t="s">
        <v>342</v>
      </c>
      <c r="Q84" s="71">
        <f>COUNTIFS('1. All Data'!$AA$3:$AA$111,"Community Regeneration",'1. All Data'!$R$3:$R$111,"Deferred")</f>
        <v>0</v>
      </c>
      <c r="R84" s="78">
        <f>Q84/Q86</f>
        <v>0</v>
      </c>
      <c r="S84" s="78">
        <f>R84</f>
        <v>0</v>
      </c>
      <c r="T84" s="50"/>
      <c r="U84" s="46"/>
      <c r="W84" s="77" t="s">
        <v>342</v>
      </c>
      <c r="X84" s="71"/>
      <c r="Y84" s="78"/>
      <c r="Z84" s="78"/>
      <c r="AA84" s="50"/>
      <c r="AB84" s="46"/>
    </row>
    <row r="85" spans="2:28" ht="15.75" customHeight="1">
      <c r="B85" s="77" t="s">
        <v>343</v>
      </c>
      <c r="C85" s="71">
        <f>COUNTIFS('1. All Data'!$AA$3:$AA$111,"Community Regeneration",'1. All Data'!$H$3:$H$111,"Deleted")</f>
        <v>0</v>
      </c>
      <c r="D85" s="78">
        <f>C85/C86</f>
        <v>0</v>
      </c>
      <c r="E85" s="78">
        <f>D85</f>
        <v>0</v>
      </c>
      <c r="F85" s="50"/>
      <c r="G85" s="52" t="s">
        <v>395</v>
      </c>
      <c r="I85" s="77" t="s">
        <v>343</v>
      </c>
      <c r="J85" s="71">
        <f>COUNTIFS('1. All Data'!$AA$3:$AA$111,"Community Regeneration",'1. All Data'!$M$3:$M$111,"Deleted")</f>
        <v>0</v>
      </c>
      <c r="K85" s="78">
        <f>J85/J86</f>
        <v>0</v>
      </c>
      <c r="L85" s="78">
        <f>K85</f>
        <v>0</v>
      </c>
      <c r="M85" s="50"/>
      <c r="N85" s="52" t="s">
        <v>395</v>
      </c>
      <c r="P85" s="77" t="s">
        <v>343</v>
      </c>
      <c r="Q85" s="71">
        <f>COUNTIFS('1. All Data'!$AA$3:$AA$111,"Community Regeneration",'1. All Data'!$R$3:$R$111,"Deleted")</f>
        <v>0</v>
      </c>
      <c r="R85" s="78">
        <f>Q85/Q86</f>
        <v>0</v>
      </c>
      <c r="S85" s="78">
        <f>R85</f>
        <v>0</v>
      </c>
      <c r="T85" s="50"/>
      <c r="U85" s="52" t="s">
        <v>395</v>
      </c>
      <c r="W85" s="77" t="s">
        <v>343</v>
      </c>
      <c r="X85" s="71"/>
      <c r="Y85" s="78"/>
      <c r="Z85" s="78"/>
      <c r="AA85" s="50"/>
      <c r="AB85" s="52" t="s">
        <v>395</v>
      </c>
    </row>
    <row r="86" spans="2:28" ht="15.75" customHeight="1">
      <c r="B86" s="89" t="s">
        <v>396</v>
      </c>
      <c r="C86" s="80">
        <f>SUM(C72:C85)</f>
        <v>20</v>
      </c>
      <c r="D86" s="50"/>
      <c r="E86" s="50"/>
      <c r="F86" s="46"/>
      <c r="G86" s="46"/>
      <c r="I86" s="89" t="s">
        <v>396</v>
      </c>
      <c r="J86" s="80">
        <f>SUM(J72:J85)</f>
        <v>20</v>
      </c>
      <c r="K86" s="50"/>
      <c r="L86" s="50"/>
      <c r="M86" s="46"/>
      <c r="N86" s="46"/>
      <c r="P86" s="89" t="s">
        <v>396</v>
      </c>
      <c r="Q86" s="80">
        <f>SUM(Q72:Q85)</f>
        <v>20</v>
      </c>
      <c r="R86" s="50"/>
      <c r="S86" s="50"/>
      <c r="T86" s="46"/>
      <c r="U86" s="46"/>
      <c r="W86" s="79" t="s">
        <v>396</v>
      </c>
      <c r="X86" s="80"/>
      <c r="Y86" s="50"/>
      <c r="Z86" s="50"/>
      <c r="AA86" s="46"/>
      <c r="AB86" s="46"/>
    </row>
    <row r="87" spans="2:28" ht="15.75" customHeight="1">
      <c r="B87" s="89" t="s">
        <v>397</v>
      </c>
      <c r="C87" s="80">
        <f>C86-C85-C84-C83-C82</f>
        <v>16</v>
      </c>
      <c r="D87" s="46"/>
      <c r="E87" s="46"/>
      <c r="F87" s="46"/>
      <c r="G87" s="46"/>
      <c r="I87" s="89" t="s">
        <v>397</v>
      </c>
      <c r="J87" s="80">
        <f>J86-J85-J84-J83-J82</f>
        <v>17</v>
      </c>
      <c r="K87" s="46"/>
      <c r="L87" s="46"/>
      <c r="M87" s="46"/>
      <c r="N87" s="46"/>
      <c r="P87" s="89" t="s">
        <v>397</v>
      </c>
      <c r="Q87" s="80">
        <f>Q86-Q85-Q84-Q83-Q82</f>
        <v>0</v>
      </c>
      <c r="R87" s="46"/>
      <c r="S87" s="46"/>
      <c r="T87" s="46"/>
      <c r="U87" s="46"/>
      <c r="W87" s="79" t="s">
        <v>397</v>
      </c>
      <c r="X87" s="80"/>
      <c r="Y87" s="46"/>
      <c r="Z87" s="46"/>
      <c r="AA87" s="46"/>
      <c r="AB87" s="46"/>
    </row>
    <row r="88" spans="2:28" ht="15.75" customHeight="1">
      <c r="AB88" s="51"/>
    </row>
    <row r="89" spans="2:28" ht="15.75" customHeight="1">
      <c r="AB89" s="51"/>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zoomScale="50" zoomScaleNormal="50" workbookViewId="0">
      <selection activeCell="AZ7" sqref="AZ7"/>
    </sheetView>
  </sheetViews>
  <sheetFormatPr defaultColWidth="9.140625" defaultRowHeight="15"/>
  <cols>
    <col min="1" max="1" width="3.42578125" style="98" customWidth="1"/>
    <col min="2" max="9" width="9.140625" style="98"/>
    <col min="10" max="10" width="3.42578125" style="98" customWidth="1"/>
    <col min="11" max="11" width="9.140625" style="99"/>
    <col min="12" max="18" width="9.140625" style="98"/>
    <col min="19" max="19" width="3.42578125" style="98" customWidth="1"/>
    <col min="20" max="27" width="9.140625" style="98" customWidth="1"/>
    <col min="28" max="28" width="3.42578125" style="98" customWidth="1"/>
    <col min="29" max="36" width="9.140625" style="98" customWidth="1"/>
    <col min="37" max="37" width="3.42578125" style="98" customWidth="1"/>
    <col min="38" max="47" width="9.140625" style="98" customWidth="1"/>
    <col min="48" max="50" width="0" style="98" hidden="1" customWidth="1"/>
    <col min="51" max="51" width="9.140625" style="98"/>
    <col min="52" max="55" width="10" style="101" customWidth="1"/>
    <col min="56" max="16384" width="9.140625" style="98"/>
  </cols>
  <sheetData>
    <row r="1" spans="2:56" s="95" customFormat="1" ht="36" thickTop="1">
      <c r="B1" s="94" t="s">
        <v>408</v>
      </c>
      <c r="M1" s="381" t="s">
        <v>409</v>
      </c>
      <c r="N1" s="382"/>
      <c r="O1" s="382"/>
      <c r="P1" s="382"/>
      <c r="Q1" s="382"/>
      <c r="R1" s="382"/>
      <c r="S1" s="382"/>
      <c r="T1" s="382"/>
      <c r="U1" s="382"/>
      <c r="V1" s="382"/>
      <c r="W1" s="382"/>
      <c r="X1" s="382"/>
      <c r="Y1" s="382"/>
      <c r="Z1" s="383"/>
      <c r="AZ1" s="96"/>
      <c r="BA1" s="96"/>
      <c r="BB1" s="96"/>
      <c r="BC1" s="96"/>
    </row>
    <row r="2" spans="2:56" s="95" customFormat="1" ht="35.25">
      <c r="B2" s="97" t="s">
        <v>395</v>
      </c>
      <c r="M2" s="384"/>
      <c r="N2" s="385"/>
      <c r="O2" s="385"/>
      <c r="P2" s="385"/>
      <c r="Q2" s="385"/>
      <c r="R2" s="385"/>
      <c r="S2" s="385"/>
      <c r="T2" s="385"/>
      <c r="U2" s="385"/>
      <c r="V2" s="385"/>
      <c r="W2" s="385"/>
      <c r="X2" s="385"/>
      <c r="Y2" s="385"/>
      <c r="Z2" s="386"/>
      <c r="AZ2" s="96"/>
      <c r="BA2" s="96"/>
      <c r="BB2" s="96"/>
      <c r="BC2" s="96"/>
    </row>
    <row r="3" spans="2:56" s="95" customFormat="1" ht="36" thickBot="1">
      <c r="M3" s="387"/>
      <c r="N3" s="388"/>
      <c r="O3" s="388"/>
      <c r="P3" s="388"/>
      <c r="Q3" s="388"/>
      <c r="R3" s="388"/>
      <c r="S3" s="388"/>
      <c r="T3" s="388"/>
      <c r="U3" s="388"/>
      <c r="V3" s="388"/>
      <c r="W3" s="388"/>
      <c r="X3" s="388"/>
      <c r="Y3" s="388"/>
      <c r="Z3" s="389"/>
      <c r="AZ3" s="96"/>
      <c r="BA3" s="96"/>
      <c r="BB3" s="96"/>
      <c r="BC3" s="96"/>
    </row>
    <row r="4" spans="2:56" ht="15.75" thickTop="1">
      <c r="N4" s="100" t="s">
        <v>395</v>
      </c>
      <c r="W4" s="100" t="s">
        <v>395</v>
      </c>
      <c r="AF4" s="100" t="s">
        <v>395</v>
      </c>
      <c r="AO4" s="100" t="s">
        <v>395</v>
      </c>
    </row>
    <row r="5" spans="2:56">
      <c r="AY5" s="106" t="s">
        <v>410</v>
      </c>
      <c r="AZ5" s="107"/>
      <c r="BA5" s="107"/>
      <c r="BB5" s="107"/>
      <c r="BC5" s="107"/>
      <c r="BD5" s="99"/>
    </row>
    <row r="6" spans="2:56">
      <c r="AY6" s="108"/>
      <c r="AZ6" s="109" t="s">
        <v>281</v>
      </c>
      <c r="BA6" s="109" t="s">
        <v>282</v>
      </c>
      <c r="BB6" s="109" t="s">
        <v>283</v>
      </c>
      <c r="BC6" s="109" t="s">
        <v>280</v>
      </c>
      <c r="BD6" s="99"/>
    </row>
    <row r="7" spans="2:56">
      <c r="AY7" s="110" t="s">
        <v>411</v>
      </c>
      <c r="AZ7" s="111">
        <f>'2a. % By Priority'!G6</f>
        <v>0.96385542168674698</v>
      </c>
      <c r="BA7" s="111">
        <f>'2a. % By Priority'!N6</f>
        <v>0.95959595959595956</v>
      </c>
      <c r="BB7" s="111" t="e">
        <f>'2a. % By Priority'!U6</f>
        <v>#DIV/0!</v>
      </c>
      <c r="BC7" s="111">
        <f>'2a. % By Priority'!AB6</f>
        <v>0</v>
      </c>
      <c r="BD7" s="99"/>
    </row>
    <row r="8" spans="2:56">
      <c r="L8" s="103"/>
      <c r="M8" s="103"/>
      <c r="AY8" s="110" t="s">
        <v>412</v>
      </c>
      <c r="AZ8" s="111">
        <f>'2a. % By Priority'!G9</f>
        <v>2.4096385542168676E-2</v>
      </c>
      <c r="BA8" s="111">
        <f>'2a. % By Priority'!N9</f>
        <v>2.0202020202020204E-2</v>
      </c>
      <c r="BB8" s="111" t="e">
        <f>'2a. % By Priority'!U9</f>
        <v>#DIV/0!</v>
      </c>
      <c r="BC8" s="111">
        <f>'2a. % By Priority'!AB9</f>
        <v>0</v>
      </c>
      <c r="BD8" s="99"/>
    </row>
    <row r="9" spans="2:56">
      <c r="L9" s="103"/>
      <c r="M9" s="103"/>
      <c r="AY9" s="110" t="s">
        <v>413</v>
      </c>
      <c r="AZ9" s="111">
        <f>'2a. % By Priority'!G13</f>
        <v>1.2048192771084338E-2</v>
      </c>
      <c r="BA9" s="111">
        <f>'2a. % By Priority'!N13</f>
        <v>2.0202020202020204E-2</v>
      </c>
      <c r="BB9" s="111" t="e">
        <f>'2a. % By Priority'!U13</f>
        <v>#DIV/0!</v>
      </c>
      <c r="BC9" s="111">
        <f>'2a. % By Priority'!AB13</f>
        <v>0</v>
      </c>
      <c r="BD9" s="99"/>
    </row>
    <row r="10" spans="2:56">
      <c r="L10" s="103"/>
      <c r="M10" s="103"/>
      <c r="AY10" s="108"/>
      <c r="AZ10" s="112"/>
      <c r="BA10" s="112"/>
      <c r="BB10" s="112"/>
      <c r="BC10" s="112"/>
      <c r="BD10" s="99"/>
    </row>
    <row r="11" spans="2:56">
      <c r="AY11" s="113"/>
      <c r="AZ11" s="114"/>
      <c r="BA11" s="114"/>
      <c r="BB11" s="115"/>
      <c r="BC11" s="115"/>
      <c r="BD11" s="99"/>
    </row>
    <row r="12" spans="2:56">
      <c r="AY12" s="113"/>
      <c r="AZ12" s="114"/>
      <c r="BA12" s="114"/>
      <c r="BB12" s="115"/>
      <c r="BC12" s="115"/>
      <c r="BD12" s="99"/>
    </row>
    <row r="13" spans="2:56">
      <c r="AY13" s="113"/>
      <c r="AZ13" s="114"/>
      <c r="BA13" s="114"/>
      <c r="BB13" s="115"/>
      <c r="BC13" s="115"/>
      <c r="BD13" s="99"/>
    </row>
    <row r="14" spans="2:56">
      <c r="AY14" s="116"/>
      <c r="AZ14" s="107"/>
      <c r="BA14" s="107"/>
      <c r="BB14" s="107"/>
      <c r="BC14" s="107"/>
      <c r="BD14" s="99"/>
    </row>
    <row r="15" spans="2:56">
      <c r="AY15" s="116"/>
      <c r="AZ15" s="107"/>
      <c r="BA15" s="107"/>
      <c r="BB15" s="107"/>
      <c r="BC15" s="107"/>
      <c r="BD15" s="99"/>
    </row>
    <row r="16" spans="2:56">
      <c r="AY16" s="116"/>
      <c r="AZ16" s="107"/>
      <c r="BA16" s="107"/>
      <c r="BB16" s="107"/>
      <c r="BC16" s="107"/>
      <c r="BD16" s="99"/>
    </row>
    <row r="17" spans="12:56">
      <c r="AY17" s="116"/>
      <c r="AZ17" s="107"/>
      <c r="BA17" s="107"/>
      <c r="BB17" s="107"/>
      <c r="BC17" s="107"/>
      <c r="BD17" s="99"/>
    </row>
    <row r="18" spans="12:56">
      <c r="AY18" s="116"/>
      <c r="AZ18" s="107"/>
      <c r="BA18" s="107"/>
      <c r="BB18" s="107"/>
      <c r="BC18" s="107"/>
      <c r="BD18" s="99"/>
    </row>
    <row r="19" spans="12:56">
      <c r="AY19" s="116"/>
      <c r="AZ19" s="107"/>
      <c r="BA19" s="107"/>
      <c r="BB19" s="107"/>
      <c r="BC19" s="107"/>
      <c r="BD19" s="99"/>
    </row>
    <row r="20" spans="12:56">
      <c r="N20" s="100" t="s">
        <v>395</v>
      </c>
      <c r="W20" s="100" t="s">
        <v>395</v>
      </c>
      <c r="AF20" s="100" t="s">
        <v>395</v>
      </c>
      <c r="AO20" s="100" t="s">
        <v>395</v>
      </c>
      <c r="AY20" s="116"/>
      <c r="AZ20" s="107"/>
      <c r="BA20" s="107"/>
      <c r="BB20" s="107"/>
      <c r="BC20" s="107"/>
      <c r="BD20" s="99"/>
    </row>
    <row r="21" spans="12:56">
      <c r="AY21" s="106" t="s">
        <v>401</v>
      </c>
      <c r="AZ21" s="107"/>
      <c r="BA21" s="107"/>
      <c r="BB21" s="107"/>
      <c r="BC21" s="107"/>
      <c r="BD21" s="99"/>
    </row>
    <row r="22" spans="12:56">
      <c r="AY22" s="108"/>
      <c r="AZ22" s="109" t="s">
        <v>281</v>
      </c>
      <c r="BA22" s="109" t="s">
        <v>282</v>
      </c>
      <c r="BB22" s="109" t="s">
        <v>283</v>
      </c>
      <c r="BC22" s="109" t="s">
        <v>280</v>
      </c>
      <c r="BD22" s="99"/>
    </row>
    <row r="23" spans="12:56">
      <c r="AY23" s="110" t="s">
        <v>411</v>
      </c>
      <c r="AZ23" s="111">
        <f>'2a. % By Priority'!G28</f>
        <v>0.96153846153846156</v>
      </c>
      <c r="BA23" s="111">
        <f>'2a. % By Priority'!N28</f>
        <v>0.95</v>
      </c>
      <c r="BB23" s="111" t="e">
        <f>'2a. % By Priority'!U28</f>
        <v>#DIV/0!</v>
      </c>
      <c r="BC23" s="111">
        <f>'2a. % By Priority'!AB28</f>
        <v>0</v>
      </c>
      <c r="BD23" s="99"/>
    </row>
    <row r="24" spans="12:56">
      <c r="L24" s="103"/>
      <c r="M24" s="103"/>
      <c r="AY24" s="110" t="s">
        <v>412</v>
      </c>
      <c r="AZ24" s="111">
        <f>'2a. % By Priority'!G31</f>
        <v>1.9230769230769232E-2</v>
      </c>
      <c r="BA24" s="111">
        <f>'2a. % By Priority'!N31</f>
        <v>3.3333333333333333E-2</v>
      </c>
      <c r="BB24" s="111" t="e">
        <f>'2a. % By Priority'!U31</f>
        <v>#DIV/0!</v>
      </c>
      <c r="BC24" s="111">
        <f>'2a. % By Priority'!AB31</f>
        <v>0</v>
      </c>
      <c r="BD24" s="99"/>
    </row>
    <row r="25" spans="12:56">
      <c r="L25" s="103"/>
      <c r="M25" s="103"/>
      <c r="AY25" s="110" t="s">
        <v>413</v>
      </c>
      <c r="AZ25" s="111">
        <f>'2a. % By Priority'!G35</f>
        <v>1.9230769230769232E-2</v>
      </c>
      <c r="BA25" s="111">
        <f>'2a. % By Priority'!N35</f>
        <v>1.6666666666666666E-2</v>
      </c>
      <c r="BB25" s="111" t="e">
        <f>'2a. % By Priority'!U35</f>
        <v>#DIV/0!</v>
      </c>
      <c r="BC25" s="111">
        <f>'2a. % By Priority'!AB35</f>
        <v>0</v>
      </c>
      <c r="BD25" s="99"/>
    </row>
    <row r="26" spans="12:56">
      <c r="L26" s="103"/>
      <c r="M26" s="103"/>
      <c r="AY26" s="116"/>
      <c r="AZ26" s="107"/>
      <c r="BA26" s="107"/>
      <c r="BB26" s="107"/>
      <c r="BC26" s="107"/>
      <c r="BD26" s="99"/>
    </row>
    <row r="27" spans="12:56">
      <c r="AY27" s="113"/>
      <c r="AZ27" s="107"/>
      <c r="BA27" s="107"/>
      <c r="BB27" s="107"/>
      <c r="BC27" s="107"/>
      <c r="BD27" s="99"/>
    </row>
    <row r="28" spans="12:56">
      <c r="AY28" s="113"/>
      <c r="AZ28" s="107"/>
      <c r="BA28" s="107"/>
      <c r="BB28" s="107"/>
      <c r="BC28" s="107"/>
      <c r="BD28" s="99"/>
    </row>
    <row r="29" spans="12:56">
      <c r="AY29" s="113"/>
      <c r="AZ29" s="107"/>
      <c r="BA29" s="107"/>
      <c r="BB29" s="107"/>
      <c r="BC29" s="107"/>
      <c r="BD29" s="99"/>
    </row>
    <row r="30" spans="12:56">
      <c r="AY30" s="116"/>
      <c r="AZ30" s="107"/>
      <c r="BA30" s="107"/>
      <c r="BB30" s="107"/>
      <c r="BC30" s="107"/>
      <c r="BD30" s="99"/>
    </row>
    <row r="31" spans="12:56">
      <c r="AY31" s="116"/>
      <c r="AZ31" s="107"/>
      <c r="BA31" s="107"/>
      <c r="BB31" s="107"/>
      <c r="BC31" s="107"/>
      <c r="BD31" s="99"/>
    </row>
    <row r="32" spans="12:56">
      <c r="AY32" s="116"/>
      <c r="AZ32" s="107"/>
      <c r="BA32" s="107"/>
      <c r="BB32" s="107"/>
      <c r="BC32" s="107"/>
      <c r="BD32" s="99"/>
    </row>
    <row r="33" spans="11:56">
      <c r="AY33" s="116"/>
      <c r="AZ33" s="107"/>
      <c r="BA33" s="107"/>
      <c r="BB33" s="107"/>
      <c r="BC33" s="107"/>
      <c r="BD33" s="99"/>
    </row>
    <row r="34" spans="11:56">
      <c r="AY34" s="116"/>
      <c r="AZ34" s="107"/>
      <c r="BA34" s="107"/>
      <c r="BB34" s="107"/>
      <c r="BC34" s="107"/>
      <c r="BD34" s="99"/>
    </row>
    <row r="35" spans="11:56">
      <c r="AY35" s="116"/>
      <c r="AZ35" s="107"/>
      <c r="BA35" s="107"/>
      <c r="BB35" s="107"/>
      <c r="BC35" s="107"/>
      <c r="BD35" s="99"/>
    </row>
    <row r="36" spans="11:56">
      <c r="N36" s="100" t="s">
        <v>395</v>
      </c>
      <c r="W36" s="100" t="s">
        <v>395</v>
      </c>
      <c r="AF36" s="100" t="s">
        <v>395</v>
      </c>
      <c r="AO36" s="100" t="s">
        <v>395</v>
      </c>
      <c r="AY36" s="116"/>
      <c r="AZ36" s="107"/>
      <c r="BA36" s="107"/>
      <c r="BB36" s="107"/>
      <c r="BC36" s="107"/>
      <c r="BD36" s="99"/>
    </row>
    <row r="37" spans="11:56">
      <c r="AY37" s="106" t="s">
        <v>402</v>
      </c>
      <c r="AZ37" s="117"/>
      <c r="BA37" s="117"/>
      <c r="BB37" s="117"/>
      <c r="BC37" s="117"/>
      <c r="BD37" s="105"/>
    </row>
    <row r="38" spans="11:56">
      <c r="AY38" s="118"/>
      <c r="AZ38" s="109" t="s">
        <v>281</v>
      </c>
      <c r="BA38" s="109" t="s">
        <v>282</v>
      </c>
      <c r="BB38" s="109" t="s">
        <v>283</v>
      </c>
      <c r="BC38" s="109" t="s">
        <v>280</v>
      </c>
      <c r="BD38" s="105"/>
    </row>
    <row r="39" spans="11:56">
      <c r="AY39" s="110" t="s">
        <v>411</v>
      </c>
      <c r="AZ39" s="111">
        <f>'2a. % By Priority'!G50</f>
        <v>0.93333333333333335</v>
      </c>
      <c r="BA39" s="111">
        <f>'2a. % By Priority'!N50</f>
        <v>0.95454545454545459</v>
      </c>
      <c r="BB39" s="111" t="e">
        <f>'2a. % By Priority'!U50</f>
        <v>#DIV/0!</v>
      </c>
      <c r="BC39" s="111">
        <f>'2a. % By Priority'!AB50</f>
        <v>0</v>
      </c>
      <c r="BD39" s="105"/>
    </row>
    <row r="40" spans="11:56">
      <c r="K40" s="103"/>
      <c r="L40" s="103"/>
      <c r="AY40" s="110" t="s">
        <v>412</v>
      </c>
      <c r="AZ40" s="111">
        <f>'2a. % By Priority'!G53</f>
        <v>6.6666666666666666E-2</v>
      </c>
      <c r="BA40" s="111">
        <f>'2a. % By Priority'!N53</f>
        <v>0</v>
      </c>
      <c r="BB40" s="111" t="e">
        <f>'2a. % By Priority'!U53</f>
        <v>#DIV/0!</v>
      </c>
      <c r="BC40" s="111">
        <f>'2a. % By Priority'!AB53</f>
        <v>0</v>
      </c>
      <c r="BD40" s="105"/>
    </row>
    <row r="41" spans="11:56">
      <c r="K41" s="103"/>
      <c r="L41" s="103"/>
      <c r="AY41" s="110" t="s">
        <v>413</v>
      </c>
      <c r="AZ41" s="111">
        <f>'2a. % By Priority'!G57</f>
        <v>0</v>
      </c>
      <c r="BA41" s="111">
        <f>'2a. % By Priority'!N57</f>
        <v>4.5454545454545456E-2</v>
      </c>
      <c r="BB41" s="111" t="e">
        <f>'2a. % By Priority'!U57</f>
        <v>#DIV/0!</v>
      </c>
      <c r="BC41" s="111">
        <f>'2a. % By Priority'!AB57</f>
        <v>0</v>
      </c>
      <c r="BD41" s="105"/>
    </row>
    <row r="42" spans="11:56">
      <c r="K42" s="103"/>
      <c r="L42" s="103"/>
      <c r="AY42" s="116"/>
      <c r="AZ42" s="107"/>
      <c r="BA42" s="107"/>
      <c r="BB42" s="107"/>
      <c r="BC42" s="107"/>
      <c r="BD42" s="99"/>
    </row>
    <row r="43" spans="11:56">
      <c r="AY43" s="113"/>
      <c r="AZ43" s="107"/>
      <c r="BA43" s="107"/>
      <c r="BB43" s="107"/>
      <c r="BC43" s="107"/>
      <c r="BD43" s="99"/>
    </row>
    <row r="44" spans="11:56">
      <c r="AY44" s="113"/>
      <c r="AZ44" s="107"/>
      <c r="BA44" s="107"/>
      <c r="BB44" s="107"/>
      <c r="BC44" s="107"/>
      <c r="BD44" s="99"/>
    </row>
    <row r="45" spans="11:56">
      <c r="AY45" s="113"/>
      <c r="AZ45" s="107"/>
      <c r="BA45" s="107"/>
      <c r="BB45" s="107"/>
      <c r="BC45" s="107"/>
      <c r="BD45" s="99"/>
    </row>
    <row r="46" spans="11:56">
      <c r="AY46" s="116"/>
      <c r="AZ46" s="107"/>
      <c r="BA46" s="107"/>
      <c r="BB46" s="107"/>
      <c r="BC46" s="107"/>
      <c r="BD46" s="99"/>
    </row>
    <row r="47" spans="11:56">
      <c r="AY47" s="116"/>
      <c r="AZ47" s="107"/>
      <c r="BA47" s="107"/>
      <c r="BB47" s="107"/>
      <c r="BC47" s="107"/>
      <c r="BD47" s="99"/>
    </row>
    <row r="48" spans="11:56">
      <c r="AY48" s="116"/>
      <c r="AZ48" s="107"/>
      <c r="BA48" s="107"/>
      <c r="BB48" s="107"/>
      <c r="BC48" s="107"/>
      <c r="BD48" s="99"/>
    </row>
    <row r="49" spans="12:56">
      <c r="AY49" s="116"/>
      <c r="AZ49" s="107"/>
      <c r="BA49" s="107"/>
      <c r="BB49" s="107"/>
      <c r="BC49" s="107"/>
      <c r="BD49" s="99"/>
    </row>
    <row r="50" spans="12:56">
      <c r="AY50" s="116"/>
      <c r="AZ50" s="107"/>
      <c r="BA50" s="107"/>
      <c r="BB50" s="107"/>
      <c r="BC50" s="107"/>
      <c r="BD50" s="99"/>
    </row>
    <row r="51" spans="12:56">
      <c r="AY51" s="116"/>
      <c r="AZ51" s="107"/>
      <c r="BA51" s="107"/>
      <c r="BB51" s="107"/>
      <c r="BC51" s="107"/>
      <c r="BD51" s="99"/>
    </row>
    <row r="52" spans="12:56">
      <c r="N52" s="100" t="s">
        <v>395</v>
      </c>
      <c r="W52" s="100" t="s">
        <v>395</v>
      </c>
      <c r="AF52" s="100" t="s">
        <v>395</v>
      </c>
      <c r="AP52" s="100" t="s">
        <v>395</v>
      </c>
      <c r="AY52" s="116"/>
      <c r="AZ52" s="107"/>
      <c r="BA52" s="107"/>
      <c r="BB52" s="107"/>
      <c r="BC52" s="107"/>
      <c r="BD52" s="99"/>
    </row>
    <row r="53" spans="12:56">
      <c r="AY53" s="106" t="s">
        <v>403</v>
      </c>
      <c r="AZ53" s="117"/>
      <c r="BA53" s="117"/>
      <c r="BB53" s="117"/>
      <c r="BC53" s="117"/>
      <c r="BD53" s="99"/>
    </row>
    <row r="54" spans="12:56">
      <c r="AY54" s="118"/>
      <c r="AZ54" s="109" t="s">
        <v>281</v>
      </c>
      <c r="BA54" s="109" t="s">
        <v>282</v>
      </c>
      <c r="BB54" s="109" t="s">
        <v>283</v>
      </c>
      <c r="BC54" s="109" t="s">
        <v>280</v>
      </c>
      <c r="BD54" s="99"/>
    </row>
    <row r="55" spans="12:56">
      <c r="AY55" s="110" t="s">
        <v>411</v>
      </c>
      <c r="AZ55" s="111">
        <f>'2a. % By Priority'!G72</f>
        <v>1</v>
      </c>
      <c r="BA55" s="111">
        <f>'2a. % By Priority'!N72</f>
        <v>1</v>
      </c>
      <c r="BB55" s="111" t="e">
        <f>'2a. % By Priority'!U72</f>
        <v>#DIV/0!</v>
      </c>
      <c r="BC55" s="111">
        <f>'2a. % By Priority'!AB72</f>
        <v>0</v>
      </c>
      <c r="BD55" s="99"/>
    </row>
    <row r="56" spans="12:56">
      <c r="L56" s="103"/>
      <c r="M56" s="103"/>
      <c r="AY56" s="110" t="s">
        <v>412</v>
      </c>
      <c r="AZ56" s="111">
        <f>'2a. % By Priority'!G75</f>
        <v>0</v>
      </c>
      <c r="BA56" s="111">
        <f>'2a. % By Priority'!N75</f>
        <v>0</v>
      </c>
      <c r="BB56" s="111" t="e">
        <f>'2a. % By Priority'!U75</f>
        <v>#DIV/0!</v>
      </c>
      <c r="BC56" s="111">
        <f>'2a. % By Priority'!AB75</f>
        <v>0</v>
      </c>
      <c r="BD56" s="99"/>
    </row>
    <row r="57" spans="12:56">
      <c r="L57" s="103"/>
      <c r="M57" s="103"/>
      <c r="AY57" s="110" t="s">
        <v>413</v>
      </c>
      <c r="AZ57" s="111">
        <f>'2a. % By Priority'!G79</f>
        <v>0</v>
      </c>
      <c r="BA57" s="111">
        <f>'2a. % By Priority'!N79</f>
        <v>0</v>
      </c>
      <c r="BB57" s="111" t="e">
        <f>'2a. % By Priority'!U79</f>
        <v>#DIV/0!</v>
      </c>
      <c r="BC57" s="111">
        <f>'2a. % By Priority'!AB79</f>
        <v>0</v>
      </c>
      <c r="BD57" s="99"/>
    </row>
    <row r="58" spans="12:56">
      <c r="L58" s="103"/>
      <c r="M58" s="103"/>
      <c r="AY58" s="99"/>
      <c r="AZ58" s="102"/>
      <c r="BA58" s="102"/>
      <c r="BB58" s="102"/>
      <c r="BC58" s="102"/>
      <c r="BD58" s="99"/>
    </row>
    <row r="59" spans="12:56">
      <c r="AY59" s="104"/>
      <c r="AZ59" s="102"/>
      <c r="BA59" s="102"/>
      <c r="BB59" s="102"/>
      <c r="BC59" s="102"/>
      <c r="BD59" s="99"/>
    </row>
    <row r="60" spans="12:56">
      <c r="AY60" s="104"/>
      <c r="AZ60" s="102"/>
      <c r="BA60" s="102"/>
      <c r="BB60" s="102"/>
      <c r="BC60" s="102"/>
      <c r="BD60" s="99"/>
    </row>
    <row r="61" spans="12:56">
      <c r="AY61" s="104"/>
      <c r="AZ61" s="102"/>
      <c r="BA61" s="102"/>
      <c r="BB61" s="102"/>
      <c r="BC61" s="102"/>
      <c r="BD61" s="99"/>
    </row>
    <row r="62" spans="12:56">
      <c r="AY62" s="99"/>
      <c r="AZ62" s="102"/>
      <c r="BA62" s="102"/>
      <c r="BB62" s="102"/>
      <c r="BC62" s="102"/>
      <c r="BD62" s="99"/>
    </row>
    <row r="63" spans="12:56">
      <c r="AY63" s="99"/>
      <c r="AZ63" s="102"/>
      <c r="BA63" s="102"/>
      <c r="BB63" s="102"/>
      <c r="BC63" s="102"/>
      <c r="BD63" s="99"/>
    </row>
    <row r="64" spans="12:56">
      <c r="AY64" s="99"/>
      <c r="AZ64" s="102"/>
      <c r="BA64" s="102"/>
      <c r="BB64" s="102"/>
      <c r="BC64" s="102"/>
      <c r="BD64" s="99"/>
    </row>
    <row r="65" spans="51:56">
      <c r="AY65" s="99"/>
      <c r="AZ65" s="102"/>
      <c r="BA65" s="102"/>
      <c r="BB65" s="102"/>
      <c r="BC65" s="102"/>
      <c r="BD65" s="99"/>
    </row>
    <row r="66" spans="51:56">
      <c r="AY66" s="99"/>
      <c r="AZ66" s="102"/>
      <c r="BA66" s="102"/>
      <c r="BB66" s="102"/>
      <c r="BC66" s="102"/>
      <c r="BD66" s="99"/>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17"/>
  <sheetViews>
    <sheetView zoomScale="80" zoomScaleNormal="80" workbookViewId="0">
      <pane ySplit="1" topLeftCell="A2" activePane="bottomLeft" state="frozen"/>
      <selection pane="bottomLeft" activeCell="G32" sqref="G32:G34"/>
    </sheetView>
  </sheetViews>
  <sheetFormatPr defaultColWidth="9.140625" defaultRowHeight="14.25"/>
  <cols>
    <col min="1" max="1" width="3.42578125" style="24" customWidth="1"/>
    <col min="2" max="2" width="38.85546875" style="24" customWidth="1"/>
    <col min="3" max="3" width="13.7109375" style="21" customWidth="1"/>
    <col min="4" max="4" width="13.85546875" style="21" customWidth="1"/>
    <col min="5" max="5" width="16.28515625" style="21" customWidth="1"/>
    <col min="6" max="6" width="14.140625" style="24" customWidth="1"/>
    <col min="7" max="7" width="17.140625" style="21" customWidth="1"/>
    <col min="8" max="8" width="4.7109375" style="24" customWidth="1"/>
    <col min="9" max="9" width="38.85546875" style="24" customWidth="1"/>
    <col min="10" max="10" width="13.7109375" style="21" customWidth="1"/>
    <col min="11" max="11" width="13.85546875" style="21" customWidth="1"/>
    <col min="12" max="12" width="16.28515625" style="21" customWidth="1"/>
    <col min="13" max="13" width="14.140625" style="24" customWidth="1"/>
    <col min="14" max="14" width="17.140625" style="21" customWidth="1"/>
    <col min="15" max="15" width="4.7109375" style="24" customWidth="1"/>
    <col min="16" max="16" width="38.85546875" style="24" hidden="1" customWidth="1"/>
    <col min="17" max="17" width="13.7109375" style="21" hidden="1" customWidth="1"/>
    <col min="18" max="18" width="13.85546875" style="21" hidden="1" customWidth="1"/>
    <col min="19" max="19" width="16.28515625" style="21" hidden="1" customWidth="1"/>
    <col min="20" max="20" width="14.140625" style="24" hidden="1" customWidth="1"/>
    <col min="21" max="21" width="17.140625" style="21" hidden="1" customWidth="1"/>
    <col min="22" max="22" width="4.7109375" style="24" hidden="1" customWidth="1"/>
    <col min="23" max="23" width="55.28515625" style="21" hidden="1" customWidth="1"/>
    <col min="24" max="24" width="14.5703125" style="21" hidden="1" customWidth="1"/>
    <col min="25" max="27" width="17.140625" style="21" hidden="1" customWidth="1"/>
    <col min="28" max="28" width="17.140625" style="49" hidden="1" customWidth="1"/>
    <col min="29" max="16384" width="9.140625" style="24"/>
  </cols>
  <sheetData>
    <row r="1" spans="2:28" s="18" customFormat="1" ht="20.25">
      <c r="B1" s="168" t="s">
        <v>404</v>
      </c>
      <c r="C1" s="169"/>
      <c r="D1" s="170"/>
      <c r="E1" s="170"/>
      <c r="F1" s="171"/>
      <c r="G1" s="170"/>
      <c r="I1" s="168" t="s">
        <v>405</v>
      </c>
      <c r="J1" s="169"/>
      <c r="K1" s="170"/>
      <c r="L1" s="170"/>
      <c r="M1" s="171"/>
      <c r="N1" s="170"/>
      <c r="P1" s="168" t="s">
        <v>406</v>
      </c>
      <c r="Q1" s="169"/>
      <c r="R1" s="170"/>
      <c r="S1" s="170"/>
      <c r="T1" s="171"/>
      <c r="U1" s="170"/>
      <c r="W1" s="178" t="s">
        <v>407</v>
      </c>
      <c r="X1" s="179"/>
      <c r="Y1" s="179"/>
      <c r="Z1" s="179"/>
      <c r="AA1" s="179"/>
      <c r="AB1" s="180"/>
    </row>
    <row r="2" spans="2:28" ht="15.75">
      <c r="B2" s="19"/>
      <c r="C2" s="20"/>
      <c r="D2" s="20"/>
      <c r="E2" s="20"/>
      <c r="F2" s="19"/>
      <c r="G2" s="20"/>
      <c r="I2" s="19"/>
      <c r="J2" s="20"/>
      <c r="K2" s="20"/>
      <c r="L2" s="20"/>
      <c r="M2" s="19"/>
      <c r="N2" s="20"/>
      <c r="P2" s="19"/>
      <c r="Q2" s="20"/>
      <c r="R2" s="20"/>
      <c r="S2" s="20"/>
      <c r="T2" s="19"/>
      <c r="U2" s="20"/>
      <c r="W2" s="22"/>
      <c r="X2" s="22"/>
      <c r="Y2" s="22"/>
      <c r="Z2" s="22"/>
      <c r="AA2" s="22"/>
      <c r="AB2" s="23"/>
    </row>
    <row r="3" spans="2:28" s="32" customFormat="1" ht="15.75">
      <c r="B3" s="163" t="s">
        <v>425</v>
      </c>
      <c r="C3" s="164"/>
      <c r="D3" s="164"/>
      <c r="E3" s="164"/>
      <c r="F3" s="165"/>
      <c r="G3" s="164"/>
      <c r="I3" s="163" t="s">
        <v>425</v>
      </c>
      <c r="J3" s="164"/>
      <c r="K3" s="164"/>
      <c r="L3" s="164"/>
      <c r="M3" s="165"/>
      <c r="N3" s="164"/>
      <c r="P3" s="163" t="s">
        <v>425</v>
      </c>
      <c r="Q3" s="164"/>
      <c r="R3" s="164"/>
      <c r="S3" s="164"/>
      <c r="T3" s="165"/>
      <c r="U3" s="164"/>
      <c r="W3" s="163" t="s">
        <v>425</v>
      </c>
      <c r="X3" s="164"/>
      <c r="Y3" s="164"/>
      <c r="Z3" s="164"/>
      <c r="AA3" s="165"/>
      <c r="AB3" s="164"/>
    </row>
    <row r="4" spans="2:28" ht="42" customHeight="1">
      <c r="B4" s="166" t="s">
        <v>387</v>
      </c>
      <c r="C4" s="167" t="s">
        <v>388</v>
      </c>
      <c r="D4" s="167" t="s">
        <v>389</v>
      </c>
      <c r="E4" s="167" t="s">
        <v>390</v>
      </c>
      <c r="F4" s="166" t="s">
        <v>391</v>
      </c>
      <c r="G4" s="167" t="s">
        <v>392</v>
      </c>
      <c r="I4" s="166" t="s">
        <v>387</v>
      </c>
      <c r="J4" s="167" t="s">
        <v>388</v>
      </c>
      <c r="K4" s="167" t="s">
        <v>389</v>
      </c>
      <c r="L4" s="167" t="s">
        <v>390</v>
      </c>
      <c r="M4" s="166" t="s">
        <v>391</v>
      </c>
      <c r="N4" s="167" t="s">
        <v>392</v>
      </c>
      <c r="P4" s="166" t="s">
        <v>387</v>
      </c>
      <c r="Q4" s="167" t="s">
        <v>388</v>
      </c>
      <c r="R4" s="167" t="s">
        <v>389</v>
      </c>
      <c r="S4" s="167" t="s">
        <v>390</v>
      </c>
      <c r="T4" s="166" t="s">
        <v>391</v>
      </c>
      <c r="U4" s="167" t="s">
        <v>392</v>
      </c>
      <c r="W4" s="84" t="s">
        <v>387</v>
      </c>
      <c r="X4" s="84" t="s">
        <v>388</v>
      </c>
      <c r="Y4" s="84" t="s">
        <v>389</v>
      </c>
      <c r="Z4" s="84" t="s">
        <v>390</v>
      </c>
      <c r="AA4" s="84" t="s">
        <v>391</v>
      </c>
      <c r="AB4" s="84" t="s">
        <v>392</v>
      </c>
    </row>
    <row r="5" spans="2:28" s="32" customFormat="1" ht="6" customHeight="1">
      <c r="B5" s="29"/>
      <c r="C5" s="30"/>
      <c r="D5" s="30"/>
      <c r="E5" s="30"/>
      <c r="F5" s="29"/>
      <c r="G5" s="30"/>
      <c r="I5" s="29"/>
      <c r="J5" s="30"/>
      <c r="K5" s="30"/>
      <c r="L5" s="30"/>
      <c r="M5" s="29"/>
      <c r="N5" s="30"/>
      <c r="P5" s="29"/>
      <c r="Q5" s="30"/>
      <c r="R5" s="30"/>
      <c r="S5" s="30"/>
      <c r="T5" s="29"/>
      <c r="U5" s="30"/>
      <c r="W5" s="29"/>
      <c r="X5" s="30"/>
      <c r="Y5" s="30"/>
      <c r="Z5" s="30"/>
      <c r="AA5" s="30"/>
      <c r="AB5" s="30"/>
    </row>
    <row r="6" spans="2:28" ht="21.75" customHeight="1">
      <c r="B6" s="152" t="s">
        <v>393</v>
      </c>
      <c r="C6" s="153">
        <f>COUNTIFS('1. All Data'!$AC$3:$AC$129,"LEADER",'1. All Data'!$H$3:$H$129,"Fully Achieved")</f>
        <v>1</v>
      </c>
      <c r="D6" s="154">
        <f>C6/C20</f>
        <v>5.8823529411764705E-2</v>
      </c>
      <c r="E6" s="402">
        <f>D6+D7</f>
        <v>0.6470588235294118</v>
      </c>
      <c r="F6" s="155">
        <f>C6/C21</f>
        <v>9.0909090909090912E-2</v>
      </c>
      <c r="G6" s="407">
        <f>F6+F7</f>
        <v>1</v>
      </c>
      <c r="I6" s="152" t="s">
        <v>393</v>
      </c>
      <c r="J6" s="153">
        <f>COUNTIFS('1. All Data'!$AC$3:$AC$129,"LEADER",'1. All Data'!$M$3:$M$129,"Fully Achieved")</f>
        <v>5</v>
      </c>
      <c r="K6" s="154">
        <f>J6/J20</f>
        <v>0.29411764705882354</v>
      </c>
      <c r="L6" s="402">
        <f>K6+K7</f>
        <v>0.82352941176470584</v>
      </c>
      <c r="M6" s="155">
        <f>J6/J21</f>
        <v>0.33333333333333331</v>
      </c>
      <c r="N6" s="407">
        <f>M6+M7</f>
        <v>0.93333333333333335</v>
      </c>
      <c r="P6" s="152" t="s">
        <v>393</v>
      </c>
      <c r="Q6" s="153">
        <f>COUNTIFS('1. All Data'!$AC$3:$AC$129,"LEADER",'1. All Data'!$R$3:$R$129,"Fully Achieved")</f>
        <v>0</v>
      </c>
      <c r="R6" s="154">
        <f>Q6/Q20</f>
        <v>0</v>
      </c>
      <c r="S6" s="402">
        <f>R6+R7</f>
        <v>0</v>
      </c>
      <c r="T6" s="155" t="e">
        <f>Q6/Q21</f>
        <v>#DIV/0!</v>
      </c>
      <c r="U6" s="407" t="e">
        <f>T6+T7</f>
        <v>#DIV/0!</v>
      </c>
      <c r="W6" s="70" t="s">
        <v>393</v>
      </c>
      <c r="X6" s="71"/>
      <c r="Y6" s="73"/>
      <c r="Z6" s="365"/>
      <c r="AA6" s="73"/>
      <c r="AB6" s="380">
        <f>AA6+AA7</f>
        <v>0</v>
      </c>
    </row>
    <row r="7" spans="2:28" ht="18.75" customHeight="1">
      <c r="B7" s="152" t="s">
        <v>344</v>
      </c>
      <c r="C7" s="153">
        <f>COUNTIFS('1. All Data'!$AC$3:$AC$129,"LEADER",'1. All Data'!$H$3:$H$129,"On Track to be Achieved")</f>
        <v>10</v>
      </c>
      <c r="D7" s="154">
        <f>C7/C20</f>
        <v>0.58823529411764708</v>
      </c>
      <c r="E7" s="402"/>
      <c r="F7" s="155">
        <f>C7/C21</f>
        <v>0.90909090909090906</v>
      </c>
      <c r="G7" s="407"/>
      <c r="I7" s="152" t="s">
        <v>344</v>
      </c>
      <c r="J7" s="153">
        <f>COUNTIFS('1. All Data'!$AC$3:$AC$129,"LEADER",'1. All Data'!$M$3:$M$129,"On Track to be Achieved")</f>
        <v>9</v>
      </c>
      <c r="K7" s="154">
        <f>J7/J20</f>
        <v>0.52941176470588236</v>
      </c>
      <c r="L7" s="402"/>
      <c r="M7" s="155">
        <f>J7/J21</f>
        <v>0.6</v>
      </c>
      <c r="N7" s="407"/>
      <c r="P7" s="152" t="s">
        <v>344</v>
      </c>
      <c r="Q7" s="153">
        <f>COUNTIFS('1. All Data'!$AC$3:$AC$129,"LEADER",'1. All Data'!$R$3:$R$129,"On Track to be Achieved")</f>
        <v>0</v>
      </c>
      <c r="R7" s="154">
        <f>Q7/Q20</f>
        <v>0</v>
      </c>
      <c r="S7" s="402"/>
      <c r="T7" s="155" t="e">
        <f>Q7/Q21</f>
        <v>#DIV/0!</v>
      </c>
      <c r="U7" s="407"/>
      <c r="W7" s="70" t="s">
        <v>344</v>
      </c>
      <c r="X7" s="71"/>
      <c r="Y7" s="73"/>
      <c r="Z7" s="365"/>
      <c r="AA7" s="73"/>
      <c r="AB7" s="380"/>
    </row>
    <row r="8" spans="2:28" s="32" customFormat="1" ht="6" customHeight="1">
      <c r="B8" s="29"/>
      <c r="C8" s="43"/>
      <c r="D8" s="40"/>
      <c r="E8" s="40"/>
      <c r="F8" s="119"/>
      <c r="G8" s="41"/>
      <c r="I8" s="29"/>
      <c r="J8" s="43"/>
      <c r="K8" s="40"/>
      <c r="L8" s="40"/>
      <c r="M8" s="119"/>
      <c r="N8" s="41"/>
      <c r="P8" s="29"/>
      <c r="Q8" s="43"/>
      <c r="R8" s="40"/>
      <c r="S8" s="40"/>
      <c r="T8" s="119"/>
      <c r="U8" s="41"/>
      <c r="W8" s="33"/>
      <c r="X8" s="34"/>
      <c r="Y8" s="35"/>
      <c r="Z8" s="35"/>
      <c r="AA8" s="35"/>
      <c r="AB8" s="36"/>
    </row>
    <row r="9" spans="2:28" ht="21" customHeight="1">
      <c r="B9" s="396" t="s">
        <v>345</v>
      </c>
      <c r="C9" s="399">
        <f>COUNTIFS('1. All Data'!$AC$3:$AC$129,"LEADER",'1. All Data'!$H$3:$H$129,"In Danger of Falling Behind Target")</f>
        <v>0</v>
      </c>
      <c r="D9" s="404">
        <f>C9/C20</f>
        <v>0</v>
      </c>
      <c r="E9" s="404">
        <f>D9</f>
        <v>0</v>
      </c>
      <c r="F9" s="390">
        <f>C9/C21</f>
        <v>0</v>
      </c>
      <c r="G9" s="393">
        <f>F9</f>
        <v>0</v>
      </c>
      <c r="I9" s="396" t="s">
        <v>345</v>
      </c>
      <c r="J9" s="399">
        <f>COUNTIFS('1. All Data'!$AC$3:$AC$129,"LEADER",'1. All Data'!$M$3:$M$129,"In Danger of Falling Behind Target")</f>
        <v>1</v>
      </c>
      <c r="K9" s="404">
        <f>J9/J20</f>
        <v>5.8823529411764705E-2</v>
      </c>
      <c r="L9" s="404">
        <f>K9</f>
        <v>5.8823529411764705E-2</v>
      </c>
      <c r="M9" s="390">
        <f>J9/J21</f>
        <v>6.6666666666666666E-2</v>
      </c>
      <c r="N9" s="393">
        <f>M9</f>
        <v>6.6666666666666666E-2</v>
      </c>
      <c r="P9" s="396" t="s">
        <v>345</v>
      </c>
      <c r="Q9" s="399">
        <f>COUNTIFS('1. All Data'!$AC$3:$AC$129,"LEADER",'1. All Data'!$R$3:$R$129,"In Danger of Falling Behind Target")</f>
        <v>0</v>
      </c>
      <c r="R9" s="404">
        <f>Q9/Q20</f>
        <v>0</v>
      </c>
      <c r="S9" s="404">
        <f>R9</f>
        <v>0</v>
      </c>
      <c r="T9" s="390" t="e">
        <f>Q9/Q21</f>
        <v>#DIV/0!</v>
      </c>
      <c r="U9" s="393" t="e">
        <f>T9</f>
        <v>#DIV/0!</v>
      </c>
      <c r="W9" s="91" t="s">
        <v>337</v>
      </c>
      <c r="X9" s="92"/>
      <c r="Y9" s="73"/>
      <c r="Z9" s="365"/>
      <c r="AA9" s="73"/>
      <c r="AB9" s="366">
        <f>AA9</f>
        <v>0</v>
      </c>
    </row>
    <row r="10" spans="2:28" ht="20.25" customHeight="1">
      <c r="B10" s="397"/>
      <c r="C10" s="400"/>
      <c r="D10" s="405"/>
      <c r="E10" s="405"/>
      <c r="F10" s="391"/>
      <c r="G10" s="394"/>
      <c r="I10" s="397"/>
      <c r="J10" s="400"/>
      <c r="K10" s="405"/>
      <c r="L10" s="405"/>
      <c r="M10" s="391"/>
      <c r="N10" s="394"/>
      <c r="P10" s="397"/>
      <c r="Q10" s="400"/>
      <c r="R10" s="405"/>
      <c r="S10" s="405"/>
      <c r="T10" s="391"/>
      <c r="U10" s="394"/>
      <c r="W10" s="91" t="s">
        <v>338</v>
      </c>
      <c r="X10" s="92"/>
      <c r="Y10" s="73"/>
      <c r="Z10" s="365"/>
      <c r="AA10" s="73"/>
      <c r="AB10" s="366"/>
    </row>
    <row r="11" spans="2:28" ht="15.75" customHeight="1">
      <c r="B11" s="398"/>
      <c r="C11" s="401"/>
      <c r="D11" s="406"/>
      <c r="E11" s="406"/>
      <c r="F11" s="392"/>
      <c r="G11" s="395"/>
      <c r="I11" s="398"/>
      <c r="J11" s="401"/>
      <c r="K11" s="406"/>
      <c r="L11" s="406"/>
      <c r="M11" s="392"/>
      <c r="N11" s="395"/>
      <c r="P11" s="398"/>
      <c r="Q11" s="401"/>
      <c r="R11" s="406"/>
      <c r="S11" s="406"/>
      <c r="T11" s="392"/>
      <c r="U11" s="395"/>
      <c r="W11" s="91" t="s">
        <v>341</v>
      </c>
      <c r="X11" s="92"/>
      <c r="Y11" s="73"/>
      <c r="Z11" s="365"/>
      <c r="AA11" s="73"/>
      <c r="AB11" s="366"/>
    </row>
    <row r="12" spans="2:28" s="32" customFormat="1" ht="6" customHeight="1">
      <c r="B12" s="29"/>
      <c r="C12" s="30"/>
      <c r="D12" s="40"/>
      <c r="E12" s="40"/>
      <c r="F12" s="119"/>
      <c r="G12" s="41"/>
      <c r="I12" s="29"/>
      <c r="J12" s="30"/>
      <c r="K12" s="40"/>
      <c r="L12" s="40"/>
      <c r="M12" s="119"/>
      <c r="N12" s="41"/>
      <c r="P12" s="29"/>
      <c r="Q12" s="30"/>
      <c r="R12" s="40"/>
      <c r="S12" s="40"/>
      <c r="T12" s="119"/>
      <c r="U12" s="41"/>
      <c r="W12" s="29"/>
      <c r="X12" s="30"/>
      <c r="Y12" s="40"/>
      <c r="Z12" s="40"/>
      <c r="AA12" s="40"/>
      <c r="AB12" s="41"/>
    </row>
    <row r="13" spans="2:28" ht="20.25" customHeight="1">
      <c r="B13" s="156" t="s">
        <v>346</v>
      </c>
      <c r="C13" s="153">
        <f>COUNTIFS('1. All Data'!$AC$3:$AC$129,"LEADER",'1. All Data'!$H$3:$H$129,"Completed Behind Schedule")</f>
        <v>0</v>
      </c>
      <c r="D13" s="154">
        <f>C13/C20</f>
        <v>0</v>
      </c>
      <c r="E13" s="402">
        <f>D13+D14</f>
        <v>0</v>
      </c>
      <c r="F13" s="155">
        <f>C13/C21</f>
        <v>0</v>
      </c>
      <c r="G13" s="403">
        <f>F13+F14</f>
        <v>0</v>
      </c>
      <c r="I13" s="156" t="s">
        <v>346</v>
      </c>
      <c r="J13" s="153">
        <f>COUNTIFS('1. All Data'!$AC$3:$AC$129,"LEADER",'1. All Data'!$M$3:$M$129,"Completed Behind Schedule")</f>
        <v>0</v>
      </c>
      <c r="K13" s="154">
        <f>J13/J20</f>
        <v>0</v>
      </c>
      <c r="L13" s="402">
        <f>K13+K14</f>
        <v>0</v>
      </c>
      <c r="M13" s="155">
        <f>J13/J21</f>
        <v>0</v>
      </c>
      <c r="N13" s="403">
        <f>M13+M14</f>
        <v>0</v>
      </c>
      <c r="P13" s="156" t="s">
        <v>346</v>
      </c>
      <c r="Q13" s="153">
        <f>COUNTIFS('1. All Data'!$AC$3:$AC$129,"LEADER",'1. All Data'!$R$3:$R$129,"Completed Behind Schedule")</f>
        <v>0</v>
      </c>
      <c r="R13" s="154">
        <f>Q13/Q20</f>
        <v>0</v>
      </c>
      <c r="S13" s="402">
        <f>R13+R14</f>
        <v>0</v>
      </c>
      <c r="T13" s="155" t="e">
        <f>Q13/Q21</f>
        <v>#DIV/0!</v>
      </c>
      <c r="U13" s="403" t="e">
        <f>T13+T14</f>
        <v>#DIV/0!</v>
      </c>
      <c r="W13" s="74" t="s">
        <v>340</v>
      </c>
      <c r="X13" s="93"/>
      <c r="Y13" s="73"/>
      <c r="Z13" s="365"/>
      <c r="AA13" s="73"/>
      <c r="AB13" s="367">
        <f>AA13+AA14</f>
        <v>0</v>
      </c>
    </row>
    <row r="14" spans="2:28" ht="20.25" customHeight="1">
      <c r="B14" s="156" t="s">
        <v>339</v>
      </c>
      <c r="C14" s="153">
        <f>COUNTIFS('1. All Data'!$AC$3:$AC$129,"LEADER",'1. All Data'!$H$3:$H$129,"Off Target")</f>
        <v>0</v>
      </c>
      <c r="D14" s="154">
        <f>C14/C20</f>
        <v>0</v>
      </c>
      <c r="E14" s="402"/>
      <c r="F14" s="155">
        <f>C14/C21</f>
        <v>0</v>
      </c>
      <c r="G14" s="403"/>
      <c r="I14" s="156" t="s">
        <v>339</v>
      </c>
      <c r="J14" s="153">
        <f>COUNTIFS('1. All Data'!$AC$3:$AC$129,"LEADER",'1. All Data'!$M$3:$M$129,"Off Target")</f>
        <v>0</v>
      </c>
      <c r="K14" s="154">
        <f>J14/J20</f>
        <v>0</v>
      </c>
      <c r="L14" s="402"/>
      <c r="M14" s="155">
        <f>J14/J21</f>
        <v>0</v>
      </c>
      <c r="N14" s="403"/>
      <c r="P14" s="156" t="s">
        <v>339</v>
      </c>
      <c r="Q14" s="153">
        <f>COUNTIFS('1. All Data'!$AC$3:$AC$129,"LEADER",'1. All Data'!$R$3:$R$129,"Off Target")</f>
        <v>0</v>
      </c>
      <c r="R14" s="154">
        <f>Q14/Q20</f>
        <v>0</v>
      </c>
      <c r="S14" s="402"/>
      <c r="T14" s="155" t="e">
        <f>Q14/Q21</f>
        <v>#DIV/0!</v>
      </c>
      <c r="U14" s="403"/>
      <c r="W14" s="74" t="s">
        <v>339</v>
      </c>
      <c r="X14" s="93"/>
      <c r="Y14" s="73"/>
      <c r="Z14" s="365"/>
      <c r="AA14" s="73"/>
      <c r="AB14" s="367"/>
    </row>
    <row r="15" spans="2:28" s="32" customFormat="1" ht="6.75" customHeight="1">
      <c r="B15" s="29"/>
      <c r="C15" s="43"/>
      <c r="D15" s="40"/>
      <c r="E15" s="40"/>
      <c r="F15" s="119"/>
      <c r="G15" s="44"/>
      <c r="I15" s="29"/>
      <c r="J15" s="43"/>
      <c r="K15" s="40"/>
      <c r="L15" s="40"/>
      <c r="M15" s="119"/>
      <c r="N15" s="44"/>
      <c r="P15" s="29"/>
      <c r="Q15" s="43"/>
      <c r="R15" s="40"/>
      <c r="S15" s="40"/>
      <c r="T15" s="119"/>
      <c r="U15" s="44"/>
      <c r="W15" s="29"/>
      <c r="X15" s="43"/>
      <c r="Y15" s="40"/>
      <c r="Z15" s="40"/>
      <c r="AA15" s="40"/>
      <c r="AB15" s="44"/>
    </row>
    <row r="16" spans="2:28" ht="15" customHeight="1">
      <c r="B16" s="159" t="s">
        <v>394</v>
      </c>
      <c r="C16" s="153">
        <f>COUNTIFS('1. All Data'!$AC$3:$AC$129,"LEADER",'1. All Data'!$H$3:$H$129,"Not yet due")</f>
        <v>6</v>
      </c>
      <c r="D16" s="157">
        <f>C16/C20</f>
        <v>0.35294117647058826</v>
      </c>
      <c r="E16" s="157">
        <f>D16</f>
        <v>0.35294117647058826</v>
      </c>
      <c r="F16" s="120"/>
      <c r="G16" s="46"/>
      <c r="I16" s="159" t="s">
        <v>394</v>
      </c>
      <c r="J16" s="153">
        <f>COUNTIFS('1. All Data'!$AC$3:$AC$129,"LEADER",'1. All Data'!$M$3:$M$129,"Not yet due")</f>
        <v>2</v>
      </c>
      <c r="K16" s="157">
        <f>J16/J20</f>
        <v>0.11764705882352941</v>
      </c>
      <c r="L16" s="157">
        <f>K16</f>
        <v>0.11764705882352941</v>
      </c>
      <c r="M16" s="120"/>
      <c r="N16" s="46"/>
      <c r="P16" s="159" t="s">
        <v>394</v>
      </c>
      <c r="Q16" s="153">
        <f>COUNTIFS('1. All Data'!$AC$3:$AC$129,"LEADER",'1. All Data'!$R$3:$R$129,"Not yet due")</f>
        <v>0</v>
      </c>
      <c r="R16" s="157">
        <f>Q16/Q20</f>
        <v>0</v>
      </c>
      <c r="S16" s="157">
        <f>R16</f>
        <v>0</v>
      </c>
      <c r="T16" s="120"/>
      <c r="U16" s="46"/>
      <c r="W16" s="75" t="s">
        <v>394</v>
      </c>
      <c r="X16" s="71"/>
      <c r="Y16" s="76"/>
      <c r="Z16" s="76"/>
      <c r="AA16" s="45"/>
      <c r="AB16" s="46"/>
    </row>
    <row r="17" spans="2:29" ht="15" customHeight="1">
      <c r="B17" s="159" t="s">
        <v>334</v>
      </c>
      <c r="C17" s="153">
        <f>COUNTIFS('1. All Data'!$AC$3:$AC$129,"LEADER",'1. All Data'!$H$3:$H$129,"Update not provided")</f>
        <v>0</v>
      </c>
      <c r="D17" s="157">
        <f>C17/C20</f>
        <v>0</v>
      </c>
      <c r="E17" s="157">
        <f>D17</f>
        <v>0</v>
      </c>
      <c r="F17" s="120"/>
      <c r="G17" s="48"/>
      <c r="I17" s="159" t="s">
        <v>334</v>
      </c>
      <c r="J17" s="153">
        <f>COUNTIFS('1. All Data'!$AC$3:$AC$129,"LEADER",'1. All Data'!$M$3:$M$129,"Update not provided")</f>
        <v>0</v>
      </c>
      <c r="K17" s="157">
        <f>J17/J20</f>
        <v>0</v>
      </c>
      <c r="L17" s="157">
        <f>K17</f>
        <v>0</v>
      </c>
      <c r="M17" s="120"/>
      <c r="N17" s="48"/>
      <c r="P17" s="159" t="s">
        <v>334</v>
      </c>
      <c r="Q17" s="153">
        <f>COUNTIFS('1. All Data'!$AC$3:$AC$129,"LEADER",'1. All Data'!$R$3:$R$129,"Update not provided")</f>
        <v>17</v>
      </c>
      <c r="R17" s="157">
        <f>Q17/Q20</f>
        <v>1</v>
      </c>
      <c r="S17" s="157">
        <f>R17</f>
        <v>1</v>
      </c>
      <c r="T17" s="120"/>
      <c r="U17" s="48"/>
      <c r="W17" s="75" t="s">
        <v>334</v>
      </c>
      <c r="X17" s="71"/>
      <c r="Y17" s="76"/>
      <c r="Z17" s="76"/>
      <c r="AA17" s="45"/>
      <c r="AB17" s="48"/>
    </row>
    <row r="18" spans="2:29" ht="15.75" customHeight="1">
      <c r="B18" s="160" t="s">
        <v>342</v>
      </c>
      <c r="C18" s="153">
        <f>COUNTIFS('1. All Data'!$AC$3:$AC$129,"LEADER",'1. All Data'!$H$3:$H$129,"Deferred")</f>
        <v>0</v>
      </c>
      <c r="D18" s="158">
        <f>C18/C20</f>
        <v>0</v>
      </c>
      <c r="E18" s="158">
        <f>D18</f>
        <v>0</v>
      </c>
      <c r="F18" s="121"/>
      <c r="G18" s="46"/>
      <c r="I18" s="160" t="s">
        <v>342</v>
      </c>
      <c r="J18" s="153">
        <f>COUNTIFS('1. All Data'!$AC$3:$AC$129,"LEADER",'1. All Data'!$M$3:$M$129,"Deferred")</f>
        <v>0</v>
      </c>
      <c r="K18" s="158">
        <f>J18/J20</f>
        <v>0</v>
      </c>
      <c r="L18" s="158">
        <f>K18</f>
        <v>0</v>
      </c>
      <c r="M18" s="121"/>
      <c r="N18" s="46"/>
      <c r="P18" s="160" t="s">
        <v>342</v>
      </c>
      <c r="Q18" s="153">
        <f>COUNTIFS('1. All Data'!$AC$3:$AC$129,"LEADER",'1. All Data'!$R$3:$R$129,"Deferred")</f>
        <v>0</v>
      </c>
      <c r="R18" s="158">
        <f>Q18/Q20</f>
        <v>0</v>
      </c>
      <c r="S18" s="158">
        <f>R18</f>
        <v>0</v>
      </c>
      <c r="T18" s="121"/>
      <c r="U18" s="46"/>
      <c r="W18" s="77" t="s">
        <v>342</v>
      </c>
      <c r="X18" s="71"/>
      <c r="Y18" s="78"/>
      <c r="Z18" s="78"/>
      <c r="AA18" s="50"/>
      <c r="AB18" s="46"/>
    </row>
    <row r="19" spans="2:29" ht="15.75" customHeight="1">
      <c r="B19" s="160" t="s">
        <v>343</v>
      </c>
      <c r="C19" s="153">
        <f>COUNTIFS('1. All Data'!$AC$3:$AC$129,"LEADER",'1. All Data'!$H$3:$H$129,"Deleted")</f>
        <v>0</v>
      </c>
      <c r="D19" s="158">
        <f>C19/C20</f>
        <v>0</v>
      </c>
      <c r="E19" s="158">
        <f>D19</f>
        <v>0</v>
      </c>
      <c r="F19" s="121"/>
      <c r="G19" s="122" t="s">
        <v>395</v>
      </c>
      <c r="I19" s="160" t="s">
        <v>343</v>
      </c>
      <c r="J19" s="153">
        <f>COUNTIFS('1. All Data'!$AC$3:$AC$129,"LEADER",'1. All Data'!$M$3:$M$129,"Deleted")</f>
        <v>0</v>
      </c>
      <c r="K19" s="158">
        <f>J19/J20</f>
        <v>0</v>
      </c>
      <c r="L19" s="158">
        <f>K19</f>
        <v>0</v>
      </c>
      <c r="M19" s="121"/>
      <c r="N19" s="122" t="s">
        <v>395</v>
      </c>
      <c r="P19" s="160" t="s">
        <v>343</v>
      </c>
      <c r="Q19" s="153">
        <f>COUNTIFS('1. All Data'!$AC$3:$AC$129,"LEADER",'1. All Data'!$R$3:$R$129,"Deleted")</f>
        <v>0</v>
      </c>
      <c r="R19" s="158">
        <f>Q19/Q20</f>
        <v>0</v>
      </c>
      <c r="S19" s="158">
        <f>R19</f>
        <v>0</v>
      </c>
      <c r="T19" s="121"/>
      <c r="U19" s="122" t="s">
        <v>395</v>
      </c>
      <c r="W19" s="77" t="s">
        <v>343</v>
      </c>
      <c r="X19" s="71"/>
      <c r="Y19" s="78"/>
      <c r="Z19" s="78"/>
      <c r="AA19" s="50"/>
      <c r="AB19" s="52" t="s">
        <v>395</v>
      </c>
    </row>
    <row r="20" spans="2:29" ht="15.75" customHeight="1">
      <c r="B20" s="161" t="s">
        <v>396</v>
      </c>
      <c r="C20" s="162">
        <f>SUM(C6:C19)</f>
        <v>17</v>
      </c>
      <c r="D20" s="50"/>
      <c r="E20" s="50"/>
      <c r="F20" s="123"/>
      <c r="G20" s="46"/>
      <c r="I20" s="161" t="s">
        <v>396</v>
      </c>
      <c r="J20" s="162">
        <f>SUM(J6:J19)</f>
        <v>17</v>
      </c>
      <c r="K20" s="50"/>
      <c r="L20" s="50"/>
      <c r="M20" s="123"/>
      <c r="N20" s="46"/>
      <c r="P20" s="161" t="s">
        <v>396</v>
      </c>
      <c r="Q20" s="162">
        <f>SUM(Q6:Q19)</f>
        <v>17</v>
      </c>
      <c r="R20" s="50"/>
      <c r="S20" s="50"/>
      <c r="T20" s="123"/>
      <c r="U20" s="46"/>
      <c r="W20" s="79" t="s">
        <v>396</v>
      </c>
      <c r="X20" s="80"/>
      <c r="Y20" s="50"/>
      <c r="Z20" s="50"/>
      <c r="AA20" s="46"/>
      <c r="AB20" s="46"/>
    </row>
    <row r="21" spans="2:29" ht="15.75" customHeight="1">
      <c r="B21" s="161" t="s">
        <v>397</v>
      </c>
      <c r="C21" s="162">
        <f>C20-C19-C18-C17-C16</f>
        <v>11</v>
      </c>
      <c r="D21" s="46"/>
      <c r="E21" s="46"/>
      <c r="F21" s="123"/>
      <c r="G21" s="46"/>
      <c r="I21" s="161" t="s">
        <v>397</v>
      </c>
      <c r="J21" s="162">
        <f>J20-J19-J18-J17-J16</f>
        <v>15</v>
      </c>
      <c r="K21" s="46"/>
      <c r="L21" s="46"/>
      <c r="M21" s="123"/>
      <c r="N21" s="46"/>
      <c r="P21" s="161" t="s">
        <v>397</v>
      </c>
      <c r="Q21" s="162">
        <f>Q20-Q19-Q18-Q17-Q16</f>
        <v>0</v>
      </c>
      <c r="R21" s="46"/>
      <c r="S21" s="46"/>
      <c r="T21" s="123"/>
      <c r="U21" s="46"/>
      <c r="W21" s="79" t="s">
        <v>397</v>
      </c>
      <c r="X21" s="80"/>
      <c r="Y21" s="46"/>
      <c r="Z21" s="46"/>
      <c r="AA21" s="46"/>
      <c r="AB21" s="46"/>
    </row>
    <row r="22" spans="2:29" ht="15.75" customHeight="1">
      <c r="W22" s="53"/>
      <c r="AA22" s="47"/>
    </row>
    <row r="23" spans="2:29" ht="15.75" customHeight="1">
      <c r="AA23" s="47"/>
    </row>
    <row r="24" spans="2:29" s="32" customFormat="1" ht="15.75" customHeight="1">
      <c r="B24" s="59"/>
      <c r="C24" s="31"/>
      <c r="D24" s="31"/>
      <c r="E24" s="31"/>
      <c r="F24" s="123"/>
      <c r="G24" s="31"/>
      <c r="I24" s="59"/>
      <c r="J24" s="31"/>
      <c r="K24" s="31"/>
      <c r="L24" s="31"/>
      <c r="M24" s="123"/>
      <c r="N24" s="31"/>
      <c r="P24" s="59"/>
      <c r="Q24" s="31"/>
      <c r="R24" s="31"/>
      <c r="S24" s="31"/>
      <c r="T24" s="123"/>
      <c r="U24" s="31"/>
      <c r="W24" s="31"/>
      <c r="X24" s="31"/>
      <c r="Y24" s="31"/>
      <c r="Z24" s="31"/>
      <c r="AA24" s="173"/>
      <c r="AB24" s="51"/>
    </row>
    <row r="25" spans="2:29" ht="15" customHeight="1">
      <c r="W25" s="175"/>
      <c r="X25" s="46"/>
      <c r="Y25" s="46"/>
      <c r="Z25" s="46"/>
      <c r="AA25" s="46"/>
      <c r="AB25" s="50"/>
      <c r="AC25" s="32"/>
    </row>
    <row r="26" spans="2:29" s="32" customFormat="1" ht="15.75">
      <c r="B26" s="163" t="s">
        <v>426</v>
      </c>
      <c r="C26" s="164"/>
      <c r="D26" s="164"/>
      <c r="E26" s="164"/>
      <c r="F26" s="165"/>
      <c r="G26" s="164"/>
      <c r="I26" s="163" t="s">
        <v>426</v>
      </c>
      <c r="J26" s="164"/>
      <c r="K26" s="164"/>
      <c r="L26" s="164"/>
      <c r="M26" s="165"/>
      <c r="N26" s="164"/>
      <c r="P26" s="163" t="s">
        <v>426</v>
      </c>
      <c r="Q26" s="164"/>
      <c r="R26" s="164"/>
      <c r="S26" s="164"/>
      <c r="T26" s="165"/>
      <c r="U26" s="164"/>
      <c r="W26" s="163" t="s">
        <v>425</v>
      </c>
      <c r="X26" s="164"/>
      <c r="Y26" s="164"/>
      <c r="Z26" s="164"/>
      <c r="AA26" s="165"/>
      <c r="AB26" s="164"/>
    </row>
    <row r="27" spans="2:29" ht="42" customHeight="1">
      <c r="B27" s="166" t="s">
        <v>387</v>
      </c>
      <c r="C27" s="167" t="s">
        <v>388</v>
      </c>
      <c r="D27" s="167" t="s">
        <v>389</v>
      </c>
      <c r="E27" s="167" t="s">
        <v>390</v>
      </c>
      <c r="F27" s="166" t="s">
        <v>391</v>
      </c>
      <c r="G27" s="167" t="s">
        <v>392</v>
      </c>
      <c r="I27" s="166" t="s">
        <v>387</v>
      </c>
      <c r="J27" s="167" t="s">
        <v>388</v>
      </c>
      <c r="K27" s="167" t="s">
        <v>389</v>
      </c>
      <c r="L27" s="167" t="s">
        <v>390</v>
      </c>
      <c r="M27" s="166" t="s">
        <v>391</v>
      </c>
      <c r="N27" s="167" t="s">
        <v>392</v>
      </c>
      <c r="P27" s="166" t="s">
        <v>387</v>
      </c>
      <c r="Q27" s="167" t="s">
        <v>388</v>
      </c>
      <c r="R27" s="167" t="s">
        <v>389</v>
      </c>
      <c r="S27" s="167" t="s">
        <v>390</v>
      </c>
      <c r="T27" s="166" t="s">
        <v>391</v>
      </c>
      <c r="U27" s="167" t="s">
        <v>392</v>
      </c>
      <c r="W27" s="84" t="s">
        <v>387</v>
      </c>
      <c r="X27" s="84" t="s">
        <v>388</v>
      </c>
      <c r="Y27" s="84" t="s">
        <v>389</v>
      </c>
      <c r="Z27" s="84" t="s">
        <v>390</v>
      </c>
      <c r="AA27" s="84" t="s">
        <v>391</v>
      </c>
      <c r="AB27" s="84" t="s">
        <v>392</v>
      </c>
      <c r="AC27" s="32"/>
    </row>
    <row r="28" spans="2:29" s="32" customFormat="1" ht="6" customHeight="1">
      <c r="B28" s="29"/>
      <c r="C28" s="30"/>
      <c r="D28" s="30"/>
      <c r="E28" s="30"/>
      <c r="F28" s="29"/>
      <c r="G28" s="30"/>
      <c r="I28" s="29"/>
      <c r="J28" s="30"/>
      <c r="K28" s="30"/>
      <c r="L28" s="30"/>
      <c r="M28" s="29"/>
      <c r="N28" s="30"/>
      <c r="P28" s="29"/>
      <c r="Q28" s="30"/>
      <c r="R28" s="30"/>
      <c r="S28" s="30"/>
      <c r="T28" s="29"/>
      <c r="U28" s="30"/>
      <c r="W28" s="29"/>
      <c r="X28" s="30"/>
      <c r="Y28" s="30"/>
      <c r="Z28" s="30"/>
      <c r="AA28" s="30"/>
      <c r="AB28" s="30"/>
    </row>
    <row r="29" spans="2:29" ht="21.75" customHeight="1">
      <c r="B29" s="152" t="s">
        <v>393</v>
      </c>
      <c r="C29" s="153">
        <f>COUNTIFS('1. All Data'!$AC$3:$AC$129,"Environment &amp; Housing",'1. All Data'!$H$3:$H$129,"Fully Achieved")</f>
        <v>3</v>
      </c>
      <c r="D29" s="154">
        <f>C29/C43</f>
        <v>9.0909090909090912E-2</v>
      </c>
      <c r="E29" s="402">
        <f>D29+D30</f>
        <v>0.60606060606060608</v>
      </c>
      <c r="F29" s="155">
        <f>C29/C44</f>
        <v>0.13636363636363635</v>
      </c>
      <c r="G29" s="407">
        <f>F29+F30</f>
        <v>0.90909090909090906</v>
      </c>
      <c r="I29" s="152" t="s">
        <v>393</v>
      </c>
      <c r="J29" s="153">
        <f>COUNTIFS('1. All Data'!$AC$3:$AC$129,"Environment &amp; Housing",'1. All Data'!$M$3:$M$129,"Fully Achieved")</f>
        <v>7</v>
      </c>
      <c r="K29" s="154">
        <f>J29/J43</f>
        <v>0.21212121212121213</v>
      </c>
      <c r="L29" s="402">
        <f>K29+K30</f>
        <v>0.87878787878787878</v>
      </c>
      <c r="M29" s="155">
        <f>J29/J44</f>
        <v>0.23333333333333334</v>
      </c>
      <c r="N29" s="407">
        <f>M29+M30</f>
        <v>0.96666666666666656</v>
      </c>
      <c r="P29" s="152" t="s">
        <v>393</v>
      </c>
      <c r="Q29" s="153">
        <f>COUNTIFS('1. All Data'!$AC$3:$AC$129,"Environment &amp; Housing",'1. All Data'!$R$3:$R$129,"Fully Achieved")</f>
        <v>0</v>
      </c>
      <c r="R29" s="154">
        <f>Q29/Q43</f>
        <v>0</v>
      </c>
      <c r="S29" s="402">
        <f>R29+R30</f>
        <v>0</v>
      </c>
      <c r="T29" s="155" t="e">
        <f>Q29/Q44</f>
        <v>#DIV/0!</v>
      </c>
      <c r="U29" s="407" t="e">
        <f>T29+T30</f>
        <v>#DIV/0!</v>
      </c>
      <c r="W29" s="70" t="s">
        <v>393</v>
      </c>
      <c r="X29" s="71"/>
      <c r="Y29" s="73"/>
      <c r="Z29" s="365"/>
      <c r="AA29" s="73"/>
      <c r="AB29" s="380">
        <f>AA29+AA30</f>
        <v>0</v>
      </c>
      <c r="AC29" s="32"/>
    </row>
    <row r="30" spans="2:29" ht="18.75" customHeight="1">
      <c r="B30" s="152" t="s">
        <v>344</v>
      </c>
      <c r="C30" s="153">
        <f>COUNTIFS('1. All Data'!$AC$3:$AC$129,"Environment &amp; Housing",'1. All Data'!$H$3:$H$129,"On Track to be Achieved")</f>
        <v>17</v>
      </c>
      <c r="D30" s="154">
        <f>C30/C43</f>
        <v>0.51515151515151514</v>
      </c>
      <c r="E30" s="402"/>
      <c r="F30" s="155">
        <f>C30/C44</f>
        <v>0.77272727272727271</v>
      </c>
      <c r="G30" s="407"/>
      <c r="I30" s="152" t="s">
        <v>344</v>
      </c>
      <c r="J30" s="153">
        <f>COUNTIFS('1. All Data'!$AC$3:$AC$129,"Environment &amp; Housing",'1. All Data'!$M$3:$M$129,"On Track to be Achieved")</f>
        <v>22</v>
      </c>
      <c r="K30" s="154">
        <f>J30/J43</f>
        <v>0.66666666666666663</v>
      </c>
      <c r="L30" s="402"/>
      <c r="M30" s="155">
        <f>J30/J44</f>
        <v>0.73333333333333328</v>
      </c>
      <c r="N30" s="407"/>
      <c r="P30" s="152" t="s">
        <v>344</v>
      </c>
      <c r="Q30" s="153">
        <f>COUNTIFS('1. All Data'!$AC$3:$AC$129,"Environment &amp; Housing",'1. All Data'!$R$3:$R$129,"On Track to be Achieved")</f>
        <v>0</v>
      </c>
      <c r="R30" s="154">
        <f>Q30/Q43</f>
        <v>0</v>
      </c>
      <c r="S30" s="402"/>
      <c r="T30" s="155" t="e">
        <f>Q30/Q44</f>
        <v>#DIV/0!</v>
      </c>
      <c r="U30" s="407"/>
      <c r="W30" s="70" t="s">
        <v>344</v>
      </c>
      <c r="X30" s="71"/>
      <c r="Y30" s="73"/>
      <c r="Z30" s="365"/>
      <c r="AA30" s="73"/>
      <c r="AB30" s="380"/>
      <c r="AC30" s="32"/>
    </row>
    <row r="31" spans="2:29" s="32" customFormat="1" ht="6" customHeight="1">
      <c r="B31" s="29"/>
      <c r="C31" s="43"/>
      <c r="D31" s="40"/>
      <c r="E31" s="40"/>
      <c r="F31" s="119"/>
      <c r="G31" s="41"/>
      <c r="I31" s="29"/>
      <c r="J31" s="43"/>
      <c r="K31" s="40"/>
      <c r="L31" s="40"/>
      <c r="M31" s="119"/>
      <c r="N31" s="41"/>
      <c r="P31" s="29"/>
      <c r="Q31" s="43"/>
      <c r="R31" s="40"/>
      <c r="S31" s="40"/>
      <c r="T31" s="119"/>
      <c r="U31" s="41"/>
      <c r="W31" s="33"/>
      <c r="X31" s="34"/>
      <c r="Y31" s="35"/>
      <c r="Z31" s="35"/>
      <c r="AA31" s="35"/>
      <c r="AB31" s="36"/>
    </row>
    <row r="32" spans="2:29" ht="21" customHeight="1">
      <c r="B32" s="396" t="s">
        <v>345</v>
      </c>
      <c r="C32" s="399">
        <f>COUNTIFS('1. All Data'!$AC$3:$AC$129,"Environment &amp; Housing",'1. All Data'!$H$3:$H$129,"In Danger of Falling Behind Target")</f>
        <v>2</v>
      </c>
      <c r="D32" s="404">
        <f>C32/C43</f>
        <v>6.0606060606060608E-2</v>
      </c>
      <c r="E32" s="404">
        <f>D32</f>
        <v>6.0606060606060608E-2</v>
      </c>
      <c r="F32" s="390">
        <f>C32/C44</f>
        <v>9.0909090909090912E-2</v>
      </c>
      <c r="G32" s="393">
        <f>F32</f>
        <v>9.0909090909090912E-2</v>
      </c>
      <c r="I32" s="396" t="s">
        <v>345</v>
      </c>
      <c r="J32" s="399">
        <f>COUNTIFS('1. All Data'!$AC$3:$AC$129,"Environment &amp; Housing",'1. All Data'!$M$3:$M$129,"In Danger of Falling Behind Target")</f>
        <v>1</v>
      </c>
      <c r="K32" s="404">
        <f>J32/J43</f>
        <v>3.0303030303030304E-2</v>
      </c>
      <c r="L32" s="404">
        <f>K32</f>
        <v>3.0303030303030304E-2</v>
      </c>
      <c r="M32" s="390">
        <f>J32/J44</f>
        <v>3.3333333333333333E-2</v>
      </c>
      <c r="N32" s="393">
        <f>M32</f>
        <v>3.3333333333333333E-2</v>
      </c>
      <c r="P32" s="396" t="s">
        <v>345</v>
      </c>
      <c r="Q32" s="399">
        <f>COUNTIFS('1. All Data'!$AC$3:$AC$129,"Environment &amp; Housing",'1. All Data'!$R$3:$R$129,"In Danger of Falling Behind Target")</f>
        <v>0</v>
      </c>
      <c r="R32" s="404">
        <f>Q32/Q43</f>
        <v>0</v>
      </c>
      <c r="S32" s="404">
        <f>R32</f>
        <v>0</v>
      </c>
      <c r="T32" s="390" t="e">
        <f>Q32/Q44</f>
        <v>#DIV/0!</v>
      </c>
      <c r="U32" s="393" t="e">
        <f>T32</f>
        <v>#DIV/0!</v>
      </c>
      <c r="W32" s="91" t="s">
        <v>337</v>
      </c>
      <c r="X32" s="92"/>
      <c r="Y32" s="73"/>
      <c r="Z32" s="365"/>
      <c r="AA32" s="73"/>
      <c r="AB32" s="366">
        <f>AA32</f>
        <v>0</v>
      </c>
      <c r="AC32" s="32"/>
    </row>
    <row r="33" spans="2:29" ht="20.25" customHeight="1">
      <c r="B33" s="397"/>
      <c r="C33" s="400"/>
      <c r="D33" s="405"/>
      <c r="E33" s="405"/>
      <c r="F33" s="391"/>
      <c r="G33" s="394"/>
      <c r="I33" s="397"/>
      <c r="J33" s="400"/>
      <c r="K33" s="405"/>
      <c r="L33" s="405"/>
      <c r="M33" s="391"/>
      <c r="N33" s="394"/>
      <c r="P33" s="397"/>
      <c r="Q33" s="400"/>
      <c r="R33" s="405"/>
      <c r="S33" s="405"/>
      <c r="T33" s="391"/>
      <c r="U33" s="394"/>
      <c r="W33" s="91" t="s">
        <v>338</v>
      </c>
      <c r="X33" s="92"/>
      <c r="Y33" s="73"/>
      <c r="Z33" s="365"/>
      <c r="AA33" s="73"/>
      <c r="AB33" s="366"/>
      <c r="AC33" s="32"/>
    </row>
    <row r="34" spans="2:29" ht="15.75" customHeight="1">
      <c r="B34" s="398"/>
      <c r="C34" s="401"/>
      <c r="D34" s="406"/>
      <c r="E34" s="406"/>
      <c r="F34" s="392"/>
      <c r="G34" s="395"/>
      <c r="I34" s="398"/>
      <c r="J34" s="401"/>
      <c r="K34" s="406"/>
      <c r="L34" s="406"/>
      <c r="M34" s="392"/>
      <c r="N34" s="395"/>
      <c r="P34" s="398"/>
      <c r="Q34" s="401"/>
      <c r="R34" s="406"/>
      <c r="S34" s="406"/>
      <c r="T34" s="392"/>
      <c r="U34" s="395"/>
      <c r="W34" s="91" t="s">
        <v>341</v>
      </c>
      <c r="X34" s="92"/>
      <c r="Y34" s="73"/>
      <c r="Z34" s="365"/>
      <c r="AA34" s="73"/>
      <c r="AB34" s="366"/>
      <c r="AC34" s="32"/>
    </row>
    <row r="35" spans="2:29" s="32" customFormat="1" ht="6" customHeight="1">
      <c r="B35" s="29"/>
      <c r="C35" s="30"/>
      <c r="D35" s="40"/>
      <c r="E35" s="40"/>
      <c r="F35" s="119"/>
      <c r="G35" s="41"/>
      <c r="I35" s="29"/>
      <c r="J35" s="30"/>
      <c r="K35" s="40"/>
      <c r="L35" s="40"/>
      <c r="M35" s="119"/>
      <c r="N35" s="41"/>
      <c r="P35" s="29"/>
      <c r="Q35" s="30"/>
      <c r="R35" s="40"/>
      <c r="S35" s="40"/>
      <c r="T35" s="119"/>
      <c r="U35" s="41"/>
      <c r="W35" s="29"/>
      <c r="X35" s="30"/>
      <c r="Y35" s="40"/>
      <c r="Z35" s="40"/>
      <c r="AA35" s="40"/>
      <c r="AB35" s="41"/>
    </row>
    <row r="36" spans="2:29" ht="20.25" customHeight="1">
      <c r="B36" s="156" t="s">
        <v>346</v>
      </c>
      <c r="C36" s="153">
        <f>COUNTIFS('1. All Data'!$AC$3:$AC$129,"Environment &amp; Housing",'1. All Data'!$H$3:$H$129,"Completed Behind Schedule")</f>
        <v>0</v>
      </c>
      <c r="D36" s="154">
        <f>C36/C43</f>
        <v>0</v>
      </c>
      <c r="E36" s="402">
        <f>D36+D37</f>
        <v>0</v>
      </c>
      <c r="F36" s="155">
        <f>C36/C44</f>
        <v>0</v>
      </c>
      <c r="G36" s="403">
        <f>F36+F37</f>
        <v>0</v>
      </c>
      <c r="I36" s="156" t="s">
        <v>346</v>
      </c>
      <c r="J36" s="153">
        <f>COUNTIFS('1. All Data'!$AC$3:$AC$129,"Environment &amp; Housing",'1. All Data'!$M$3:$M$129,"Completed Behind Schedule")</f>
        <v>0</v>
      </c>
      <c r="K36" s="154">
        <f>J36/J43</f>
        <v>0</v>
      </c>
      <c r="L36" s="402">
        <f>K36+K37</f>
        <v>0</v>
      </c>
      <c r="M36" s="155">
        <f>J36/J44</f>
        <v>0</v>
      </c>
      <c r="N36" s="403">
        <f>M36+M37</f>
        <v>0</v>
      </c>
      <c r="P36" s="156" t="s">
        <v>346</v>
      </c>
      <c r="Q36" s="153">
        <f>COUNTIFS('1. All Data'!$AC$3:$AC$129,"Environment &amp; Housing",'1. All Data'!$R$3:$R$129,"Completed Behind Schedule")</f>
        <v>0</v>
      </c>
      <c r="R36" s="154">
        <f>Q36/Q43</f>
        <v>0</v>
      </c>
      <c r="S36" s="402">
        <f>R36+R37</f>
        <v>0</v>
      </c>
      <c r="T36" s="155" t="e">
        <f>Q36/Q44</f>
        <v>#DIV/0!</v>
      </c>
      <c r="U36" s="403" t="e">
        <f>T36+T37</f>
        <v>#DIV/0!</v>
      </c>
      <c r="W36" s="74" t="s">
        <v>340</v>
      </c>
      <c r="X36" s="93"/>
      <c r="Y36" s="73"/>
      <c r="Z36" s="365"/>
      <c r="AA36" s="73"/>
      <c r="AB36" s="367">
        <f>AA36+AA37</f>
        <v>0</v>
      </c>
      <c r="AC36" s="32"/>
    </row>
    <row r="37" spans="2:29" ht="20.25" customHeight="1">
      <c r="B37" s="156" t="s">
        <v>339</v>
      </c>
      <c r="C37" s="153">
        <f>COUNTIFS('1. All Data'!$AC$3:$AC$129,"Environment &amp; Housing",'1. All Data'!$H$3:$H$129,"Off Target")</f>
        <v>0</v>
      </c>
      <c r="D37" s="154">
        <f>C37/C43</f>
        <v>0</v>
      </c>
      <c r="E37" s="402"/>
      <c r="F37" s="155">
        <f>C37/C44</f>
        <v>0</v>
      </c>
      <c r="G37" s="403"/>
      <c r="I37" s="156" t="s">
        <v>339</v>
      </c>
      <c r="J37" s="153">
        <f>COUNTIFS('1. All Data'!$AC$3:$AC$129,"Environment &amp; Housing",'1. All Data'!$M$3:$M$129,"Off Target")</f>
        <v>0</v>
      </c>
      <c r="K37" s="154">
        <f>J37/J43</f>
        <v>0</v>
      </c>
      <c r="L37" s="402"/>
      <c r="M37" s="155">
        <f>J37/J44</f>
        <v>0</v>
      </c>
      <c r="N37" s="403"/>
      <c r="P37" s="156" t="s">
        <v>339</v>
      </c>
      <c r="Q37" s="153">
        <f>COUNTIFS('1. All Data'!$AC$3:$AC$129,"Environment &amp; Housing",'1. All Data'!$R$3:$R$129,"Off Target")</f>
        <v>0</v>
      </c>
      <c r="R37" s="154">
        <f>Q37/Q43</f>
        <v>0</v>
      </c>
      <c r="S37" s="402"/>
      <c r="T37" s="155" t="e">
        <f>Q37/Q44</f>
        <v>#DIV/0!</v>
      </c>
      <c r="U37" s="403"/>
      <c r="W37" s="74" t="s">
        <v>339</v>
      </c>
      <c r="X37" s="93"/>
      <c r="Y37" s="73"/>
      <c r="Z37" s="365"/>
      <c r="AA37" s="73"/>
      <c r="AB37" s="367"/>
      <c r="AC37" s="32"/>
    </row>
    <row r="38" spans="2:29" s="32" customFormat="1" ht="6.75" customHeight="1">
      <c r="B38" s="29"/>
      <c r="C38" s="43"/>
      <c r="D38" s="40"/>
      <c r="E38" s="40"/>
      <c r="F38" s="119"/>
      <c r="G38" s="44"/>
      <c r="I38" s="29"/>
      <c r="J38" s="43"/>
      <c r="K38" s="40"/>
      <c r="L38" s="40"/>
      <c r="M38" s="119"/>
      <c r="N38" s="44"/>
      <c r="P38" s="29"/>
      <c r="Q38" s="43"/>
      <c r="R38" s="40"/>
      <c r="S38" s="40"/>
      <c r="T38" s="119"/>
      <c r="U38" s="44"/>
      <c r="W38" s="29"/>
      <c r="X38" s="43"/>
      <c r="Y38" s="40"/>
      <c r="Z38" s="40"/>
      <c r="AA38" s="40"/>
      <c r="AB38" s="44"/>
    </row>
    <row r="39" spans="2:29" ht="15" customHeight="1">
      <c r="B39" s="159" t="s">
        <v>394</v>
      </c>
      <c r="C39" s="153">
        <f>COUNTIFS('1. All Data'!$AC$3:$AC$129,"Environment &amp; Housing",'1. All Data'!$H$3:$H$129,"Not yet due")</f>
        <v>11</v>
      </c>
      <c r="D39" s="157">
        <f>C39/C43</f>
        <v>0.33333333333333331</v>
      </c>
      <c r="E39" s="157">
        <f>D39</f>
        <v>0.33333333333333331</v>
      </c>
      <c r="F39" s="120"/>
      <c r="G39" s="46"/>
      <c r="I39" s="159" t="s">
        <v>394</v>
      </c>
      <c r="J39" s="153">
        <f>COUNTIFS('1. All Data'!$AC$3:$AC$129,"Environment &amp; Housing",'1. All Data'!$M$3:$M$129,"Not yet due")</f>
        <v>3</v>
      </c>
      <c r="K39" s="157">
        <f>J39/J43</f>
        <v>9.0909090909090912E-2</v>
      </c>
      <c r="L39" s="157">
        <f>K39</f>
        <v>9.0909090909090912E-2</v>
      </c>
      <c r="M39" s="120"/>
      <c r="N39" s="46"/>
      <c r="P39" s="159" t="s">
        <v>394</v>
      </c>
      <c r="Q39" s="153">
        <f>COUNTIFS('1. All Data'!$AC$3:$AC$129,"Environment &amp; Housing",'1. All Data'!$R$3:$R$129,"Not yet due")</f>
        <v>0</v>
      </c>
      <c r="R39" s="157">
        <f>Q39/Q43</f>
        <v>0</v>
      </c>
      <c r="S39" s="157">
        <f>R39</f>
        <v>0</v>
      </c>
      <c r="T39" s="120"/>
      <c r="U39" s="46"/>
      <c r="W39" s="75" t="s">
        <v>394</v>
      </c>
      <c r="X39" s="71"/>
      <c r="Y39" s="76"/>
      <c r="Z39" s="76"/>
      <c r="AA39" s="45"/>
      <c r="AB39" s="46"/>
      <c r="AC39" s="32"/>
    </row>
    <row r="40" spans="2:29" ht="15" customHeight="1">
      <c r="B40" s="159" t="s">
        <v>334</v>
      </c>
      <c r="C40" s="153">
        <f>COUNTIFS('1. All Data'!$AC$3:$AC$129,"Environment &amp; Housing",'1. All Data'!$H$3:$H$129,"Update not provided")</f>
        <v>0</v>
      </c>
      <c r="D40" s="157">
        <f>C40/C43</f>
        <v>0</v>
      </c>
      <c r="E40" s="157">
        <f>D40</f>
        <v>0</v>
      </c>
      <c r="F40" s="120"/>
      <c r="G40" s="48"/>
      <c r="I40" s="159" t="s">
        <v>334</v>
      </c>
      <c r="J40" s="153">
        <f>COUNTIFS('1. All Data'!$AC$3:$AC$129,"Environment &amp; Housing",'1. All Data'!$M$3:$M$129,"Update not provided")</f>
        <v>0</v>
      </c>
      <c r="K40" s="157">
        <f>J40/J43</f>
        <v>0</v>
      </c>
      <c r="L40" s="157">
        <f>K40</f>
        <v>0</v>
      </c>
      <c r="M40" s="120"/>
      <c r="N40" s="48"/>
      <c r="P40" s="159" t="s">
        <v>334</v>
      </c>
      <c r="Q40" s="153">
        <f>COUNTIFS('1. All Data'!$AC$3:$AC$129,"Environment &amp; Housing",'1. All Data'!$R$3:$R$129,"Update not provided")</f>
        <v>33</v>
      </c>
      <c r="R40" s="157">
        <f>Q40/Q43</f>
        <v>1</v>
      </c>
      <c r="S40" s="157">
        <f>R40</f>
        <v>1</v>
      </c>
      <c r="T40" s="120"/>
      <c r="U40" s="48"/>
      <c r="W40" s="75" t="s">
        <v>334</v>
      </c>
      <c r="X40" s="71"/>
      <c r="Y40" s="76"/>
      <c r="Z40" s="76"/>
      <c r="AA40" s="45"/>
      <c r="AB40" s="48"/>
      <c r="AC40" s="32"/>
    </row>
    <row r="41" spans="2:29" ht="15.75" customHeight="1">
      <c r="B41" s="160" t="s">
        <v>342</v>
      </c>
      <c r="C41" s="153">
        <f>COUNTIFS('1. All Data'!$AC$3:$AC$129,"Environment &amp; Housing",'1. All Data'!$H$3:$H$129,"Deferred")</f>
        <v>0</v>
      </c>
      <c r="D41" s="158">
        <f>C41/C43</f>
        <v>0</v>
      </c>
      <c r="E41" s="158">
        <f>D41</f>
        <v>0</v>
      </c>
      <c r="F41" s="121"/>
      <c r="G41" s="46"/>
      <c r="I41" s="160" t="s">
        <v>342</v>
      </c>
      <c r="J41" s="153">
        <f>COUNTIFS('1. All Data'!$AC$3:$AC$129,"Environment &amp; Housing",'1. All Data'!$M$3:$M$129,"Deferred")</f>
        <v>0</v>
      </c>
      <c r="K41" s="158">
        <f>J41/J43</f>
        <v>0</v>
      </c>
      <c r="L41" s="158">
        <f>K41</f>
        <v>0</v>
      </c>
      <c r="M41" s="121"/>
      <c r="N41" s="46"/>
      <c r="P41" s="160" t="s">
        <v>342</v>
      </c>
      <c r="Q41" s="153">
        <f>COUNTIFS('1. All Data'!$AC$3:$AC$129,"Environment &amp; Housing",'1. All Data'!$R$3:$R$129,"Deferred")</f>
        <v>0</v>
      </c>
      <c r="R41" s="158">
        <f>Q41/Q43</f>
        <v>0</v>
      </c>
      <c r="S41" s="158">
        <f>R41</f>
        <v>0</v>
      </c>
      <c r="T41" s="121"/>
      <c r="U41" s="46"/>
      <c r="W41" s="77" t="s">
        <v>342</v>
      </c>
      <c r="X41" s="71"/>
      <c r="Y41" s="78"/>
      <c r="Z41" s="78"/>
      <c r="AA41" s="50"/>
      <c r="AB41" s="46"/>
      <c r="AC41" s="32"/>
    </row>
    <row r="42" spans="2:29" ht="15.75" customHeight="1">
      <c r="B42" s="160" t="s">
        <v>343</v>
      </c>
      <c r="C42" s="153">
        <f>COUNTIFS('1. All Data'!$AC$3:$AC$129,"Environment &amp; Housing",'1. All Data'!$H$3:$H$129,"Deleted")</f>
        <v>0</v>
      </c>
      <c r="D42" s="158">
        <f>C42/C43</f>
        <v>0</v>
      </c>
      <c r="E42" s="158">
        <f>D42</f>
        <v>0</v>
      </c>
      <c r="F42" s="121"/>
      <c r="G42" s="122" t="s">
        <v>395</v>
      </c>
      <c r="I42" s="160" t="s">
        <v>343</v>
      </c>
      <c r="J42" s="153">
        <f>COUNTIFS('1. All Data'!$AC$3:$AC$129,"Environment &amp; Housing",'1. All Data'!$M$3:$M$129,"Deleted")</f>
        <v>0</v>
      </c>
      <c r="K42" s="158">
        <f>J42/J43</f>
        <v>0</v>
      </c>
      <c r="L42" s="158">
        <f>K42</f>
        <v>0</v>
      </c>
      <c r="M42" s="121"/>
      <c r="N42" s="122" t="s">
        <v>395</v>
      </c>
      <c r="P42" s="160" t="s">
        <v>343</v>
      </c>
      <c r="Q42" s="153">
        <f>COUNTIFS('1. All Data'!$AC$3:$AC$129,"Environment &amp; Housing",'1. All Data'!$R$3:$R$129,"Deleted")</f>
        <v>0</v>
      </c>
      <c r="R42" s="158">
        <f>Q42/Q43</f>
        <v>0</v>
      </c>
      <c r="S42" s="158">
        <f>R42</f>
        <v>0</v>
      </c>
      <c r="T42" s="121"/>
      <c r="U42" s="122" t="s">
        <v>395</v>
      </c>
      <c r="W42" s="77" t="s">
        <v>343</v>
      </c>
      <c r="X42" s="71"/>
      <c r="Y42" s="78"/>
      <c r="Z42" s="78"/>
      <c r="AA42" s="50"/>
      <c r="AB42" s="52" t="s">
        <v>395</v>
      </c>
      <c r="AC42" s="32"/>
    </row>
    <row r="43" spans="2:29" ht="15.75" customHeight="1">
      <c r="B43" s="161" t="s">
        <v>396</v>
      </c>
      <c r="C43" s="162">
        <f>SUM(C29:C42)</f>
        <v>33</v>
      </c>
      <c r="D43" s="50"/>
      <c r="E43" s="50"/>
      <c r="F43" s="123"/>
      <c r="G43" s="46"/>
      <c r="I43" s="161" t="s">
        <v>396</v>
      </c>
      <c r="J43" s="162">
        <f>SUM(J29:J42)</f>
        <v>33</v>
      </c>
      <c r="K43" s="50"/>
      <c r="L43" s="50"/>
      <c r="M43" s="123"/>
      <c r="N43" s="46"/>
      <c r="P43" s="161" t="s">
        <v>396</v>
      </c>
      <c r="Q43" s="162">
        <f>SUM(Q29:Q42)</f>
        <v>33</v>
      </c>
      <c r="R43" s="50"/>
      <c r="S43" s="50"/>
      <c r="T43" s="123"/>
      <c r="U43" s="46"/>
      <c r="W43" s="79" t="s">
        <v>396</v>
      </c>
      <c r="X43" s="80"/>
      <c r="Y43" s="50"/>
      <c r="Z43" s="50"/>
      <c r="AA43" s="46"/>
      <c r="AB43" s="46"/>
      <c r="AC43" s="32"/>
    </row>
    <row r="44" spans="2:29" ht="15.75" customHeight="1">
      <c r="B44" s="161" t="s">
        <v>397</v>
      </c>
      <c r="C44" s="162">
        <f>C43-C42-C41-C40-C39</f>
        <v>22</v>
      </c>
      <c r="D44" s="46"/>
      <c r="E44" s="46"/>
      <c r="F44" s="123"/>
      <c r="G44" s="46"/>
      <c r="I44" s="161" t="s">
        <v>397</v>
      </c>
      <c r="J44" s="162">
        <f>J43-J42-J41-J40-J39</f>
        <v>30</v>
      </c>
      <c r="K44" s="46"/>
      <c r="L44" s="46"/>
      <c r="M44" s="123"/>
      <c r="N44" s="46"/>
      <c r="P44" s="161" t="s">
        <v>397</v>
      </c>
      <c r="Q44" s="162">
        <f>Q43-Q42-Q41-Q40-Q39</f>
        <v>0</v>
      </c>
      <c r="R44" s="46"/>
      <c r="S44" s="46"/>
      <c r="T44" s="123"/>
      <c r="U44" s="46"/>
      <c r="W44" s="79" t="s">
        <v>397</v>
      </c>
      <c r="X44" s="80"/>
      <c r="Y44" s="46"/>
      <c r="Z44" s="46"/>
      <c r="AA44" s="46"/>
      <c r="AB44" s="46"/>
      <c r="AC44" s="32"/>
    </row>
    <row r="45" spans="2:29" ht="15.75" customHeight="1">
      <c r="W45" s="53"/>
      <c r="AA45" s="47"/>
      <c r="AC45" s="32"/>
    </row>
    <row r="46" spans="2:29" ht="15.75" customHeight="1">
      <c r="W46" s="31"/>
      <c r="X46" s="31"/>
      <c r="Y46" s="31"/>
      <c r="Z46" s="31"/>
      <c r="AA46" s="31"/>
      <c r="AB46" s="51"/>
      <c r="AC46" s="32"/>
    </row>
    <row r="47" spans="2:29" s="32" customFormat="1" ht="15.75" customHeight="1">
      <c r="B47" s="59"/>
      <c r="C47" s="31"/>
      <c r="D47" s="31"/>
      <c r="E47" s="31"/>
      <c r="F47" s="123"/>
      <c r="G47" s="31"/>
      <c r="I47" s="59"/>
      <c r="J47" s="31"/>
      <c r="K47" s="31"/>
      <c r="L47" s="31"/>
      <c r="M47" s="123"/>
      <c r="N47" s="31"/>
      <c r="P47" s="59"/>
      <c r="Q47" s="31"/>
      <c r="R47" s="31"/>
      <c r="S47" s="31"/>
      <c r="T47" s="123"/>
      <c r="U47" s="31"/>
      <c r="W47" s="175"/>
      <c r="X47" s="46"/>
      <c r="Y47" s="46"/>
      <c r="Z47" s="46"/>
      <c r="AA47" s="46"/>
      <c r="AB47" s="50"/>
    </row>
    <row r="48" spans="2:29" s="32" customFormat="1" ht="15.75" customHeight="1">
      <c r="B48" s="163" t="s">
        <v>427</v>
      </c>
      <c r="C48" s="164"/>
      <c r="D48" s="164"/>
      <c r="E48" s="164"/>
      <c r="F48" s="165"/>
      <c r="G48" s="164"/>
      <c r="I48" s="163" t="s">
        <v>427</v>
      </c>
      <c r="J48" s="164"/>
      <c r="K48" s="164"/>
      <c r="L48" s="164"/>
      <c r="M48" s="165"/>
      <c r="N48" s="164"/>
      <c r="P48" s="163" t="s">
        <v>427</v>
      </c>
      <c r="Q48" s="164"/>
      <c r="R48" s="164"/>
      <c r="S48" s="164"/>
      <c r="T48" s="165"/>
      <c r="U48" s="164"/>
      <c r="W48" s="163" t="s">
        <v>425</v>
      </c>
      <c r="X48" s="164"/>
      <c r="Y48" s="164"/>
      <c r="Z48" s="164"/>
      <c r="AA48" s="165"/>
      <c r="AB48" s="164"/>
    </row>
    <row r="49" spans="2:29" ht="36" customHeight="1">
      <c r="B49" s="166" t="s">
        <v>387</v>
      </c>
      <c r="C49" s="167" t="s">
        <v>388</v>
      </c>
      <c r="D49" s="167" t="s">
        <v>389</v>
      </c>
      <c r="E49" s="167" t="s">
        <v>390</v>
      </c>
      <c r="F49" s="166" t="s">
        <v>391</v>
      </c>
      <c r="G49" s="167" t="s">
        <v>392</v>
      </c>
      <c r="I49" s="166" t="s">
        <v>387</v>
      </c>
      <c r="J49" s="167" t="s">
        <v>388</v>
      </c>
      <c r="K49" s="167" t="s">
        <v>389</v>
      </c>
      <c r="L49" s="167" t="s">
        <v>390</v>
      </c>
      <c r="M49" s="166" t="s">
        <v>391</v>
      </c>
      <c r="N49" s="167" t="s">
        <v>392</v>
      </c>
      <c r="P49" s="166" t="s">
        <v>387</v>
      </c>
      <c r="Q49" s="167" t="s">
        <v>388</v>
      </c>
      <c r="R49" s="167" t="s">
        <v>389</v>
      </c>
      <c r="S49" s="167" t="s">
        <v>390</v>
      </c>
      <c r="T49" s="166" t="s">
        <v>391</v>
      </c>
      <c r="U49" s="167" t="s">
        <v>392</v>
      </c>
      <c r="W49" s="84" t="s">
        <v>387</v>
      </c>
      <c r="X49" s="84" t="s">
        <v>388</v>
      </c>
      <c r="Y49" s="84" t="s">
        <v>389</v>
      </c>
      <c r="Z49" s="84" t="s">
        <v>390</v>
      </c>
      <c r="AA49" s="84" t="s">
        <v>391</v>
      </c>
      <c r="AB49" s="84" t="s">
        <v>392</v>
      </c>
      <c r="AC49" s="32"/>
    </row>
    <row r="50" spans="2:29" s="32" customFormat="1" ht="7.5" customHeight="1">
      <c r="B50" s="29"/>
      <c r="C50" s="30"/>
      <c r="D50" s="30"/>
      <c r="E50" s="30"/>
      <c r="F50" s="29"/>
      <c r="G50" s="30"/>
      <c r="I50" s="29"/>
      <c r="J50" s="30"/>
      <c r="K50" s="30"/>
      <c r="L50" s="30"/>
      <c r="M50" s="29"/>
      <c r="N50" s="30"/>
      <c r="P50" s="29"/>
      <c r="Q50" s="30"/>
      <c r="R50" s="30"/>
      <c r="S50" s="30"/>
      <c r="T50" s="29"/>
      <c r="U50" s="30"/>
      <c r="W50" s="29"/>
      <c r="X50" s="30"/>
      <c r="Y50" s="30"/>
      <c r="Z50" s="30"/>
      <c r="AA50" s="30"/>
      <c r="AB50" s="30"/>
    </row>
    <row r="51" spans="2:29" ht="18.75" customHeight="1">
      <c r="B51" s="152" t="s">
        <v>393</v>
      </c>
      <c r="C51" s="153">
        <f>COUNTIFS('1. All Data'!$AC$3:$AC$129,"Leisure, Culture &amp; Tourism",'1. All Data'!$H$3:$H$129,"Fully Achieved")</f>
        <v>1</v>
      </c>
      <c r="D51" s="154">
        <f>C51/C65</f>
        <v>5.8823529411764705E-2</v>
      </c>
      <c r="E51" s="402">
        <f>D51+D52</f>
        <v>0.70588235294117652</v>
      </c>
      <c r="F51" s="155">
        <f>C51/C66</f>
        <v>8.3333333333333329E-2</v>
      </c>
      <c r="G51" s="407">
        <f>F51+F52</f>
        <v>1</v>
      </c>
      <c r="I51" s="152" t="s">
        <v>393</v>
      </c>
      <c r="J51" s="153">
        <f>COUNTIFS('1. All Data'!$AC$3:$AC$129,"Leisure, Culture &amp; Tourism",'1. All Data'!$M$3:$M$129,"Fully Achieved")</f>
        <v>4</v>
      </c>
      <c r="K51" s="154">
        <f>J51/J65</f>
        <v>0.23529411764705882</v>
      </c>
      <c r="L51" s="402">
        <f>K51+K52</f>
        <v>0.76470588235294112</v>
      </c>
      <c r="M51" s="155">
        <f>J51/J66</f>
        <v>0.2857142857142857</v>
      </c>
      <c r="N51" s="407">
        <f>M51+M52</f>
        <v>0.9285714285714286</v>
      </c>
      <c r="P51" s="152" t="s">
        <v>393</v>
      </c>
      <c r="Q51" s="153">
        <f>COUNTIFS('1. All Data'!$AC$3:$AC$129,"Leisure, Culture &amp; Tourism",'1. All Data'!$R$3:$R$129,"Fully Achieved")</f>
        <v>0</v>
      </c>
      <c r="R51" s="154">
        <f>Q51/Q65</f>
        <v>0</v>
      </c>
      <c r="S51" s="402">
        <f>R51+R52</f>
        <v>0</v>
      </c>
      <c r="T51" s="155" t="e">
        <f>Q51/Q66</f>
        <v>#DIV/0!</v>
      </c>
      <c r="U51" s="407" t="e">
        <f>T51+T52</f>
        <v>#DIV/0!</v>
      </c>
      <c r="W51" s="70" t="s">
        <v>393</v>
      </c>
      <c r="X51" s="71"/>
      <c r="Y51" s="73"/>
      <c r="Z51" s="365"/>
      <c r="AA51" s="73"/>
      <c r="AB51" s="380">
        <f>AA51+AA52</f>
        <v>0</v>
      </c>
      <c r="AC51" s="32"/>
    </row>
    <row r="52" spans="2:29" ht="18.75" customHeight="1">
      <c r="B52" s="152" t="s">
        <v>344</v>
      </c>
      <c r="C52" s="153">
        <f>COUNTIFS('1. All Data'!$AC$3:$AC$129,"Leisure, Culture &amp; Tourism",'1. All Data'!$H$3:$H$129,"On Track to be Achieved")</f>
        <v>11</v>
      </c>
      <c r="D52" s="154">
        <f>C52/C65</f>
        <v>0.6470588235294118</v>
      </c>
      <c r="E52" s="402"/>
      <c r="F52" s="155">
        <f>C52/C66</f>
        <v>0.91666666666666663</v>
      </c>
      <c r="G52" s="407"/>
      <c r="I52" s="152" t="s">
        <v>344</v>
      </c>
      <c r="J52" s="153">
        <f>COUNTIFS('1. All Data'!$AC$3:$AC$129,"Leisure, Culture &amp; Tourism",'1. All Data'!$M$3:$M$129,"On Track to be Achieved")</f>
        <v>9</v>
      </c>
      <c r="K52" s="154">
        <f>J52/J65</f>
        <v>0.52941176470588236</v>
      </c>
      <c r="L52" s="402"/>
      <c r="M52" s="155">
        <f>J52/J66</f>
        <v>0.6428571428571429</v>
      </c>
      <c r="N52" s="407"/>
      <c r="P52" s="152" t="s">
        <v>344</v>
      </c>
      <c r="Q52" s="153">
        <f>COUNTIFS('1. All Data'!$AC$3:$AC$129,"Leisure, Culture &amp; Tourism",'1. All Data'!$R$3:$R$129,"On Track to be Achieved")</f>
        <v>0</v>
      </c>
      <c r="R52" s="154">
        <f>Q52/Q65</f>
        <v>0</v>
      </c>
      <c r="S52" s="402"/>
      <c r="T52" s="155" t="e">
        <f>Q52/Q66</f>
        <v>#DIV/0!</v>
      </c>
      <c r="U52" s="407"/>
      <c r="W52" s="70" t="s">
        <v>344</v>
      </c>
      <c r="X52" s="71"/>
      <c r="Y52" s="73"/>
      <c r="Z52" s="365"/>
      <c r="AA52" s="73"/>
      <c r="AB52" s="380"/>
      <c r="AC52" s="32"/>
    </row>
    <row r="53" spans="2:29" s="32" customFormat="1" ht="6.75" customHeight="1">
      <c r="B53" s="29"/>
      <c r="C53" s="43"/>
      <c r="D53" s="40"/>
      <c r="E53" s="40"/>
      <c r="F53" s="119"/>
      <c r="G53" s="41"/>
      <c r="I53" s="29"/>
      <c r="J53" s="43"/>
      <c r="K53" s="40"/>
      <c r="L53" s="40"/>
      <c r="M53" s="119"/>
      <c r="N53" s="41"/>
      <c r="P53" s="29"/>
      <c r="Q53" s="43"/>
      <c r="R53" s="40"/>
      <c r="S53" s="40"/>
      <c r="T53" s="119"/>
      <c r="U53" s="41"/>
      <c r="W53" s="33"/>
      <c r="X53" s="34"/>
      <c r="Y53" s="35"/>
      <c r="Z53" s="35"/>
      <c r="AA53" s="35"/>
      <c r="AB53" s="36"/>
    </row>
    <row r="54" spans="2:29" ht="16.5" customHeight="1">
      <c r="B54" s="396" t="s">
        <v>345</v>
      </c>
      <c r="C54" s="399">
        <f>COUNTIFS('1. All Data'!$AC$3:$AC$129,"Leisure, Culture &amp; Tourism",'1. All Data'!$H$3:$H$129,"In Danger of Falling Behind Target")</f>
        <v>0</v>
      </c>
      <c r="D54" s="404">
        <f>C54/C65</f>
        <v>0</v>
      </c>
      <c r="E54" s="404">
        <f>D54</f>
        <v>0</v>
      </c>
      <c r="F54" s="390">
        <f>C54/C66</f>
        <v>0</v>
      </c>
      <c r="G54" s="393">
        <f>F54</f>
        <v>0</v>
      </c>
      <c r="I54" s="396" t="s">
        <v>345</v>
      </c>
      <c r="J54" s="399">
        <f>COUNTIFS('1. All Data'!$AC$3:$AC$129,"Leisure, Culture &amp; Tourism",'1. All Data'!$M$3:$M$129,"In Danger of Falling Behind Target")</f>
        <v>0</v>
      </c>
      <c r="K54" s="404">
        <f>J54/J65</f>
        <v>0</v>
      </c>
      <c r="L54" s="404">
        <f>K54</f>
        <v>0</v>
      </c>
      <c r="M54" s="390">
        <f>J54/J66</f>
        <v>0</v>
      </c>
      <c r="N54" s="393">
        <f>M54</f>
        <v>0</v>
      </c>
      <c r="P54" s="396" t="s">
        <v>345</v>
      </c>
      <c r="Q54" s="399">
        <f>COUNTIFS('1. All Data'!$AC$3:$AC$129,"Leisure, Culture &amp; Tourism",'1. All Data'!$R$3:$R$129,"In Danger of Falling Behind Target")</f>
        <v>0</v>
      </c>
      <c r="R54" s="404">
        <f>Q54/Q65</f>
        <v>0</v>
      </c>
      <c r="S54" s="404">
        <f>R54</f>
        <v>0</v>
      </c>
      <c r="T54" s="390" t="e">
        <f>Q54/Q66</f>
        <v>#DIV/0!</v>
      </c>
      <c r="U54" s="393" t="e">
        <f>T54</f>
        <v>#DIV/0!</v>
      </c>
      <c r="W54" s="91" t="s">
        <v>337</v>
      </c>
      <c r="X54" s="92"/>
      <c r="Y54" s="73"/>
      <c r="Z54" s="365"/>
      <c r="AA54" s="73"/>
      <c r="AB54" s="366">
        <f>AA54</f>
        <v>0</v>
      </c>
      <c r="AC54" s="32"/>
    </row>
    <row r="55" spans="2:29" ht="16.5" customHeight="1">
      <c r="B55" s="397"/>
      <c r="C55" s="400"/>
      <c r="D55" s="405"/>
      <c r="E55" s="405"/>
      <c r="F55" s="391"/>
      <c r="G55" s="394"/>
      <c r="I55" s="397"/>
      <c r="J55" s="400"/>
      <c r="K55" s="405"/>
      <c r="L55" s="405"/>
      <c r="M55" s="391"/>
      <c r="N55" s="394"/>
      <c r="P55" s="397"/>
      <c r="Q55" s="400"/>
      <c r="R55" s="405"/>
      <c r="S55" s="405"/>
      <c r="T55" s="391"/>
      <c r="U55" s="394"/>
      <c r="W55" s="91" t="s">
        <v>338</v>
      </c>
      <c r="X55" s="92"/>
      <c r="Y55" s="73"/>
      <c r="Z55" s="365"/>
      <c r="AA55" s="73"/>
      <c r="AB55" s="366"/>
      <c r="AC55" s="32"/>
    </row>
    <row r="56" spans="2:29" ht="16.5" customHeight="1">
      <c r="B56" s="398"/>
      <c r="C56" s="401"/>
      <c r="D56" s="406"/>
      <c r="E56" s="406"/>
      <c r="F56" s="392"/>
      <c r="G56" s="395"/>
      <c r="I56" s="398"/>
      <c r="J56" s="401"/>
      <c r="K56" s="406"/>
      <c r="L56" s="406"/>
      <c r="M56" s="392"/>
      <c r="N56" s="395"/>
      <c r="P56" s="398"/>
      <c r="Q56" s="401"/>
      <c r="R56" s="406"/>
      <c r="S56" s="406"/>
      <c r="T56" s="392"/>
      <c r="U56" s="395"/>
      <c r="W56" s="91" t="s">
        <v>341</v>
      </c>
      <c r="X56" s="92"/>
      <c r="Y56" s="73"/>
      <c r="Z56" s="365"/>
      <c r="AA56" s="73"/>
      <c r="AB56" s="366"/>
      <c r="AC56" s="32"/>
    </row>
    <row r="57" spans="2:29" s="32" customFormat="1" ht="6" customHeight="1">
      <c r="B57" s="29"/>
      <c r="C57" s="30"/>
      <c r="D57" s="40"/>
      <c r="E57" s="40"/>
      <c r="F57" s="119"/>
      <c r="G57" s="41"/>
      <c r="I57" s="29"/>
      <c r="J57" s="30"/>
      <c r="K57" s="40"/>
      <c r="L57" s="40"/>
      <c r="M57" s="119"/>
      <c r="N57" s="41"/>
      <c r="P57" s="29"/>
      <c r="Q57" s="30"/>
      <c r="R57" s="40"/>
      <c r="S57" s="40"/>
      <c r="T57" s="119"/>
      <c r="U57" s="41"/>
      <c r="W57" s="29"/>
      <c r="X57" s="30"/>
      <c r="Y57" s="40"/>
      <c r="Z57" s="40"/>
      <c r="AA57" s="40"/>
      <c r="AB57" s="41"/>
    </row>
    <row r="58" spans="2:29" ht="22.5" customHeight="1">
      <c r="B58" s="156" t="s">
        <v>346</v>
      </c>
      <c r="C58" s="153">
        <f>COUNTIFS('1. All Data'!$AC$3:$AC$129,"Leisure, Culture &amp; Tourism",'1. All Data'!$H$3:$H$129,"Completed Behind Schedule")</f>
        <v>0</v>
      </c>
      <c r="D58" s="154">
        <f>C58/C65</f>
        <v>0</v>
      </c>
      <c r="E58" s="402">
        <f>D58+D59</f>
        <v>0</v>
      </c>
      <c r="F58" s="155">
        <f>C58/C66</f>
        <v>0</v>
      </c>
      <c r="G58" s="403">
        <f>F58+F59</f>
        <v>0</v>
      </c>
      <c r="I58" s="156" t="s">
        <v>346</v>
      </c>
      <c r="J58" s="153">
        <f>COUNTIFS('1. All Data'!$AC$3:$AC$129,"Leisure, Culture &amp; Tourism",'1. All Data'!$M$3:$M$129,"Completed Behind Schedule")</f>
        <v>0</v>
      </c>
      <c r="K58" s="154">
        <f>J58/J65</f>
        <v>0</v>
      </c>
      <c r="L58" s="402">
        <f>K58+K59</f>
        <v>5.8823529411764705E-2</v>
      </c>
      <c r="M58" s="155">
        <f>J58/J66</f>
        <v>0</v>
      </c>
      <c r="N58" s="403">
        <f>M58+M59</f>
        <v>7.1428571428571425E-2</v>
      </c>
      <c r="P58" s="156" t="s">
        <v>346</v>
      </c>
      <c r="Q58" s="153">
        <f>COUNTIFS('1. All Data'!$AC$3:$AC$129,"Leisure, Culture &amp; Tourism",'1. All Data'!$R$3:$R$129,"Completed Behind Schedule")</f>
        <v>0</v>
      </c>
      <c r="R58" s="154">
        <f>Q58/Q65</f>
        <v>0</v>
      </c>
      <c r="S58" s="402">
        <f>R58+R59</f>
        <v>0</v>
      </c>
      <c r="T58" s="155" t="e">
        <f>Q58/Q66</f>
        <v>#DIV/0!</v>
      </c>
      <c r="U58" s="403" t="e">
        <f>T58+T59</f>
        <v>#DIV/0!</v>
      </c>
      <c r="W58" s="74" t="s">
        <v>340</v>
      </c>
      <c r="X58" s="93"/>
      <c r="Y58" s="73"/>
      <c r="Z58" s="365"/>
      <c r="AA58" s="73"/>
      <c r="AB58" s="367">
        <f>AA58+AA59</f>
        <v>0</v>
      </c>
      <c r="AC58" s="32"/>
    </row>
    <row r="59" spans="2:29" ht="22.5" customHeight="1">
      <c r="B59" s="156" t="s">
        <v>339</v>
      </c>
      <c r="C59" s="153">
        <f>COUNTIFS('1. All Data'!$AC$3:$AC$129,"Leisure, Culture &amp; Tourism",'1. All Data'!$H$3:$H$129,"Off Target")</f>
        <v>0</v>
      </c>
      <c r="D59" s="154">
        <f>C59/C65</f>
        <v>0</v>
      </c>
      <c r="E59" s="402"/>
      <c r="F59" s="155">
        <f>C59/C66</f>
        <v>0</v>
      </c>
      <c r="G59" s="403"/>
      <c r="I59" s="156" t="s">
        <v>339</v>
      </c>
      <c r="J59" s="153">
        <f>COUNTIFS('1. All Data'!$AC$3:$AC$129,"Leisure, Culture &amp; Tourism",'1. All Data'!$M$3:$M$129,"Off Target")</f>
        <v>1</v>
      </c>
      <c r="K59" s="154">
        <f>J59/J65</f>
        <v>5.8823529411764705E-2</v>
      </c>
      <c r="L59" s="402"/>
      <c r="M59" s="155">
        <f>J59/J66</f>
        <v>7.1428571428571425E-2</v>
      </c>
      <c r="N59" s="403"/>
      <c r="P59" s="156" t="s">
        <v>339</v>
      </c>
      <c r="Q59" s="153">
        <f>COUNTIFS('1. All Data'!$AC$3:$AC$129,"Leisure, Culture &amp; Tourism",'1. All Data'!$R$3:$R$129,"Off Target")</f>
        <v>0</v>
      </c>
      <c r="R59" s="154">
        <f>Q59/Q65</f>
        <v>0</v>
      </c>
      <c r="S59" s="402"/>
      <c r="T59" s="155" t="e">
        <f>Q59/Q66</f>
        <v>#DIV/0!</v>
      </c>
      <c r="U59" s="403"/>
      <c r="W59" s="74" t="s">
        <v>339</v>
      </c>
      <c r="X59" s="93"/>
      <c r="Y59" s="73"/>
      <c r="Z59" s="365"/>
      <c r="AA59" s="73"/>
      <c r="AB59" s="367"/>
      <c r="AC59" s="32"/>
    </row>
    <row r="60" spans="2:29" s="32" customFormat="1" ht="6.75" customHeight="1">
      <c r="B60" s="29"/>
      <c r="C60" s="43"/>
      <c r="D60" s="40"/>
      <c r="E60" s="40"/>
      <c r="F60" s="119"/>
      <c r="G60" s="44"/>
      <c r="I60" s="29"/>
      <c r="J60" s="43"/>
      <c r="K60" s="40"/>
      <c r="L60" s="40"/>
      <c r="M60" s="119"/>
      <c r="N60" s="44"/>
      <c r="P60" s="29"/>
      <c r="Q60" s="43"/>
      <c r="R60" s="40"/>
      <c r="S60" s="40"/>
      <c r="T60" s="119"/>
      <c r="U60" s="44"/>
      <c r="W60" s="29"/>
      <c r="X60" s="43"/>
      <c r="Y60" s="40"/>
      <c r="Z60" s="40"/>
      <c r="AA60" s="40"/>
      <c r="AB60" s="44"/>
    </row>
    <row r="61" spans="2:29" ht="15.75" customHeight="1">
      <c r="B61" s="159" t="s">
        <v>394</v>
      </c>
      <c r="C61" s="153">
        <f>COUNTIFS('1. All Data'!$AC$3:$AC$129,"Leisure, Culture &amp; Tourism",'1. All Data'!$H$3:$H$129,"Not yet due")</f>
        <v>5</v>
      </c>
      <c r="D61" s="157">
        <f>C61/C65</f>
        <v>0.29411764705882354</v>
      </c>
      <c r="E61" s="157">
        <f>D61</f>
        <v>0.29411764705882354</v>
      </c>
      <c r="F61" s="120"/>
      <c r="G61" s="46"/>
      <c r="I61" s="159" t="s">
        <v>394</v>
      </c>
      <c r="J61" s="153">
        <f>COUNTIFS('1. All Data'!$AC$3:$AC$129,"Leisure, Culture &amp; Tourism",'1. All Data'!$M$3:$M$129,"Not yet due")</f>
        <v>3</v>
      </c>
      <c r="K61" s="157">
        <f>J61/J65</f>
        <v>0.17647058823529413</v>
      </c>
      <c r="L61" s="157">
        <f>K61</f>
        <v>0.17647058823529413</v>
      </c>
      <c r="M61" s="120"/>
      <c r="N61" s="46"/>
      <c r="P61" s="159" t="s">
        <v>394</v>
      </c>
      <c r="Q61" s="153">
        <f>COUNTIFS('1. All Data'!$AC$3:$AC$129,"Leisure, Culture &amp; Tourism",'1. All Data'!$R$3:$R$129,"Not yet due")</f>
        <v>0</v>
      </c>
      <c r="R61" s="157">
        <f>Q61/Q65</f>
        <v>0</v>
      </c>
      <c r="S61" s="157">
        <f>R61</f>
        <v>0</v>
      </c>
      <c r="T61" s="120"/>
      <c r="U61" s="46"/>
      <c r="W61" s="75" t="s">
        <v>394</v>
      </c>
      <c r="X61" s="71"/>
      <c r="Y61" s="76"/>
      <c r="Z61" s="76"/>
      <c r="AA61" s="45"/>
      <c r="AB61" s="46"/>
      <c r="AC61" s="32"/>
    </row>
    <row r="62" spans="2:29" ht="15.75" customHeight="1">
      <c r="B62" s="159" t="s">
        <v>334</v>
      </c>
      <c r="C62" s="153">
        <f>COUNTIFS('1. All Data'!$AC$3:$AC$129,"Leisure, Culture &amp; Tourism",'1. All Data'!$H$3:$H$129,"Update not provided")</f>
        <v>0</v>
      </c>
      <c r="D62" s="157">
        <f>C62/C65</f>
        <v>0</v>
      </c>
      <c r="E62" s="157">
        <f>D62</f>
        <v>0</v>
      </c>
      <c r="F62" s="120"/>
      <c r="G62" s="48"/>
      <c r="I62" s="159" t="s">
        <v>334</v>
      </c>
      <c r="J62" s="153">
        <f>COUNTIFS('1. All Data'!$AC$3:$AC$129,"Leisure, Culture &amp; Tourism",'1. All Data'!$M$3:$M$129,"Update not provided")</f>
        <v>0</v>
      </c>
      <c r="K62" s="157">
        <f>J62/J65</f>
        <v>0</v>
      </c>
      <c r="L62" s="157">
        <f>K62</f>
        <v>0</v>
      </c>
      <c r="M62" s="120"/>
      <c r="N62" s="48"/>
      <c r="P62" s="159" t="s">
        <v>334</v>
      </c>
      <c r="Q62" s="153">
        <f>COUNTIFS('1. All Data'!$AC$3:$AC$129,"Leisure, Culture &amp; Tourism",'1. All Data'!$R$3:$R$129,"Update not provided")</f>
        <v>17</v>
      </c>
      <c r="R62" s="157">
        <f>Q62/Q65</f>
        <v>1</v>
      </c>
      <c r="S62" s="157">
        <f>R62</f>
        <v>1</v>
      </c>
      <c r="T62" s="120"/>
      <c r="U62" s="48"/>
      <c r="W62" s="75" t="s">
        <v>334</v>
      </c>
      <c r="X62" s="71"/>
      <c r="Y62" s="76"/>
      <c r="Z62" s="76"/>
      <c r="AA62" s="45"/>
      <c r="AB62" s="48"/>
      <c r="AC62" s="32"/>
    </row>
    <row r="63" spans="2:29" ht="15.75" customHeight="1">
      <c r="B63" s="160" t="s">
        <v>342</v>
      </c>
      <c r="C63" s="153">
        <f>COUNTIFS('1. All Data'!$AC$3:$AC$129,"Leisure, Culture &amp; Tourism",'1. All Data'!$H$3:$H$129,"Deferred")</f>
        <v>0</v>
      </c>
      <c r="D63" s="158">
        <f>C63/C65</f>
        <v>0</v>
      </c>
      <c r="E63" s="158">
        <f>D63</f>
        <v>0</v>
      </c>
      <c r="F63" s="121"/>
      <c r="G63" s="46"/>
      <c r="I63" s="160" t="s">
        <v>342</v>
      </c>
      <c r="J63" s="153">
        <f>COUNTIFS('1. All Data'!$AC$3:$AC$129,"Leisure, Culture &amp; Tourism",'1. All Data'!$M$3:$M$129,"Deferred")</f>
        <v>0</v>
      </c>
      <c r="K63" s="158">
        <f>J63/J65</f>
        <v>0</v>
      </c>
      <c r="L63" s="158">
        <f>K63</f>
        <v>0</v>
      </c>
      <c r="M63" s="121"/>
      <c r="N63" s="46"/>
      <c r="P63" s="160" t="s">
        <v>342</v>
      </c>
      <c r="Q63" s="153">
        <f>COUNTIFS('1. All Data'!$AC$3:$AC$129,"Leisure, Culture &amp; Tourism",'1. All Data'!$R$3:$R$129,"Deferred")</f>
        <v>0</v>
      </c>
      <c r="R63" s="158">
        <f>Q63/Q65</f>
        <v>0</v>
      </c>
      <c r="S63" s="158">
        <f>R63</f>
        <v>0</v>
      </c>
      <c r="T63" s="121"/>
      <c r="U63" s="46"/>
      <c r="W63" s="77" t="s">
        <v>342</v>
      </c>
      <c r="X63" s="71"/>
      <c r="Y63" s="78"/>
      <c r="Z63" s="78"/>
      <c r="AA63" s="50"/>
      <c r="AB63" s="46"/>
      <c r="AC63" s="32"/>
    </row>
    <row r="64" spans="2:29" ht="15.75" customHeight="1">
      <c r="B64" s="160" t="s">
        <v>343</v>
      </c>
      <c r="C64" s="153">
        <f>COUNTIFS('1. All Data'!$AC$3:$AC$129,"Leisure, Culture &amp; Tourism",'1. All Data'!$H$3:$H$129,"Deleted")</f>
        <v>0</v>
      </c>
      <c r="D64" s="158">
        <f>C64/C65</f>
        <v>0</v>
      </c>
      <c r="E64" s="158">
        <f>D64</f>
        <v>0</v>
      </c>
      <c r="F64" s="121"/>
      <c r="G64" s="122" t="s">
        <v>395</v>
      </c>
      <c r="I64" s="160" t="s">
        <v>343</v>
      </c>
      <c r="J64" s="153">
        <f>COUNTIFS('1. All Data'!$AC$3:$AC$129,"Leisure, Culture &amp; Tourism",'1. All Data'!$M$3:$M$129,"Deleted")</f>
        <v>0</v>
      </c>
      <c r="K64" s="158">
        <f>J64/J65</f>
        <v>0</v>
      </c>
      <c r="L64" s="158">
        <f>K64</f>
        <v>0</v>
      </c>
      <c r="M64" s="121"/>
      <c r="N64" s="122" t="s">
        <v>395</v>
      </c>
      <c r="P64" s="160" t="s">
        <v>343</v>
      </c>
      <c r="Q64" s="153">
        <f>COUNTIFS('1. All Data'!$AC$3:$AC$129,"Leisure, Culture &amp; Tourism",'1. All Data'!$R$3:$R$129,"Deleted")</f>
        <v>0</v>
      </c>
      <c r="R64" s="158">
        <f>Q64/Q65</f>
        <v>0</v>
      </c>
      <c r="S64" s="158">
        <f>R64</f>
        <v>0</v>
      </c>
      <c r="T64" s="121"/>
      <c r="U64" s="122" t="s">
        <v>395</v>
      </c>
      <c r="W64" s="77" t="s">
        <v>343</v>
      </c>
      <c r="X64" s="71"/>
      <c r="Y64" s="78"/>
      <c r="Z64" s="78"/>
      <c r="AA64" s="50"/>
      <c r="AB64" s="52" t="s">
        <v>395</v>
      </c>
      <c r="AC64" s="32"/>
    </row>
    <row r="65" spans="2:29" ht="15.75" customHeight="1">
      <c r="B65" s="161" t="s">
        <v>396</v>
      </c>
      <c r="C65" s="162">
        <f>SUM(C51:C64)</f>
        <v>17</v>
      </c>
      <c r="D65" s="50"/>
      <c r="E65" s="50"/>
      <c r="F65" s="123"/>
      <c r="G65" s="46"/>
      <c r="I65" s="161" t="s">
        <v>396</v>
      </c>
      <c r="J65" s="162">
        <f>SUM(J51:J64)</f>
        <v>17</v>
      </c>
      <c r="K65" s="50"/>
      <c r="L65" s="50"/>
      <c r="M65" s="123"/>
      <c r="N65" s="46"/>
      <c r="P65" s="161" t="s">
        <v>396</v>
      </c>
      <c r="Q65" s="162">
        <f>SUM(Q51:Q64)</f>
        <v>17</v>
      </c>
      <c r="R65" s="50"/>
      <c r="S65" s="50"/>
      <c r="T65" s="123"/>
      <c r="U65" s="46"/>
      <c r="W65" s="79" t="s">
        <v>396</v>
      </c>
      <c r="X65" s="80"/>
      <c r="Y65" s="50"/>
      <c r="Z65" s="50"/>
      <c r="AA65" s="46"/>
      <c r="AB65" s="46"/>
      <c r="AC65" s="32"/>
    </row>
    <row r="66" spans="2:29" ht="15.75" customHeight="1">
      <c r="B66" s="161" t="s">
        <v>397</v>
      </c>
      <c r="C66" s="162">
        <f>C65-C64-C63-C62-C61</f>
        <v>12</v>
      </c>
      <c r="D66" s="46"/>
      <c r="E66" s="46"/>
      <c r="F66" s="123"/>
      <c r="G66" s="46"/>
      <c r="I66" s="161" t="s">
        <v>397</v>
      </c>
      <c r="J66" s="162">
        <f>J65-J64-J63-J62-J61</f>
        <v>14</v>
      </c>
      <c r="K66" s="46"/>
      <c r="L66" s="46"/>
      <c r="M66" s="123"/>
      <c r="N66" s="46"/>
      <c r="P66" s="161" t="s">
        <v>397</v>
      </c>
      <c r="Q66" s="162">
        <f>Q65-Q64-Q63-Q62-Q61</f>
        <v>0</v>
      </c>
      <c r="R66" s="46"/>
      <c r="S66" s="46"/>
      <c r="T66" s="123"/>
      <c r="U66" s="46"/>
      <c r="W66" s="79" t="s">
        <v>397</v>
      </c>
      <c r="X66" s="80"/>
      <c r="Y66" s="46"/>
      <c r="Z66" s="46"/>
      <c r="AA66" s="46"/>
      <c r="AB66" s="46"/>
      <c r="AC66" s="32"/>
    </row>
    <row r="67" spans="2:29" ht="15.75" customHeight="1">
      <c r="W67" s="53"/>
      <c r="AA67" s="47"/>
      <c r="AC67" s="32"/>
    </row>
    <row r="68" spans="2:29" ht="15.75" customHeight="1">
      <c r="W68" s="31"/>
      <c r="X68" s="174"/>
      <c r="Y68" s="31"/>
      <c r="Z68" s="31"/>
      <c r="AA68" s="31"/>
      <c r="AB68" s="51"/>
      <c r="AC68" s="32"/>
    </row>
    <row r="69" spans="2:29" ht="15.75" customHeight="1">
      <c r="W69" s="176"/>
      <c r="X69" s="177"/>
      <c r="Y69" s="46"/>
      <c r="Z69" s="46"/>
      <c r="AA69" s="46"/>
      <c r="AB69" s="50"/>
      <c r="AC69" s="32"/>
    </row>
    <row r="70" spans="2:29" s="32" customFormat="1" ht="15.75">
      <c r="B70" s="172" t="s">
        <v>428</v>
      </c>
      <c r="C70" s="164"/>
      <c r="D70" s="164"/>
      <c r="E70" s="164"/>
      <c r="F70" s="165"/>
      <c r="G70" s="164"/>
      <c r="I70" s="172" t="s">
        <v>428</v>
      </c>
      <c r="J70" s="164"/>
      <c r="K70" s="164"/>
      <c r="L70" s="164"/>
      <c r="M70" s="165"/>
      <c r="N70" s="164"/>
      <c r="P70" s="172" t="s">
        <v>428</v>
      </c>
      <c r="Q70" s="164"/>
      <c r="R70" s="164"/>
      <c r="S70" s="164"/>
      <c r="T70" s="165"/>
      <c r="U70" s="164"/>
      <c r="W70" s="163" t="s">
        <v>425</v>
      </c>
      <c r="X70" s="164"/>
      <c r="Y70" s="164"/>
      <c r="Z70" s="164"/>
      <c r="AA70" s="165"/>
      <c r="AB70" s="164"/>
    </row>
    <row r="71" spans="2:29" ht="41.25" customHeight="1">
      <c r="B71" s="166" t="s">
        <v>387</v>
      </c>
      <c r="C71" s="167" t="s">
        <v>388</v>
      </c>
      <c r="D71" s="167" t="s">
        <v>389</v>
      </c>
      <c r="E71" s="167" t="s">
        <v>390</v>
      </c>
      <c r="F71" s="166" t="s">
        <v>391</v>
      </c>
      <c r="G71" s="167" t="s">
        <v>392</v>
      </c>
      <c r="I71" s="166" t="s">
        <v>387</v>
      </c>
      <c r="J71" s="167" t="s">
        <v>388</v>
      </c>
      <c r="K71" s="167" t="s">
        <v>389</v>
      </c>
      <c r="L71" s="167" t="s">
        <v>390</v>
      </c>
      <c r="M71" s="166" t="s">
        <v>391</v>
      </c>
      <c r="N71" s="167" t="s">
        <v>392</v>
      </c>
      <c r="P71" s="166" t="s">
        <v>387</v>
      </c>
      <c r="Q71" s="167" t="s">
        <v>388</v>
      </c>
      <c r="R71" s="167" t="s">
        <v>389</v>
      </c>
      <c r="S71" s="167" t="s">
        <v>390</v>
      </c>
      <c r="T71" s="166" t="s">
        <v>391</v>
      </c>
      <c r="U71" s="167" t="s">
        <v>392</v>
      </c>
      <c r="W71" s="84" t="s">
        <v>387</v>
      </c>
      <c r="X71" s="84" t="s">
        <v>388</v>
      </c>
      <c r="Y71" s="84" t="s">
        <v>389</v>
      </c>
      <c r="Z71" s="84" t="s">
        <v>390</v>
      </c>
      <c r="AA71" s="84" t="s">
        <v>391</v>
      </c>
      <c r="AB71" s="84" t="s">
        <v>392</v>
      </c>
      <c r="AC71" s="32"/>
    </row>
    <row r="72" spans="2:29" ht="6.75" customHeight="1">
      <c r="B72" s="29"/>
      <c r="C72" s="30"/>
      <c r="D72" s="30"/>
      <c r="E72" s="30"/>
      <c r="F72" s="29"/>
      <c r="G72" s="30"/>
      <c r="I72" s="29"/>
      <c r="J72" s="30"/>
      <c r="K72" s="30"/>
      <c r="L72" s="30"/>
      <c r="M72" s="29"/>
      <c r="N72" s="30"/>
      <c r="P72" s="29"/>
      <c r="Q72" s="30"/>
      <c r="R72" s="30"/>
      <c r="S72" s="30"/>
      <c r="T72" s="29"/>
      <c r="U72" s="30"/>
      <c r="W72" s="29"/>
      <c r="X72" s="30"/>
      <c r="Y72" s="30"/>
      <c r="Z72" s="30"/>
      <c r="AA72" s="30"/>
      <c r="AB72" s="30"/>
      <c r="AC72" s="32"/>
    </row>
    <row r="73" spans="2:29" ht="27.75" customHeight="1">
      <c r="B73" s="152" t="s">
        <v>393</v>
      </c>
      <c r="C73" s="153">
        <f>COUNTIFS('1. All Data'!$AC$3:$AC$129,"Regeneration &amp; Planning Policy",'1. All Data'!$H$3:$H$129,"Fully Achieved")</f>
        <v>2</v>
      </c>
      <c r="D73" s="154">
        <f>C73/C87</f>
        <v>6.8965517241379309E-2</v>
      </c>
      <c r="E73" s="402">
        <f>D73+D74</f>
        <v>0.86206896551724144</v>
      </c>
      <c r="F73" s="155">
        <f>C73/C88</f>
        <v>7.6923076923076927E-2</v>
      </c>
      <c r="G73" s="407">
        <f>F73+F74</f>
        <v>0.96153846153846145</v>
      </c>
      <c r="I73" s="152" t="s">
        <v>393</v>
      </c>
      <c r="J73" s="153">
        <f>COUNTIFS('1. All Data'!$AC$3:$AC$129,"Regeneration &amp; Planning Policy",'1. All Data'!$M$3:$M$129,"Fully Achieved")</f>
        <v>2</v>
      </c>
      <c r="K73" s="154">
        <f>J73/J87</f>
        <v>6.8965517241379309E-2</v>
      </c>
      <c r="L73" s="402">
        <f>K73+K74</f>
        <v>0.89655172413793105</v>
      </c>
      <c r="M73" s="155">
        <f>J73/J88</f>
        <v>7.407407407407407E-2</v>
      </c>
      <c r="N73" s="407">
        <f>M73+M74</f>
        <v>0.96296296296296291</v>
      </c>
      <c r="P73" s="152" t="s">
        <v>393</v>
      </c>
      <c r="Q73" s="153">
        <f>COUNTIFS('1. All Data'!$AC$3:$AC$129,"Regeneration &amp; Planning Policy",'1. All Data'!$R$3:$R$129,"Fully Achieved")</f>
        <v>0</v>
      </c>
      <c r="R73" s="154">
        <f>Q73/Q87</f>
        <v>0</v>
      </c>
      <c r="S73" s="402">
        <f>R73+R74</f>
        <v>0</v>
      </c>
      <c r="T73" s="155" t="e">
        <f>Q73/Q88</f>
        <v>#DIV/0!</v>
      </c>
      <c r="U73" s="407" t="e">
        <f>T73+T74</f>
        <v>#DIV/0!</v>
      </c>
      <c r="W73" s="70" t="s">
        <v>393</v>
      </c>
      <c r="X73" s="71"/>
      <c r="Y73" s="73"/>
      <c r="Z73" s="365"/>
      <c r="AA73" s="73"/>
      <c r="AB73" s="380">
        <f>AA73+AA74</f>
        <v>0</v>
      </c>
      <c r="AC73" s="32"/>
    </row>
    <row r="74" spans="2:29" ht="27.75" customHeight="1">
      <c r="B74" s="152" t="s">
        <v>344</v>
      </c>
      <c r="C74" s="153">
        <f>COUNTIFS('1. All Data'!$AC$3:$AC$129,"Regeneration &amp; Planning Policy",'1. All Data'!$H$3:$H$129,"On Track to be Achieved")</f>
        <v>23</v>
      </c>
      <c r="D74" s="154">
        <f>C74/C87</f>
        <v>0.7931034482758621</v>
      </c>
      <c r="E74" s="402"/>
      <c r="F74" s="155">
        <f>C74/C88</f>
        <v>0.88461538461538458</v>
      </c>
      <c r="G74" s="407"/>
      <c r="I74" s="152" t="s">
        <v>344</v>
      </c>
      <c r="J74" s="153">
        <f>COUNTIFS('1. All Data'!$AC$3:$AC$129,"Regeneration &amp; Planning Policy",'1. All Data'!$M$3:$M$129,"On Track to be Achieved")</f>
        <v>24</v>
      </c>
      <c r="K74" s="154">
        <f>J74/J87</f>
        <v>0.82758620689655171</v>
      </c>
      <c r="L74" s="402"/>
      <c r="M74" s="155">
        <f>J74/J88</f>
        <v>0.88888888888888884</v>
      </c>
      <c r="N74" s="407"/>
      <c r="P74" s="152" t="s">
        <v>344</v>
      </c>
      <c r="Q74" s="153">
        <f>COUNTIFS('1. All Data'!$AC$3:$AC$129,"Regeneration &amp; Planning Policy",'1. All Data'!$R$3:$R$129,"On Track to be Achieved")</f>
        <v>0</v>
      </c>
      <c r="R74" s="154">
        <f>Q74/Q87</f>
        <v>0</v>
      </c>
      <c r="S74" s="402"/>
      <c r="T74" s="155" t="e">
        <f>Q74/Q88</f>
        <v>#DIV/0!</v>
      </c>
      <c r="U74" s="407"/>
      <c r="W74" s="70" t="s">
        <v>344</v>
      </c>
      <c r="X74" s="71"/>
      <c r="Y74" s="73"/>
      <c r="Z74" s="365"/>
      <c r="AA74" s="73"/>
      <c r="AB74" s="380"/>
      <c r="AC74" s="32"/>
    </row>
    <row r="75" spans="2:29" ht="7.5" customHeight="1">
      <c r="B75" s="29"/>
      <c r="C75" s="43"/>
      <c r="D75" s="40"/>
      <c r="E75" s="40"/>
      <c r="F75" s="119"/>
      <c r="G75" s="41"/>
      <c r="I75" s="29"/>
      <c r="J75" s="43"/>
      <c r="K75" s="40"/>
      <c r="L75" s="40"/>
      <c r="M75" s="119"/>
      <c r="N75" s="41"/>
      <c r="P75" s="29"/>
      <c r="Q75" s="43"/>
      <c r="R75" s="40"/>
      <c r="S75" s="40"/>
      <c r="T75" s="119"/>
      <c r="U75" s="41"/>
      <c r="W75" s="33"/>
      <c r="X75" s="34"/>
      <c r="Y75" s="35"/>
      <c r="Z75" s="35"/>
      <c r="AA75" s="35"/>
      <c r="AB75" s="36"/>
      <c r="AC75" s="32"/>
    </row>
    <row r="76" spans="2:29" ht="21" customHeight="1">
      <c r="B76" s="396" t="s">
        <v>345</v>
      </c>
      <c r="C76" s="399">
        <f>COUNTIFS('1. All Data'!$AC$3:$AC$129,"Regeneration &amp; Planning Policy",'1. All Data'!$H$3:$H$129,"In Danger of Falling Behind Target")</f>
        <v>0</v>
      </c>
      <c r="D76" s="404">
        <f>C76/C87</f>
        <v>0</v>
      </c>
      <c r="E76" s="404">
        <f>D76</f>
        <v>0</v>
      </c>
      <c r="F76" s="390">
        <f>C76/C88</f>
        <v>0</v>
      </c>
      <c r="G76" s="393">
        <f>F76</f>
        <v>0</v>
      </c>
      <c r="I76" s="396" t="s">
        <v>345</v>
      </c>
      <c r="J76" s="399">
        <f>COUNTIFS('1. All Data'!$AC$3:$AC$129,"Regeneration &amp; Planning Policy",'1. All Data'!$M$3:$M$129,"In Danger of Falling Behind Target")</f>
        <v>0</v>
      </c>
      <c r="K76" s="404">
        <f>J76/J87</f>
        <v>0</v>
      </c>
      <c r="L76" s="404">
        <f>K76</f>
        <v>0</v>
      </c>
      <c r="M76" s="390">
        <f>J76/J88</f>
        <v>0</v>
      </c>
      <c r="N76" s="393">
        <f>M76</f>
        <v>0</v>
      </c>
      <c r="P76" s="396" t="s">
        <v>345</v>
      </c>
      <c r="Q76" s="399">
        <f>COUNTIFS('1. All Data'!$AC$3:$AC$129,"Regeneration &amp; Planning Policy",'1. All Data'!$R$3:$R$129,"In Danger of Falling Behind Target")</f>
        <v>0</v>
      </c>
      <c r="R76" s="404">
        <f>Q76/Q87</f>
        <v>0</v>
      </c>
      <c r="S76" s="404">
        <f>R76</f>
        <v>0</v>
      </c>
      <c r="T76" s="390" t="e">
        <f>Q76/Q88</f>
        <v>#DIV/0!</v>
      </c>
      <c r="U76" s="393" t="e">
        <f>T76</f>
        <v>#DIV/0!</v>
      </c>
      <c r="W76" s="91" t="s">
        <v>337</v>
      </c>
      <c r="X76" s="92"/>
      <c r="Y76" s="73"/>
      <c r="Z76" s="365"/>
      <c r="AA76" s="73"/>
      <c r="AB76" s="366">
        <f>AA76</f>
        <v>0</v>
      </c>
      <c r="AC76" s="32"/>
    </row>
    <row r="77" spans="2:29" ht="18.75" customHeight="1">
      <c r="B77" s="397"/>
      <c r="C77" s="400"/>
      <c r="D77" s="405"/>
      <c r="E77" s="405"/>
      <c r="F77" s="391"/>
      <c r="G77" s="394"/>
      <c r="I77" s="397"/>
      <c r="J77" s="400"/>
      <c r="K77" s="405"/>
      <c r="L77" s="405"/>
      <c r="M77" s="391"/>
      <c r="N77" s="394"/>
      <c r="P77" s="397"/>
      <c r="Q77" s="400"/>
      <c r="R77" s="405"/>
      <c r="S77" s="405"/>
      <c r="T77" s="391"/>
      <c r="U77" s="394"/>
      <c r="W77" s="91" t="s">
        <v>338</v>
      </c>
      <c r="X77" s="92"/>
      <c r="Y77" s="73"/>
      <c r="Z77" s="365"/>
      <c r="AA77" s="73"/>
      <c r="AB77" s="366"/>
      <c r="AC77" s="32"/>
    </row>
    <row r="78" spans="2:29" ht="20.25" customHeight="1">
      <c r="B78" s="398"/>
      <c r="C78" s="401"/>
      <c r="D78" s="406"/>
      <c r="E78" s="406"/>
      <c r="F78" s="392"/>
      <c r="G78" s="395"/>
      <c r="I78" s="398"/>
      <c r="J78" s="401"/>
      <c r="K78" s="406"/>
      <c r="L78" s="406"/>
      <c r="M78" s="392"/>
      <c r="N78" s="395"/>
      <c r="P78" s="398"/>
      <c r="Q78" s="401"/>
      <c r="R78" s="406"/>
      <c r="S78" s="406"/>
      <c r="T78" s="392"/>
      <c r="U78" s="395"/>
      <c r="W78" s="91" t="s">
        <v>341</v>
      </c>
      <c r="X78" s="92"/>
      <c r="Y78" s="73"/>
      <c r="Z78" s="365"/>
      <c r="AA78" s="73"/>
      <c r="AB78" s="366"/>
      <c r="AC78" s="32"/>
    </row>
    <row r="79" spans="2:29" ht="6" customHeight="1">
      <c r="B79" s="29"/>
      <c r="C79" s="30"/>
      <c r="D79" s="40"/>
      <c r="E79" s="40"/>
      <c r="F79" s="119"/>
      <c r="G79" s="41"/>
      <c r="I79" s="29"/>
      <c r="J79" s="30"/>
      <c r="K79" s="40"/>
      <c r="L79" s="40"/>
      <c r="M79" s="119"/>
      <c r="N79" s="41"/>
      <c r="P79" s="29"/>
      <c r="Q79" s="30"/>
      <c r="R79" s="40"/>
      <c r="S79" s="40"/>
      <c r="T79" s="119"/>
      <c r="U79" s="41"/>
      <c r="W79" s="29"/>
      <c r="X79" s="30"/>
      <c r="Y79" s="40"/>
      <c r="Z79" s="40"/>
      <c r="AA79" s="40"/>
      <c r="AB79" s="41"/>
      <c r="AC79" s="32"/>
    </row>
    <row r="80" spans="2:29" ht="30" customHeight="1">
      <c r="B80" s="156" t="s">
        <v>346</v>
      </c>
      <c r="C80" s="153">
        <f>COUNTIFS('1. All Data'!$AC$3:$AC$129,"Regeneration &amp; Planning Policy",'1. All Data'!$H$3:$H$129,"Completed Behind Schedule")</f>
        <v>0</v>
      </c>
      <c r="D80" s="154">
        <f>C80/C87</f>
        <v>0</v>
      </c>
      <c r="E80" s="402">
        <f>D80+D81</f>
        <v>3.4482758620689655E-2</v>
      </c>
      <c r="F80" s="155">
        <f>C80/C88</f>
        <v>0</v>
      </c>
      <c r="G80" s="403">
        <f>F80+F81</f>
        <v>3.8461538461538464E-2</v>
      </c>
      <c r="I80" s="156" t="s">
        <v>346</v>
      </c>
      <c r="J80" s="153">
        <f>COUNTIFS('1. All Data'!$AC$3:$AC$129,"Regeneration &amp; Planning Policy",'1. All Data'!$M$3:$M$129,"Completed Behind Schedule")</f>
        <v>1</v>
      </c>
      <c r="K80" s="154">
        <f>J80/J87</f>
        <v>3.4482758620689655E-2</v>
      </c>
      <c r="L80" s="402">
        <f>K80+K81</f>
        <v>3.4482758620689655E-2</v>
      </c>
      <c r="M80" s="155">
        <f>J80/J88</f>
        <v>3.7037037037037035E-2</v>
      </c>
      <c r="N80" s="403">
        <f>M80+M81</f>
        <v>3.7037037037037035E-2</v>
      </c>
      <c r="P80" s="156" t="s">
        <v>346</v>
      </c>
      <c r="Q80" s="153">
        <f>COUNTIFS('1. All Data'!$AC$3:$AC$129,"Regeneration &amp; Planning Policy",'1. All Data'!$R$3:$R$129,"Completed Behind Schedule")</f>
        <v>0</v>
      </c>
      <c r="R80" s="154">
        <f>Q80/Q87</f>
        <v>0</v>
      </c>
      <c r="S80" s="402">
        <f>R80+R81</f>
        <v>0</v>
      </c>
      <c r="T80" s="155" t="e">
        <f>Q80/Q88</f>
        <v>#DIV/0!</v>
      </c>
      <c r="U80" s="403" t="e">
        <f>T80+T81</f>
        <v>#DIV/0!</v>
      </c>
      <c r="W80" s="74" t="s">
        <v>340</v>
      </c>
      <c r="X80" s="93"/>
      <c r="Y80" s="73"/>
      <c r="Z80" s="365"/>
      <c r="AA80" s="73"/>
      <c r="AB80" s="367">
        <f>AA80+AA81</f>
        <v>0</v>
      </c>
      <c r="AC80" s="32"/>
    </row>
    <row r="81" spans="2:29" ht="30" customHeight="1">
      <c r="B81" s="156" t="s">
        <v>339</v>
      </c>
      <c r="C81" s="153">
        <f>COUNTIFS('1. All Data'!$AC$3:$AC$129,"Regeneration &amp; Planning Policy",'1. All Data'!$H$3:$H$129,"Off Target")</f>
        <v>1</v>
      </c>
      <c r="D81" s="154">
        <f>C81/C87</f>
        <v>3.4482758620689655E-2</v>
      </c>
      <c r="E81" s="402"/>
      <c r="F81" s="155">
        <f>C81/C88</f>
        <v>3.8461538461538464E-2</v>
      </c>
      <c r="G81" s="403"/>
      <c r="I81" s="156" t="s">
        <v>339</v>
      </c>
      <c r="J81" s="153">
        <f>COUNTIFS('1. All Data'!$AC$3:$AC$129,"Regeneration &amp; Planning Policy",'1. All Data'!$M$3:$M$129,"Off Target")</f>
        <v>0</v>
      </c>
      <c r="K81" s="154">
        <f>J81/J87</f>
        <v>0</v>
      </c>
      <c r="L81" s="402"/>
      <c r="M81" s="155">
        <f>J81/J88</f>
        <v>0</v>
      </c>
      <c r="N81" s="403"/>
      <c r="P81" s="156" t="s">
        <v>339</v>
      </c>
      <c r="Q81" s="153">
        <f>COUNTIFS('1. All Data'!$AC$3:$AC$129,"Regeneration &amp; Planning Policy",'1. All Data'!$R$3:$R$129,"Off Target")</f>
        <v>0</v>
      </c>
      <c r="R81" s="154">
        <f>Q81/Q87</f>
        <v>0</v>
      </c>
      <c r="S81" s="402"/>
      <c r="T81" s="155" t="e">
        <f>Q81/Q88</f>
        <v>#DIV/0!</v>
      </c>
      <c r="U81" s="403"/>
      <c r="W81" s="74" t="s">
        <v>339</v>
      </c>
      <c r="X81" s="93"/>
      <c r="Y81" s="73"/>
      <c r="Z81" s="365"/>
      <c r="AA81" s="73"/>
      <c r="AB81" s="367"/>
      <c r="AC81" s="32"/>
    </row>
    <row r="82" spans="2:29" ht="5.25" customHeight="1">
      <c r="B82" s="29"/>
      <c r="C82" s="43"/>
      <c r="D82" s="40"/>
      <c r="E82" s="40"/>
      <c r="F82" s="119"/>
      <c r="G82" s="44"/>
      <c r="I82" s="29"/>
      <c r="J82" s="43"/>
      <c r="K82" s="40"/>
      <c r="L82" s="40"/>
      <c r="M82" s="119"/>
      <c r="N82" s="44"/>
      <c r="P82" s="29"/>
      <c r="Q82" s="43"/>
      <c r="R82" s="40"/>
      <c r="S82" s="40"/>
      <c r="T82" s="119"/>
      <c r="U82" s="44"/>
      <c r="W82" s="29"/>
      <c r="X82" s="43"/>
      <c r="Y82" s="40"/>
      <c r="Z82" s="40"/>
      <c r="AA82" s="40"/>
      <c r="AB82" s="44"/>
      <c r="AC82" s="32"/>
    </row>
    <row r="83" spans="2:29" ht="15.75" customHeight="1">
      <c r="B83" s="159" t="s">
        <v>394</v>
      </c>
      <c r="C83" s="153">
        <f>COUNTIFS('1. All Data'!$AC$3:$AC$129,"Regeneration &amp; Planning Policy",'1. All Data'!$H$3:$H$129,"Not yet due")</f>
        <v>3</v>
      </c>
      <c r="D83" s="157">
        <f>C83/C87</f>
        <v>0.10344827586206896</v>
      </c>
      <c r="E83" s="157">
        <f>D83</f>
        <v>0.10344827586206896</v>
      </c>
      <c r="F83" s="120"/>
      <c r="G83" s="46"/>
      <c r="I83" s="159" t="s">
        <v>394</v>
      </c>
      <c r="J83" s="153">
        <f>COUNTIFS('1. All Data'!$AC$3:$AC$129,"Regeneration &amp; Planning Policy",'1. All Data'!$M$3:$M$129,"Not yet due")</f>
        <v>2</v>
      </c>
      <c r="K83" s="157">
        <f>J83/J87</f>
        <v>6.8965517241379309E-2</v>
      </c>
      <c r="L83" s="157">
        <f>K83</f>
        <v>6.8965517241379309E-2</v>
      </c>
      <c r="M83" s="120"/>
      <c r="N83" s="46"/>
      <c r="P83" s="159" t="s">
        <v>394</v>
      </c>
      <c r="Q83" s="153">
        <f>COUNTIFS('1. All Data'!$AC$3:$AC$129,"Regeneration &amp; Planning Policy",'1. All Data'!$R$3:$R$129,"Not yet due")</f>
        <v>0</v>
      </c>
      <c r="R83" s="157">
        <f>Q83/Q87</f>
        <v>0</v>
      </c>
      <c r="S83" s="157">
        <f>R83</f>
        <v>0</v>
      </c>
      <c r="T83" s="120"/>
      <c r="U83" s="46"/>
      <c r="W83" s="75" t="s">
        <v>394</v>
      </c>
      <c r="X83" s="71"/>
      <c r="Y83" s="76"/>
      <c r="Z83" s="76"/>
      <c r="AA83" s="45"/>
      <c r="AB83" s="46"/>
      <c r="AC83" s="32"/>
    </row>
    <row r="84" spans="2:29" ht="15.75" customHeight="1">
      <c r="B84" s="159" t="s">
        <v>334</v>
      </c>
      <c r="C84" s="153">
        <f>COUNTIFS('1. All Data'!$AC$3:$AC$129,"Regeneration &amp; Planning Policy",'1. All Data'!$H$3:$H$129,"Update not provided")</f>
        <v>0</v>
      </c>
      <c r="D84" s="157">
        <f>C84/C87</f>
        <v>0</v>
      </c>
      <c r="E84" s="157">
        <f>D84</f>
        <v>0</v>
      </c>
      <c r="F84" s="120"/>
      <c r="G84" s="48"/>
      <c r="I84" s="159" t="s">
        <v>334</v>
      </c>
      <c r="J84" s="153">
        <f>COUNTIFS('1. All Data'!$AC$3:$AC$129,"Regeneration &amp; Planning Policy",'1. All Data'!$M$3:$M$129,"Update not provided")</f>
        <v>0</v>
      </c>
      <c r="K84" s="157">
        <f>J84/J87</f>
        <v>0</v>
      </c>
      <c r="L84" s="157">
        <f>K84</f>
        <v>0</v>
      </c>
      <c r="M84" s="120"/>
      <c r="N84" s="48"/>
      <c r="P84" s="159" t="s">
        <v>334</v>
      </c>
      <c r="Q84" s="153">
        <f>COUNTIFS('1. All Data'!$AC$3:$AC$129,"Regeneration &amp; Planning Policy",'1. All Data'!$R$3:$R$129,"Update not provided")</f>
        <v>29</v>
      </c>
      <c r="R84" s="157">
        <f>Q84/Q87</f>
        <v>1</v>
      </c>
      <c r="S84" s="157">
        <f>R84</f>
        <v>1</v>
      </c>
      <c r="T84" s="120"/>
      <c r="U84" s="48"/>
      <c r="W84" s="75" t="s">
        <v>334</v>
      </c>
      <c r="X84" s="71"/>
      <c r="Y84" s="76"/>
      <c r="Z84" s="76"/>
      <c r="AA84" s="45"/>
      <c r="AB84" s="48"/>
      <c r="AC84" s="32"/>
    </row>
    <row r="85" spans="2:29" ht="15.75" customHeight="1">
      <c r="B85" s="160" t="s">
        <v>342</v>
      </c>
      <c r="C85" s="153">
        <f>COUNTIFS('1. All Data'!$AC$3:$AC$129,"Regeneration &amp; Planning Policy",'1. All Data'!$H$3:$H$129,"Deferred")</f>
        <v>0</v>
      </c>
      <c r="D85" s="158">
        <f>C85/C87</f>
        <v>0</v>
      </c>
      <c r="E85" s="158">
        <f>D85</f>
        <v>0</v>
      </c>
      <c r="F85" s="121"/>
      <c r="G85" s="46"/>
      <c r="I85" s="160" t="s">
        <v>342</v>
      </c>
      <c r="J85" s="153">
        <f>COUNTIFS('1. All Data'!$AC$3:$AC$129,"Regeneration &amp; Planning Policy",'1. All Data'!$M$3:$M$129,"Deferred")</f>
        <v>0</v>
      </c>
      <c r="K85" s="158">
        <f>J85/J87</f>
        <v>0</v>
      </c>
      <c r="L85" s="158">
        <f>K85</f>
        <v>0</v>
      </c>
      <c r="M85" s="121"/>
      <c r="N85" s="46"/>
      <c r="P85" s="160" t="s">
        <v>342</v>
      </c>
      <c r="Q85" s="153">
        <f>COUNTIFS('1. All Data'!$AC$3:$AC$129,"Regeneration &amp; Planning Policy",'1. All Data'!$R$3:$R$129,"Deferred")</f>
        <v>0</v>
      </c>
      <c r="R85" s="158">
        <f>Q85/Q87</f>
        <v>0</v>
      </c>
      <c r="S85" s="158">
        <f>R85</f>
        <v>0</v>
      </c>
      <c r="T85" s="121"/>
      <c r="U85" s="46"/>
      <c r="W85" s="77" t="s">
        <v>342</v>
      </c>
      <c r="X85" s="71"/>
      <c r="Y85" s="78"/>
      <c r="Z85" s="78"/>
      <c r="AA85" s="50"/>
      <c r="AB85" s="46"/>
      <c r="AC85" s="32"/>
    </row>
    <row r="86" spans="2:29" ht="15.75" customHeight="1">
      <c r="B86" s="160" t="s">
        <v>343</v>
      </c>
      <c r="C86" s="153">
        <f>COUNTIFS('1. All Data'!$AC$3:$AC$129,"Regeneration &amp; Planning Policy",'1. All Data'!$H$3:$H$129,"Deleted")</f>
        <v>0</v>
      </c>
      <c r="D86" s="158">
        <f>C86/C87</f>
        <v>0</v>
      </c>
      <c r="E86" s="158">
        <f>D86</f>
        <v>0</v>
      </c>
      <c r="F86" s="121"/>
      <c r="G86" s="122" t="s">
        <v>395</v>
      </c>
      <c r="I86" s="160" t="s">
        <v>343</v>
      </c>
      <c r="J86" s="153">
        <f>COUNTIFS('1. All Data'!$AC$3:$AC$129,"Regeneration &amp; Planning Policy",'1. All Data'!$M$3:$M$129,"Deleted")</f>
        <v>0</v>
      </c>
      <c r="K86" s="158">
        <f>J86/J87</f>
        <v>0</v>
      </c>
      <c r="L86" s="158">
        <f>K86</f>
        <v>0</v>
      </c>
      <c r="M86" s="121"/>
      <c r="N86" s="122" t="s">
        <v>395</v>
      </c>
      <c r="P86" s="160" t="s">
        <v>343</v>
      </c>
      <c r="Q86" s="153">
        <f>COUNTIFS('1. All Data'!$AC$3:$AC$129,"Regeneration &amp; Planning Policy",'1. All Data'!$R$3:$R$129,"Deleted")</f>
        <v>0</v>
      </c>
      <c r="R86" s="158">
        <f>Q86/Q87</f>
        <v>0</v>
      </c>
      <c r="S86" s="158">
        <f>R86</f>
        <v>0</v>
      </c>
      <c r="T86" s="121"/>
      <c r="U86" s="122" t="s">
        <v>395</v>
      </c>
      <c r="W86" s="77" t="s">
        <v>343</v>
      </c>
      <c r="X86" s="71"/>
      <c r="Y86" s="78"/>
      <c r="Z86" s="78"/>
      <c r="AA86" s="50"/>
      <c r="AB86" s="52" t="s">
        <v>395</v>
      </c>
      <c r="AC86" s="32"/>
    </row>
    <row r="87" spans="2:29" ht="15.75" customHeight="1">
      <c r="B87" s="161" t="s">
        <v>396</v>
      </c>
      <c r="C87" s="162">
        <f>SUM(C73:C86)</f>
        <v>29</v>
      </c>
      <c r="D87" s="50"/>
      <c r="E87" s="50"/>
      <c r="F87" s="123"/>
      <c r="G87" s="46"/>
      <c r="I87" s="161" t="s">
        <v>396</v>
      </c>
      <c r="J87" s="162">
        <f>SUM(J73:J86)</f>
        <v>29</v>
      </c>
      <c r="K87" s="50"/>
      <c r="L87" s="50"/>
      <c r="M87" s="123"/>
      <c r="N87" s="46"/>
      <c r="P87" s="161" t="s">
        <v>396</v>
      </c>
      <c r="Q87" s="162">
        <f>SUM(Q73:Q86)</f>
        <v>29</v>
      </c>
      <c r="R87" s="50"/>
      <c r="S87" s="50"/>
      <c r="T87" s="123"/>
      <c r="U87" s="46"/>
      <c r="W87" s="79" t="s">
        <v>396</v>
      </c>
      <c r="X87" s="80"/>
      <c r="Y87" s="50"/>
      <c r="Z87" s="50"/>
      <c r="AA87" s="46"/>
      <c r="AB87" s="46"/>
      <c r="AC87" s="32"/>
    </row>
    <row r="88" spans="2:29" ht="15.75" customHeight="1">
      <c r="B88" s="161" t="s">
        <v>397</v>
      </c>
      <c r="C88" s="162">
        <f>C87-C86-C85-C84-C83</f>
        <v>26</v>
      </c>
      <c r="D88" s="46"/>
      <c r="E88" s="46"/>
      <c r="F88" s="123"/>
      <c r="G88" s="46"/>
      <c r="I88" s="161" t="s">
        <v>397</v>
      </c>
      <c r="J88" s="162">
        <f>J87-J86-J85-J84-J83</f>
        <v>27</v>
      </c>
      <c r="K88" s="46"/>
      <c r="L88" s="46"/>
      <c r="M88" s="123"/>
      <c r="N88" s="46"/>
      <c r="P88" s="161" t="s">
        <v>397</v>
      </c>
      <c r="Q88" s="162">
        <f>Q87-Q86-Q85-Q84-Q83</f>
        <v>0</v>
      </c>
      <c r="R88" s="46"/>
      <c r="S88" s="46"/>
      <c r="T88" s="123"/>
      <c r="U88" s="46"/>
      <c r="W88" s="79" t="s">
        <v>397</v>
      </c>
      <c r="X88" s="80"/>
      <c r="Y88" s="46"/>
      <c r="Z88" s="46"/>
      <c r="AA88" s="46"/>
      <c r="AB88" s="46"/>
      <c r="AC88" s="32"/>
    </row>
    <row r="89" spans="2:29" ht="15.75" customHeight="1">
      <c r="W89" s="53"/>
      <c r="AA89" s="47"/>
      <c r="AC89" s="32"/>
    </row>
    <row r="90" spans="2:29" ht="15.75" customHeight="1">
      <c r="W90" s="31"/>
      <c r="X90" s="31"/>
      <c r="Y90" s="31"/>
      <c r="Z90" s="31"/>
      <c r="AA90" s="31"/>
      <c r="AB90" s="51"/>
      <c r="AC90" s="32"/>
    </row>
    <row r="91" spans="2:29" s="32" customFormat="1" ht="15.75" customHeight="1">
      <c r="B91" s="59"/>
      <c r="C91" s="31"/>
      <c r="D91" s="31"/>
      <c r="E91" s="31"/>
      <c r="F91" s="123"/>
      <c r="G91" s="31"/>
      <c r="I91" s="59"/>
      <c r="J91" s="31"/>
      <c r="K91" s="31"/>
      <c r="L91" s="31"/>
      <c r="M91" s="123"/>
      <c r="N91" s="31"/>
      <c r="P91" s="59"/>
      <c r="Q91" s="31"/>
      <c r="R91" s="31"/>
      <c r="S91" s="31"/>
      <c r="T91" s="123"/>
      <c r="U91" s="31"/>
      <c r="W91" s="31"/>
      <c r="X91" s="31"/>
      <c r="Y91" s="31"/>
      <c r="Z91" s="31"/>
      <c r="AA91" s="31"/>
      <c r="AB91" s="51"/>
    </row>
    <row r="92" spans="2:29" s="32" customFormat="1" ht="15.75">
      <c r="B92" s="172" t="s">
        <v>429</v>
      </c>
      <c r="C92" s="164"/>
      <c r="D92" s="164"/>
      <c r="E92" s="164"/>
      <c r="F92" s="165"/>
      <c r="G92" s="164"/>
      <c r="I92" s="172" t="s">
        <v>429</v>
      </c>
      <c r="J92" s="164"/>
      <c r="K92" s="164"/>
      <c r="L92" s="164"/>
      <c r="M92" s="165"/>
      <c r="N92" s="164"/>
      <c r="P92" s="172" t="s">
        <v>429</v>
      </c>
      <c r="Q92" s="164"/>
      <c r="R92" s="164"/>
      <c r="S92" s="164"/>
      <c r="T92" s="165"/>
      <c r="U92" s="164"/>
      <c r="W92" s="163" t="s">
        <v>425</v>
      </c>
      <c r="X92" s="164"/>
      <c r="Y92" s="164"/>
      <c r="Z92" s="164"/>
      <c r="AA92" s="165"/>
      <c r="AB92" s="164"/>
    </row>
    <row r="93" spans="2:29" ht="36" customHeight="1">
      <c r="B93" s="166" t="s">
        <v>387</v>
      </c>
      <c r="C93" s="167" t="s">
        <v>388</v>
      </c>
      <c r="D93" s="167" t="s">
        <v>389</v>
      </c>
      <c r="E93" s="167" t="s">
        <v>390</v>
      </c>
      <c r="F93" s="166" t="s">
        <v>391</v>
      </c>
      <c r="G93" s="167" t="s">
        <v>392</v>
      </c>
      <c r="I93" s="166" t="s">
        <v>387</v>
      </c>
      <c r="J93" s="167" t="s">
        <v>388</v>
      </c>
      <c r="K93" s="167" t="s">
        <v>389</v>
      </c>
      <c r="L93" s="167" t="s">
        <v>390</v>
      </c>
      <c r="M93" s="166" t="s">
        <v>391</v>
      </c>
      <c r="N93" s="167" t="s">
        <v>392</v>
      </c>
      <c r="P93" s="166" t="s">
        <v>387</v>
      </c>
      <c r="Q93" s="167" t="s">
        <v>388</v>
      </c>
      <c r="R93" s="167" t="s">
        <v>389</v>
      </c>
      <c r="S93" s="167" t="s">
        <v>390</v>
      </c>
      <c r="T93" s="166" t="s">
        <v>391</v>
      </c>
      <c r="U93" s="167" t="s">
        <v>392</v>
      </c>
      <c r="W93" s="84" t="s">
        <v>387</v>
      </c>
      <c r="X93" s="84" t="s">
        <v>388</v>
      </c>
      <c r="Y93" s="84" t="s">
        <v>389</v>
      </c>
      <c r="Z93" s="84" t="s">
        <v>390</v>
      </c>
      <c r="AA93" s="84" t="s">
        <v>391</v>
      </c>
      <c r="AB93" s="84" t="s">
        <v>392</v>
      </c>
      <c r="AC93" s="32"/>
    </row>
    <row r="94" spans="2:29" s="32" customFormat="1" ht="7.5" customHeight="1">
      <c r="B94" s="29"/>
      <c r="C94" s="30"/>
      <c r="D94" s="30"/>
      <c r="E94" s="30"/>
      <c r="F94" s="29"/>
      <c r="G94" s="30"/>
      <c r="I94" s="29"/>
      <c r="J94" s="30"/>
      <c r="K94" s="30"/>
      <c r="L94" s="30"/>
      <c r="M94" s="29"/>
      <c r="N94" s="30"/>
      <c r="P94" s="29"/>
      <c r="Q94" s="30"/>
      <c r="R94" s="30"/>
      <c r="S94" s="30"/>
      <c r="T94" s="29"/>
      <c r="U94" s="30"/>
      <c r="W94" s="29"/>
      <c r="X94" s="30"/>
      <c r="Y94" s="30"/>
      <c r="Z94" s="30"/>
      <c r="AA94" s="30"/>
      <c r="AB94" s="30"/>
    </row>
    <row r="95" spans="2:29" ht="18.75" customHeight="1">
      <c r="B95" s="152" t="s">
        <v>393</v>
      </c>
      <c r="C95" s="153">
        <f>COUNTIFS('1. All Data'!$AC$3:$AC$129,"Regulatory &amp; Community Support",'1. All Data'!$H$3:$H$129,"Fully Achieved")</f>
        <v>1</v>
      </c>
      <c r="D95" s="154">
        <f>C95/C109</f>
        <v>7.6923076923076927E-2</v>
      </c>
      <c r="E95" s="402">
        <f>D95+D96</f>
        <v>0.92307692307692313</v>
      </c>
      <c r="F95" s="155">
        <f>C95/C110</f>
        <v>8.3333333333333329E-2</v>
      </c>
      <c r="G95" s="407">
        <f>F95+F96</f>
        <v>1</v>
      </c>
      <c r="I95" s="152" t="s">
        <v>393</v>
      </c>
      <c r="J95" s="153">
        <f>COUNTIFS('1. All Data'!$AC$3:$AC$129,"Regulatory &amp; Community Support",'1. All Data'!$M$3:$M$129,"Fully Achieved")</f>
        <v>5</v>
      </c>
      <c r="K95" s="154">
        <f>J95/J109</f>
        <v>0.38461538461538464</v>
      </c>
      <c r="L95" s="402">
        <f>K95+K96</f>
        <v>1</v>
      </c>
      <c r="M95" s="155">
        <f>J95/J110</f>
        <v>0.38461538461538464</v>
      </c>
      <c r="N95" s="407">
        <f>M95+M96</f>
        <v>1</v>
      </c>
      <c r="P95" s="152" t="s">
        <v>393</v>
      </c>
      <c r="Q95" s="153">
        <f>COUNTIFS('1. All Data'!$AC$3:$AC$129,"Regulatory &amp; Community Support",'1. All Data'!$R$3:$R$129,"Fully Achieved")</f>
        <v>0</v>
      </c>
      <c r="R95" s="154">
        <f>Q95/Q109</f>
        <v>0</v>
      </c>
      <c r="S95" s="402">
        <f>R95+R96</f>
        <v>0</v>
      </c>
      <c r="T95" s="155" t="e">
        <f>Q95/Q110</f>
        <v>#DIV/0!</v>
      </c>
      <c r="U95" s="407" t="e">
        <f>T95+T96</f>
        <v>#DIV/0!</v>
      </c>
      <c r="W95" s="70" t="s">
        <v>393</v>
      </c>
      <c r="X95" s="71"/>
      <c r="Y95" s="73"/>
      <c r="Z95" s="365"/>
      <c r="AA95" s="73"/>
      <c r="AB95" s="380">
        <f>AA95+AA96</f>
        <v>0</v>
      </c>
      <c r="AC95" s="32"/>
    </row>
    <row r="96" spans="2:29" ht="18.75" customHeight="1">
      <c r="B96" s="152" t="s">
        <v>344</v>
      </c>
      <c r="C96" s="153">
        <f>COUNTIFS('1. All Data'!$AC$3:$AC$129,"Regulatory &amp; Community Support",'1. All Data'!$H$3:$H$129,"On Track to be Achieved")</f>
        <v>11</v>
      </c>
      <c r="D96" s="154">
        <f>C96/C109</f>
        <v>0.84615384615384615</v>
      </c>
      <c r="E96" s="402"/>
      <c r="F96" s="155">
        <f>C96/C110</f>
        <v>0.91666666666666663</v>
      </c>
      <c r="G96" s="407"/>
      <c r="I96" s="152" t="s">
        <v>344</v>
      </c>
      <c r="J96" s="153">
        <f>COUNTIFS('1. All Data'!$AC$3:$AC$129,"Regulatory &amp; Community Support",'1. All Data'!$M$3:$M$129,"On Track to be Achieved")</f>
        <v>8</v>
      </c>
      <c r="K96" s="154">
        <f>J96/J109</f>
        <v>0.61538461538461542</v>
      </c>
      <c r="L96" s="402"/>
      <c r="M96" s="155">
        <f>J96/J110</f>
        <v>0.61538461538461542</v>
      </c>
      <c r="N96" s="407"/>
      <c r="P96" s="152" t="s">
        <v>344</v>
      </c>
      <c r="Q96" s="153">
        <f>COUNTIFS('1. All Data'!$AC$3:$AC$129,"Regulatory &amp; Community Support",'1. All Data'!$R$3:$R$129,"On Track to be Achieved")</f>
        <v>0</v>
      </c>
      <c r="R96" s="154">
        <f>Q96/Q109</f>
        <v>0</v>
      </c>
      <c r="S96" s="402"/>
      <c r="T96" s="155" t="e">
        <f>Q96/Q110</f>
        <v>#DIV/0!</v>
      </c>
      <c r="U96" s="407"/>
      <c r="W96" s="70" t="s">
        <v>344</v>
      </c>
      <c r="X96" s="71"/>
      <c r="Y96" s="73"/>
      <c r="Z96" s="365"/>
      <c r="AA96" s="73"/>
      <c r="AB96" s="380"/>
      <c r="AC96" s="32"/>
    </row>
    <row r="97" spans="2:29" s="32" customFormat="1" ht="6.75" customHeight="1">
      <c r="B97" s="29"/>
      <c r="C97" s="43"/>
      <c r="D97" s="40"/>
      <c r="E97" s="40"/>
      <c r="F97" s="119"/>
      <c r="G97" s="41"/>
      <c r="I97" s="29"/>
      <c r="J97" s="43"/>
      <c r="K97" s="40"/>
      <c r="L97" s="40"/>
      <c r="M97" s="119"/>
      <c r="N97" s="41"/>
      <c r="P97" s="29"/>
      <c r="Q97" s="43"/>
      <c r="R97" s="40"/>
      <c r="S97" s="40"/>
      <c r="T97" s="119"/>
      <c r="U97" s="41"/>
      <c r="W97" s="33"/>
      <c r="X97" s="34"/>
      <c r="Y97" s="35"/>
      <c r="Z97" s="35"/>
      <c r="AA97" s="35"/>
      <c r="AB97" s="36"/>
    </row>
    <row r="98" spans="2:29" ht="16.5" customHeight="1">
      <c r="B98" s="396" t="s">
        <v>345</v>
      </c>
      <c r="C98" s="399">
        <f>COUNTIFS('1. All Data'!$AC$3:$AC$129,"Regulatory &amp; Community Support",'1. All Data'!$H$3:$H$129,"In Danger of Falling Behind Target")</f>
        <v>0</v>
      </c>
      <c r="D98" s="404">
        <f>C98/C109</f>
        <v>0</v>
      </c>
      <c r="E98" s="404">
        <f>D98</f>
        <v>0</v>
      </c>
      <c r="F98" s="390">
        <f>C98/C110</f>
        <v>0</v>
      </c>
      <c r="G98" s="393">
        <f>F98</f>
        <v>0</v>
      </c>
      <c r="I98" s="396" t="s">
        <v>345</v>
      </c>
      <c r="J98" s="399">
        <f>COUNTIFS('1. All Data'!$AC$3:$AC$129,"Regulatory &amp; Community Support",'1. All Data'!$M$3:$M$129,"In Danger of Falling Behind Target")</f>
        <v>0</v>
      </c>
      <c r="K98" s="404">
        <f>J98/J109</f>
        <v>0</v>
      </c>
      <c r="L98" s="404">
        <f>K98</f>
        <v>0</v>
      </c>
      <c r="M98" s="390">
        <f>J98/J110</f>
        <v>0</v>
      </c>
      <c r="N98" s="393">
        <f>M98</f>
        <v>0</v>
      </c>
      <c r="P98" s="396" t="s">
        <v>345</v>
      </c>
      <c r="Q98" s="399">
        <f>COUNTIFS('1. All Data'!$AC$3:$AC$129,"Regulatory &amp; Community Support",'1. All Data'!$R$3:$R$129,"In Danger of Falling Behind Target")</f>
        <v>0</v>
      </c>
      <c r="R98" s="404">
        <f>Q98/Q109</f>
        <v>0</v>
      </c>
      <c r="S98" s="404">
        <f>R98</f>
        <v>0</v>
      </c>
      <c r="T98" s="390" t="e">
        <f>Q98/Q110</f>
        <v>#DIV/0!</v>
      </c>
      <c r="U98" s="393" t="e">
        <f>T98</f>
        <v>#DIV/0!</v>
      </c>
      <c r="W98" s="91" t="s">
        <v>337</v>
      </c>
      <c r="X98" s="92"/>
      <c r="Y98" s="73"/>
      <c r="Z98" s="365"/>
      <c r="AA98" s="73"/>
      <c r="AB98" s="366">
        <f>AA98</f>
        <v>0</v>
      </c>
      <c r="AC98" s="32"/>
    </row>
    <row r="99" spans="2:29" ht="16.5" customHeight="1">
      <c r="B99" s="397"/>
      <c r="C99" s="400"/>
      <c r="D99" s="405"/>
      <c r="E99" s="405"/>
      <c r="F99" s="391"/>
      <c r="G99" s="394"/>
      <c r="I99" s="397"/>
      <c r="J99" s="400"/>
      <c r="K99" s="405"/>
      <c r="L99" s="405"/>
      <c r="M99" s="391"/>
      <c r="N99" s="394"/>
      <c r="P99" s="397"/>
      <c r="Q99" s="400"/>
      <c r="R99" s="405"/>
      <c r="S99" s="405"/>
      <c r="T99" s="391"/>
      <c r="U99" s="394"/>
      <c r="W99" s="91" t="s">
        <v>338</v>
      </c>
      <c r="X99" s="92"/>
      <c r="Y99" s="73"/>
      <c r="Z99" s="365"/>
      <c r="AA99" s="73"/>
      <c r="AB99" s="366"/>
      <c r="AC99" s="32"/>
    </row>
    <row r="100" spans="2:29" ht="16.5" customHeight="1">
      <c r="B100" s="398"/>
      <c r="C100" s="401"/>
      <c r="D100" s="406"/>
      <c r="E100" s="406"/>
      <c r="F100" s="392"/>
      <c r="G100" s="395"/>
      <c r="I100" s="398"/>
      <c r="J100" s="401"/>
      <c r="K100" s="406"/>
      <c r="L100" s="406"/>
      <c r="M100" s="392"/>
      <c r="N100" s="395"/>
      <c r="P100" s="398"/>
      <c r="Q100" s="401"/>
      <c r="R100" s="406"/>
      <c r="S100" s="406"/>
      <c r="T100" s="392"/>
      <c r="U100" s="395"/>
      <c r="W100" s="91" t="s">
        <v>341</v>
      </c>
      <c r="X100" s="92"/>
      <c r="Y100" s="73"/>
      <c r="Z100" s="365"/>
      <c r="AA100" s="73"/>
      <c r="AB100" s="366"/>
      <c r="AC100" s="32"/>
    </row>
    <row r="101" spans="2:29" s="32" customFormat="1" ht="6" customHeight="1">
      <c r="B101" s="29"/>
      <c r="C101" s="30"/>
      <c r="D101" s="40"/>
      <c r="E101" s="40"/>
      <c r="F101" s="119"/>
      <c r="G101" s="41"/>
      <c r="I101" s="29"/>
      <c r="J101" s="30"/>
      <c r="K101" s="40"/>
      <c r="L101" s="40"/>
      <c r="M101" s="119"/>
      <c r="N101" s="41"/>
      <c r="P101" s="29"/>
      <c r="Q101" s="30"/>
      <c r="R101" s="40"/>
      <c r="S101" s="40"/>
      <c r="T101" s="119"/>
      <c r="U101" s="41"/>
      <c r="W101" s="29"/>
      <c r="X101" s="30"/>
      <c r="Y101" s="40"/>
      <c r="Z101" s="40"/>
      <c r="AA101" s="40"/>
      <c r="AB101" s="41"/>
    </row>
    <row r="102" spans="2:29" ht="22.5" customHeight="1">
      <c r="B102" s="156" t="s">
        <v>346</v>
      </c>
      <c r="C102" s="153">
        <f>COUNTIFS('1. All Data'!$AC$3:$AC$129,"Regulatory &amp; Community Support",'1. All Data'!$H$3:$H$129,"Completed Behind Schedule")</f>
        <v>0</v>
      </c>
      <c r="D102" s="154">
        <f>C102/C109</f>
        <v>0</v>
      </c>
      <c r="E102" s="402">
        <f>D102+D103</f>
        <v>0</v>
      </c>
      <c r="F102" s="155">
        <f>C102/C110</f>
        <v>0</v>
      </c>
      <c r="G102" s="403">
        <f>F102+F103</f>
        <v>0</v>
      </c>
      <c r="I102" s="156" t="s">
        <v>346</v>
      </c>
      <c r="J102" s="153">
        <f>COUNTIFS('1. All Data'!$AC$3:$AC$129,"Regulatory &amp; Community Support",'1. All Data'!$M$3:$M$129,"Completed Behind Schedule")</f>
        <v>0</v>
      </c>
      <c r="K102" s="154">
        <f>J102/J109</f>
        <v>0</v>
      </c>
      <c r="L102" s="402">
        <f>K102+K103</f>
        <v>0</v>
      </c>
      <c r="M102" s="155">
        <f>J102/J110</f>
        <v>0</v>
      </c>
      <c r="N102" s="403">
        <f>M102+M103</f>
        <v>0</v>
      </c>
      <c r="P102" s="156" t="s">
        <v>346</v>
      </c>
      <c r="Q102" s="153">
        <f>COUNTIFS('1. All Data'!$AC$3:$AC$129,"Regulatory &amp; Community Support",'1. All Data'!$R$3:$R$129,"Completed Behind Schedule")</f>
        <v>0</v>
      </c>
      <c r="R102" s="154">
        <f>Q102/Q109</f>
        <v>0</v>
      </c>
      <c r="S102" s="402">
        <f>R102+R103</f>
        <v>0</v>
      </c>
      <c r="T102" s="155" t="e">
        <f>Q102/Q110</f>
        <v>#DIV/0!</v>
      </c>
      <c r="U102" s="403" t="e">
        <f>T102+T103</f>
        <v>#DIV/0!</v>
      </c>
      <c r="W102" s="74" t="s">
        <v>340</v>
      </c>
      <c r="X102" s="93"/>
      <c r="Y102" s="73"/>
      <c r="Z102" s="365"/>
      <c r="AA102" s="73"/>
      <c r="AB102" s="367">
        <f>AA102+AA103</f>
        <v>0</v>
      </c>
      <c r="AC102" s="32"/>
    </row>
    <row r="103" spans="2:29" ht="22.5" customHeight="1">
      <c r="B103" s="156" t="s">
        <v>339</v>
      </c>
      <c r="C103" s="153">
        <f>COUNTIFS('1. All Data'!$AC$3:$AC$129,"Regulatory &amp; Community Support",'1. All Data'!$H$3:$H$129,"Off Target")</f>
        <v>0</v>
      </c>
      <c r="D103" s="154">
        <f>C103/C109</f>
        <v>0</v>
      </c>
      <c r="E103" s="402"/>
      <c r="F103" s="155">
        <f>C103/C110</f>
        <v>0</v>
      </c>
      <c r="G103" s="403"/>
      <c r="I103" s="156" t="s">
        <v>339</v>
      </c>
      <c r="J103" s="153">
        <f>COUNTIFS('1. All Data'!$AC$3:$AC$129,"Regulatory &amp; Community Support",'1. All Data'!$M$3:$M$129,"Off Target")</f>
        <v>0</v>
      </c>
      <c r="K103" s="154">
        <f>J103/J109</f>
        <v>0</v>
      </c>
      <c r="L103" s="402"/>
      <c r="M103" s="155">
        <f>J103/J110</f>
        <v>0</v>
      </c>
      <c r="N103" s="403"/>
      <c r="P103" s="156" t="s">
        <v>339</v>
      </c>
      <c r="Q103" s="153">
        <f>COUNTIFS('1. All Data'!$AC$3:$AC$129,"Regulatory &amp; Community Support",'1. All Data'!$R$3:$R$129,"Off Target")</f>
        <v>0</v>
      </c>
      <c r="R103" s="154">
        <f>Q103/Q109</f>
        <v>0</v>
      </c>
      <c r="S103" s="402"/>
      <c r="T103" s="155" t="e">
        <f>Q103/Q110</f>
        <v>#DIV/0!</v>
      </c>
      <c r="U103" s="403"/>
      <c r="W103" s="74" t="s">
        <v>339</v>
      </c>
      <c r="X103" s="93"/>
      <c r="Y103" s="73"/>
      <c r="Z103" s="365"/>
      <c r="AA103" s="73"/>
      <c r="AB103" s="367"/>
      <c r="AC103" s="32"/>
    </row>
    <row r="104" spans="2:29" s="32" customFormat="1" ht="6.75" customHeight="1">
      <c r="B104" s="29"/>
      <c r="C104" s="43"/>
      <c r="D104" s="40"/>
      <c r="E104" s="40"/>
      <c r="F104" s="119"/>
      <c r="G104" s="44"/>
      <c r="I104" s="29"/>
      <c r="J104" s="43"/>
      <c r="K104" s="40"/>
      <c r="L104" s="40"/>
      <c r="M104" s="119"/>
      <c r="N104" s="44"/>
      <c r="P104" s="29"/>
      <c r="Q104" s="43"/>
      <c r="R104" s="40"/>
      <c r="S104" s="40"/>
      <c r="T104" s="119"/>
      <c r="U104" s="44"/>
      <c r="W104" s="29"/>
      <c r="X104" s="43"/>
      <c r="Y104" s="40"/>
      <c r="Z104" s="40"/>
      <c r="AA104" s="40"/>
      <c r="AB104" s="44"/>
    </row>
    <row r="105" spans="2:29" ht="15.75" customHeight="1">
      <c r="B105" s="159" t="s">
        <v>394</v>
      </c>
      <c r="C105" s="153">
        <f>COUNTIFS('1. All Data'!$AC$3:$AC$129,"Regulatory &amp; Community Support",'1. All Data'!$H$3:$H$129,"Not yet due")</f>
        <v>1</v>
      </c>
      <c r="D105" s="157">
        <f>C105/C109</f>
        <v>7.6923076923076927E-2</v>
      </c>
      <c r="E105" s="157">
        <f>D105</f>
        <v>7.6923076923076927E-2</v>
      </c>
      <c r="F105" s="120"/>
      <c r="G105" s="46"/>
      <c r="I105" s="159" t="s">
        <v>394</v>
      </c>
      <c r="J105" s="153">
        <f>COUNTIFS('1. All Data'!$AC$3:$AC$129,"Regulatory &amp; Community Support",'1. All Data'!$M$3:$M$129,"Not yet due")</f>
        <v>0</v>
      </c>
      <c r="K105" s="157">
        <f>J105/J109</f>
        <v>0</v>
      </c>
      <c r="L105" s="157">
        <f>K105</f>
        <v>0</v>
      </c>
      <c r="M105" s="120"/>
      <c r="N105" s="46"/>
      <c r="P105" s="159" t="s">
        <v>394</v>
      </c>
      <c r="Q105" s="153">
        <f>COUNTIFS('1. All Data'!$AC$3:$AC$129,"Regulatory &amp; Community Support",'1. All Data'!$R$3:$R$129,"Not yet due")</f>
        <v>0</v>
      </c>
      <c r="R105" s="157">
        <f>Q105/Q109</f>
        <v>0</v>
      </c>
      <c r="S105" s="157">
        <f>R105</f>
        <v>0</v>
      </c>
      <c r="T105" s="120"/>
      <c r="U105" s="46"/>
      <c r="W105" s="75" t="s">
        <v>394</v>
      </c>
      <c r="X105" s="71"/>
      <c r="Y105" s="76"/>
      <c r="Z105" s="76"/>
      <c r="AA105" s="45"/>
      <c r="AB105" s="46"/>
      <c r="AC105" s="32"/>
    </row>
    <row r="106" spans="2:29" ht="15.75" customHeight="1">
      <c r="B106" s="159" t="s">
        <v>334</v>
      </c>
      <c r="C106" s="153">
        <f>COUNTIFS('1. All Data'!$AC$3:$AC$129,"Regulatory &amp; Community Support",'1. All Data'!$H$3:$H$129,"Update not provided")</f>
        <v>0</v>
      </c>
      <c r="D106" s="157">
        <f>C106/C109</f>
        <v>0</v>
      </c>
      <c r="E106" s="157">
        <f>D106</f>
        <v>0</v>
      </c>
      <c r="F106" s="120"/>
      <c r="G106" s="48"/>
      <c r="I106" s="159" t="s">
        <v>334</v>
      </c>
      <c r="J106" s="153">
        <f>COUNTIFS('1. All Data'!$AC$3:$AC$129,"Regulatory &amp; Community Support",'1. All Data'!$M$3:$M$129,"Update not provided")</f>
        <v>0</v>
      </c>
      <c r="K106" s="157">
        <f>J106/J109</f>
        <v>0</v>
      </c>
      <c r="L106" s="157">
        <f>K106</f>
        <v>0</v>
      </c>
      <c r="M106" s="120"/>
      <c r="N106" s="48"/>
      <c r="P106" s="159" t="s">
        <v>334</v>
      </c>
      <c r="Q106" s="153">
        <f>COUNTIFS('1. All Data'!$AC$3:$AC$129,"Regulatory &amp; Community Support",'1. All Data'!$R$3:$R$129,"Update not provided")</f>
        <v>13</v>
      </c>
      <c r="R106" s="157">
        <f>Q106/Q109</f>
        <v>1</v>
      </c>
      <c r="S106" s="157">
        <f>R106</f>
        <v>1</v>
      </c>
      <c r="T106" s="120"/>
      <c r="U106" s="48"/>
      <c r="W106" s="75" t="s">
        <v>334</v>
      </c>
      <c r="X106" s="71"/>
      <c r="Y106" s="76"/>
      <c r="Z106" s="76"/>
      <c r="AA106" s="45"/>
      <c r="AB106" s="48"/>
      <c r="AC106" s="32"/>
    </row>
    <row r="107" spans="2:29" ht="15.75" customHeight="1">
      <c r="B107" s="160" t="s">
        <v>342</v>
      </c>
      <c r="C107" s="153">
        <f>COUNTIFS('1. All Data'!$AC$3:$AC$129,"Regulatory &amp; Community Support",'1. All Data'!$H$3:$H$129,"Deferred")</f>
        <v>0</v>
      </c>
      <c r="D107" s="158">
        <f>C107/C109</f>
        <v>0</v>
      </c>
      <c r="E107" s="158">
        <f>D107</f>
        <v>0</v>
      </c>
      <c r="F107" s="121"/>
      <c r="G107" s="46"/>
      <c r="I107" s="160" t="s">
        <v>342</v>
      </c>
      <c r="J107" s="153">
        <f>COUNTIFS('1. All Data'!$AC$3:$AC$129,"Regulatory &amp; Community Support",'1. All Data'!$M$3:$M$129,"Deferred")</f>
        <v>0</v>
      </c>
      <c r="K107" s="158">
        <f>J107/J109</f>
        <v>0</v>
      </c>
      <c r="L107" s="158">
        <f>K107</f>
        <v>0</v>
      </c>
      <c r="M107" s="121"/>
      <c r="N107" s="46"/>
      <c r="P107" s="160" t="s">
        <v>342</v>
      </c>
      <c r="Q107" s="153">
        <f>COUNTIFS('1. All Data'!$AC$3:$AC$129,"Regulatory &amp; Community Support",'1. All Data'!$R$3:$R$129,"Deferred")</f>
        <v>0</v>
      </c>
      <c r="R107" s="158">
        <f>Q107/Q109</f>
        <v>0</v>
      </c>
      <c r="S107" s="158">
        <f>R107</f>
        <v>0</v>
      </c>
      <c r="T107" s="121"/>
      <c r="U107" s="46"/>
      <c r="W107" s="77" t="s">
        <v>342</v>
      </c>
      <c r="X107" s="71"/>
      <c r="Y107" s="78"/>
      <c r="Z107" s="78"/>
      <c r="AA107" s="50"/>
      <c r="AB107" s="46"/>
      <c r="AC107" s="32"/>
    </row>
    <row r="108" spans="2:29" ht="15.75" customHeight="1">
      <c r="B108" s="160" t="s">
        <v>343</v>
      </c>
      <c r="C108" s="153">
        <f>COUNTIFS('1. All Data'!$AC$3:$AC$129,"Regulatory &amp; Community Support",'1. All Data'!$H$3:$H$129,"Deleted")</f>
        <v>0</v>
      </c>
      <c r="D108" s="158">
        <f>C108/C109</f>
        <v>0</v>
      </c>
      <c r="E108" s="158">
        <f>D108</f>
        <v>0</v>
      </c>
      <c r="F108" s="121"/>
      <c r="G108" s="122" t="s">
        <v>395</v>
      </c>
      <c r="I108" s="160" t="s">
        <v>343</v>
      </c>
      <c r="J108" s="153">
        <f>COUNTIFS('1. All Data'!$AC$3:$AC$129,"Regulatory &amp; Community Support",'1. All Data'!$M$3:$M$129,"Deleted")</f>
        <v>0</v>
      </c>
      <c r="K108" s="158">
        <f>J108/J109</f>
        <v>0</v>
      </c>
      <c r="L108" s="158">
        <f>K108</f>
        <v>0</v>
      </c>
      <c r="M108" s="121"/>
      <c r="N108" s="122" t="s">
        <v>395</v>
      </c>
      <c r="P108" s="160" t="s">
        <v>343</v>
      </c>
      <c r="Q108" s="153">
        <f>COUNTIFS('1. All Data'!$AC$3:$AC$129,"Regulatory &amp; Community Support",'1. All Data'!$R$3:$R$129,"Deleted")</f>
        <v>0</v>
      </c>
      <c r="R108" s="158">
        <f>Q108/Q109</f>
        <v>0</v>
      </c>
      <c r="S108" s="158">
        <f>R108</f>
        <v>0</v>
      </c>
      <c r="T108" s="121"/>
      <c r="U108" s="122" t="s">
        <v>395</v>
      </c>
      <c r="W108" s="77" t="s">
        <v>343</v>
      </c>
      <c r="X108" s="71"/>
      <c r="Y108" s="78"/>
      <c r="Z108" s="78"/>
      <c r="AA108" s="50"/>
      <c r="AB108" s="52" t="s">
        <v>395</v>
      </c>
      <c r="AC108" s="32"/>
    </row>
    <row r="109" spans="2:29" ht="15.75" customHeight="1">
      <c r="B109" s="161" t="s">
        <v>396</v>
      </c>
      <c r="C109" s="162">
        <f>SUM(C95:C108)</f>
        <v>13</v>
      </c>
      <c r="D109" s="50"/>
      <c r="E109" s="50"/>
      <c r="F109" s="123"/>
      <c r="G109" s="46"/>
      <c r="I109" s="161" t="s">
        <v>396</v>
      </c>
      <c r="J109" s="162">
        <f>SUM(J95:J108)</f>
        <v>13</v>
      </c>
      <c r="K109" s="50"/>
      <c r="L109" s="50"/>
      <c r="M109" s="123"/>
      <c r="N109" s="46"/>
      <c r="P109" s="161" t="s">
        <v>396</v>
      </c>
      <c r="Q109" s="162">
        <f>SUM(Q95:Q108)</f>
        <v>13</v>
      </c>
      <c r="R109" s="50"/>
      <c r="S109" s="50"/>
      <c r="T109" s="123"/>
      <c r="U109" s="46"/>
      <c r="W109" s="79" t="s">
        <v>396</v>
      </c>
      <c r="X109" s="80"/>
      <c r="Y109" s="50"/>
      <c r="Z109" s="50"/>
      <c r="AA109" s="46"/>
      <c r="AB109" s="46"/>
      <c r="AC109" s="32"/>
    </row>
    <row r="110" spans="2:29" ht="15.75" customHeight="1">
      <c r="B110" s="161" t="s">
        <v>397</v>
      </c>
      <c r="C110" s="162">
        <f>C109-C108-C107-C106-C105</f>
        <v>12</v>
      </c>
      <c r="D110" s="46"/>
      <c r="E110" s="46"/>
      <c r="F110" s="123"/>
      <c r="G110" s="46"/>
      <c r="I110" s="161" t="s">
        <v>397</v>
      </c>
      <c r="J110" s="162">
        <f>J109-J108-J107-J106-J105</f>
        <v>13</v>
      </c>
      <c r="K110" s="46"/>
      <c r="L110" s="46"/>
      <c r="M110" s="123"/>
      <c r="N110" s="46"/>
      <c r="P110" s="161" t="s">
        <v>397</v>
      </c>
      <c r="Q110" s="162">
        <f>Q109-Q108-Q107-Q106-Q105</f>
        <v>0</v>
      </c>
      <c r="R110" s="46"/>
      <c r="S110" s="46"/>
      <c r="T110" s="123"/>
      <c r="U110" s="46"/>
      <c r="W110" s="79" t="s">
        <v>397</v>
      </c>
      <c r="X110" s="80"/>
      <c r="Y110" s="46"/>
      <c r="Z110" s="46"/>
      <c r="AA110" s="46"/>
      <c r="AB110" s="46"/>
      <c r="AC110" s="32"/>
    </row>
    <row r="111" spans="2:29" ht="15.75" customHeight="1">
      <c r="W111" s="53"/>
      <c r="AA111" s="47"/>
      <c r="AC111" s="32"/>
    </row>
    <row r="112" spans="2:29" ht="15.75" customHeight="1">
      <c r="W112" s="31"/>
      <c r="X112" s="31"/>
      <c r="Y112" s="31"/>
      <c r="Z112" s="31"/>
      <c r="AA112" s="31"/>
      <c r="AB112" s="51"/>
      <c r="AC112" s="32"/>
    </row>
    <row r="113" spans="23:29" ht="15.75" customHeight="1">
      <c r="W113" s="31"/>
      <c r="X113" s="31"/>
      <c r="Y113" s="31"/>
      <c r="Z113" s="31"/>
      <c r="AA113" s="31"/>
      <c r="AB113" s="51"/>
      <c r="AC113" s="32"/>
    </row>
    <row r="114" spans="23:29">
      <c r="W114" s="31"/>
      <c r="X114" s="31"/>
      <c r="Y114" s="31"/>
      <c r="Z114" s="31"/>
      <c r="AA114" s="31"/>
      <c r="AB114" s="51"/>
      <c r="AC114" s="32"/>
    </row>
    <row r="115" spans="23:29">
      <c r="W115" s="31"/>
      <c r="X115" s="31"/>
      <c r="Y115" s="31"/>
      <c r="Z115" s="31"/>
      <c r="AA115" s="31"/>
      <c r="AB115" s="51"/>
      <c r="AC115" s="32"/>
    </row>
    <row r="116" spans="23:29">
      <c r="W116" s="31"/>
      <c r="X116" s="31"/>
      <c r="Y116" s="31"/>
      <c r="Z116" s="31"/>
      <c r="AA116" s="31"/>
      <c r="AB116" s="51"/>
      <c r="AC116" s="32"/>
    </row>
    <row r="117" spans="23:29">
      <c r="W117" s="31"/>
      <c r="X117" s="31"/>
      <c r="Y117" s="31"/>
      <c r="Z117" s="31"/>
      <c r="AA117" s="31"/>
      <c r="AB117" s="51"/>
      <c r="AC117" s="32"/>
    </row>
    <row r="118" spans="23:29">
      <c r="W118" s="31"/>
      <c r="X118" s="31"/>
      <c r="Y118" s="31"/>
      <c r="Z118" s="31"/>
      <c r="AA118" s="31"/>
      <c r="AB118" s="51"/>
      <c r="AC118" s="32"/>
    </row>
    <row r="119" spans="23:29">
      <c r="W119" s="31"/>
      <c r="X119" s="31"/>
      <c r="Y119" s="31"/>
      <c r="Z119" s="31"/>
      <c r="AA119" s="31"/>
      <c r="AB119" s="51"/>
      <c r="AC119" s="32"/>
    </row>
    <row r="120" spans="23:29">
      <c r="W120" s="31"/>
      <c r="X120" s="31"/>
      <c r="Y120" s="31"/>
      <c r="Z120" s="31"/>
      <c r="AA120" s="31"/>
      <c r="AB120" s="51"/>
      <c r="AC120" s="32"/>
    </row>
    <row r="121" spans="23:29">
      <c r="W121" s="31"/>
      <c r="X121" s="31"/>
      <c r="Y121" s="31"/>
      <c r="Z121" s="31"/>
      <c r="AA121" s="31"/>
      <c r="AB121" s="51"/>
      <c r="AC121" s="32"/>
    </row>
    <row r="122" spans="23:29">
      <c r="W122" s="31"/>
      <c r="X122" s="31"/>
      <c r="Y122" s="31"/>
      <c r="Z122" s="31"/>
      <c r="AA122" s="31"/>
      <c r="AB122" s="51"/>
      <c r="AC122" s="32"/>
    </row>
    <row r="123" spans="23:29">
      <c r="W123" s="31"/>
      <c r="X123" s="31"/>
      <c r="Y123" s="31"/>
      <c r="Z123" s="31"/>
      <c r="AA123" s="31"/>
      <c r="AB123" s="51"/>
      <c r="AC123" s="32"/>
    </row>
    <row r="124" spans="23:29">
      <c r="W124" s="31"/>
      <c r="X124" s="31"/>
      <c r="Y124" s="31"/>
      <c r="Z124" s="31"/>
      <c r="AA124" s="31"/>
      <c r="AB124" s="51"/>
      <c r="AC124" s="32"/>
    </row>
    <row r="125" spans="23:29">
      <c r="W125" s="31"/>
      <c r="X125" s="31"/>
      <c r="Y125" s="31"/>
      <c r="Z125" s="31"/>
      <c r="AA125" s="31"/>
      <c r="AB125" s="51"/>
      <c r="AC125" s="32"/>
    </row>
    <row r="126" spans="23:29">
      <c r="W126" s="31"/>
      <c r="X126" s="31"/>
      <c r="Y126" s="31"/>
      <c r="Z126" s="31"/>
      <c r="AA126" s="31"/>
      <c r="AB126" s="51"/>
      <c r="AC126" s="32"/>
    </row>
    <row r="127" spans="23:29">
      <c r="W127" s="31"/>
      <c r="X127" s="31"/>
      <c r="Y127" s="31"/>
      <c r="Z127" s="31"/>
      <c r="AA127" s="31"/>
      <c r="AB127" s="51"/>
      <c r="AC127" s="32"/>
    </row>
    <row r="128" spans="23:29">
      <c r="W128" s="31"/>
      <c r="X128" s="31"/>
      <c r="Y128" s="31"/>
      <c r="Z128" s="31"/>
      <c r="AA128" s="31"/>
      <c r="AB128" s="51"/>
      <c r="AC128" s="32"/>
    </row>
    <row r="129" spans="23:29">
      <c r="W129" s="31"/>
      <c r="X129" s="31"/>
      <c r="Y129" s="31"/>
      <c r="Z129" s="31"/>
      <c r="AA129" s="31"/>
      <c r="AB129" s="51"/>
      <c r="AC129" s="32"/>
    </row>
    <row r="130" spans="23:29">
      <c r="W130" s="31"/>
      <c r="X130" s="31"/>
      <c r="Y130" s="31"/>
      <c r="Z130" s="31"/>
      <c r="AA130" s="31"/>
      <c r="AB130" s="51"/>
      <c r="AC130" s="32"/>
    </row>
    <row r="131" spans="23:29">
      <c r="W131" s="31"/>
      <c r="X131" s="31"/>
      <c r="Y131" s="31"/>
      <c r="Z131" s="31"/>
      <c r="AA131" s="31"/>
      <c r="AB131" s="51"/>
      <c r="AC131" s="32"/>
    </row>
    <row r="132" spans="23:29">
      <c r="W132" s="31"/>
      <c r="X132" s="31"/>
      <c r="Y132" s="31"/>
      <c r="Z132" s="31"/>
      <c r="AA132" s="31"/>
      <c r="AB132" s="51"/>
      <c r="AC132" s="32"/>
    </row>
    <row r="133" spans="23:29">
      <c r="W133" s="31"/>
      <c r="X133" s="31"/>
      <c r="Y133" s="31"/>
      <c r="Z133" s="31"/>
      <c r="AA133" s="31"/>
      <c r="AB133" s="51"/>
      <c r="AC133" s="32"/>
    </row>
    <row r="134" spans="23:29">
      <c r="W134" s="31"/>
      <c r="X134" s="31"/>
      <c r="Y134" s="31"/>
      <c r="Z134" s="31"/>
      <c r="AA134" s="31"/>
      <c r="AB134" s="51"/>
      <c r="AC134" s="32"/>
    </row>
    <row r="135" spans="23:29">
      <c r="W135" s="31"/>
      <c r="X135" s="31"/>
      <c r="Y135" s="31"/>
      <c r="Z135" s="31"/>
      <c r="AA135" s="31"/>
      <c r="AB135" s="51"/>
      <c r="AC135" s="32"/>
    </row>
    <row r="136" spans="23:29">
      <c r="W136" s="31"/>
      <c r="X136" s="31"/>
      <c r="Y136" s="31"/>
      <c r="Z136" s="31"/>
      <c r="AA136" s="31"/>
      <c r="AB136" s="51"/>
      <c r="AC136" s="32"/>
    </row>
    <row r="137" spans="23:29">
      <c r="W137" s="31"/>
      <c r="X137" s="31"/>
      <c r="Y137" s="31"/>
      <c r="Z137" s="31"/>
      <c r="AA137" s="31"/>
      <c r="AB137" s="51"/>
      <c r="AC137" s="32"/>
    </row>
    <row r="138" spans="23:29">
      <c r="W138" s="31"/>
      <c r="X138" s="31"/>
      <c r="Y138" s="31"/>
      <c r="Z138" s="31"/>
      <c r="AA138" s="31"/>
      <c r="AB138" s="51"/>
      <c r="AC138" s="32"/>
    </row>
    <row r="139" spans="23:29">
      <c r="W139" s="31"/>
      <c r="X139" s="31"/>
      <c r="Y139" s="31"/>
      <c r="Z139" s="31"/>
      <c r="AA139" s="31"/>
      <c r="AB139" s="51"/>
      <c r="AC139" s="32"/>
    </row>
    <row r="140" spans="23:29">
      <c r="W140" s="31"/>
      <c r="X140" s="31"/>
      <c r="Y140" s="31"/>
      <c r="Z140" s="31"/>
      <c r="AA140" s="31"/>
      <c r="AB140" s="51"/>
      <c r="AC140" s="32"/>
    </row>
    <row r="141" spans="23:29">
      <c r="W141" s="31"/>
      <c r="X141" s="31"/>
      <c r="Y141" s="31"/>
      <c r="Z141" s="31"/>
      <c r="AA141" s="31"/>
      <c r="AB141" s="51"/>
      <c r="AC141" s="32"/>
    </row>
    <row r="142" spans="23:29">
      <c r="W142" s="31"/>
      <c r="X142" s="31"/>
      <c r="Y142" s="31"/>
      <c r="Z142" s="31"/>
      <c r="AA142" s="31"/>
      <c r="AB142" s="51"/>
      <c r="AC142" s="32"/>
    </row>
    <row r="143" spans="23:29">
      <c r="W143" s="31"/>
      <c r="X143" s="31"/>
      <c r="Y143" s="31"/>
      <c r="Z143" s="31"/>
      <c r="AA143" s="31"/>
      <c r="AB143" s="51"/>
      <c r="AC143" s="32"/>
    </row>
    <row r="144" spans="23:29">
      <c r="W144" s="31"/>
      <c r="X144" s="31"/>
      <c r="Y144" s="31"/>
      <c r="Z144" s="31"/>
      <c r="AA144" s="31"/>
      <c r="AB144" s="51"/>
      <c r="AC144" s="32"/>
    </row>
    <row r="145" spans="23:29">
      <c r="W145" s="31"/>
      <c r="X145" s="31"/>
      <c r="Y145" s="31"/>
      <c r="Z145" s="31"/>
      <c r="AA145" s="31"/>
      <c r="AB145" s="51"/>
      <c r="AC145" s="32"/>
    </row>
    <row r="146" spans="23:29">
      <c r="W146" s="31"/>
      <c r="X146" s="31"/>
      <c r="Y146" s="31"/>
      <c r="Z146" s="31"/>
      <c r="AA146" s="31"/>
      <c r="AB146" s="51"/>
      <c r="AC146" s="32"/>
    </row>
    <row r="147" spans="23:29">
      <c r="W147" s="31"/>
      <c r="X147" s="31"/>
      <c r="Y147" s="31"/>
      <c r="Z147" s="31"/>
      <c r="AA147" s="31"/>
      <c r="AB147" s="51"/>
      <c r="AC147" s="32"/>
    </row>
    <row r="148" spans="23:29">
      <c r="W148" s="31"/>
      <c r="X148" s="31"/>
      <c r="Y148" s="31"/>
      <c r="Z148" s="31"/>
      <c r="AA148" s="31"/>
      <c r="AB148" s="51"/>
      <c r="AC148" s="32"/>
    </row>
    <row r="149" spans="23:29">
      <c r="W149" s="31"/>
      <c r="X149" s="31"/>
      <c r="Y149" s="31"/>
      <c r="Z149" s="31"/>
      <c r="AA149" s="31"/>
      <c r="AB149" s="51"/>
      <c r="AC149" s="32"/>
    </row>
    <row r="150" spans="23:29">
      <c r="W150" s="31"/>
      <c r="X150" s="31"/>
      <c r="Y150" s="31"/>
      <c r="Z150" s="31"/>
      <c r="AA150" s="31"/>
      <c r="AB150" s="51"/>
      <c r="AC150" s="32"/>
    </row>
    <row r="151" spans="23:29">
      <c r="W151" s="31"/>
      <c r="X151" s="31"/>
      <c r="Y151" s="31"/>
      <c r="Z151" s="31"/>
      <c r="AA151" s="31"/>
      <c r="AB151" s="51"/>
      <c r="AC151" s="32"/>
    </row>
    <row r="152" spans="23:29">
      <c r="W152" s="31"/>
      <c r="X152" s="31"/>
      <c r="Y152" s="31"/>
      <c r="Z152" s="31"/>
      <c r="AA152" s="31"/>
      <c r="AB152" s="51"/>
      <c r="AC152" s="32"/>
    </row>
    <row r="153" spans="23:29">
      <c r="W153" s="31"/>
      <c r="X153" s="31"/>
      <c r="Y153" s="31"/>
      <c r="Z153" s="31"/>
      <c r="AA153" s="31"/>
      <c r="AB153" s="51"/>
      <c r="AC153" s="32"/>
    </row>
    <row r="154" spans="23:29">
      <c r="W154" s="31"/>
      <c r="X154" s="31"/>
      <c r="Y154" s="31"/>
      <c r="Z154" s="31"/>
      <c r="AA154" s="31"/>
      <c r="AB154" s="51"/>
      <c r="AC154" s="32"/>
    </row>
    <row r="155" spans="23:29">
      <c r="W155" s="31"/>
      <c r="X155" s="31"/>
      <c r="Y155" s="31"/>
      <c r="Z155" s="31"/>
      <c r="AA155" s="31"/>
      <c r="AB155" s="51"/>
      <c r="AC155" s="32"/>
    </row>
    <row r="156" spans="23:29">
      <c r="W156" s="31"/>
      <c r="X156" s="31"/>
      <c r="Y156" s="31"/>
      <c r="Z156" s="31"/>
      <c r="AA156" s="31"/>
      <c r="AB156" s="51"/>
      <c r="AC156" s="32"/>
    </row>
    <row r="157" spans="23:29">
      <c r="W157" s="31"/>
      <c r="X157" s="31"/>
      <c r="Y157" s="31"/>
      <c r="Z157" s="31"/>
      <c r="AA157" s="31"/>
      <c r="AB157" s="51"/>
      <c r="AC157" s="32"/>
    </row>
    <row r="158" spans="23:29">
      <c r="W158" s="31"/>
      <c r="X158" s="31"/>
      <c r="Y158" s="31"/>
      <c r="Z158" s="31"/>
      <c r="AA158" s="31"/>
      <c r="AB158" s="51"/>
      <c r="AC158" s="32"/>
    </row>
    <row r="159" spans="23:29">
      <c r="W159" s="31"/>
      <c r="X159" s="31"/>
      <c r="Y159" s="31"/>
      <c r="Z159" s="31"/>
      <c r="AA159" s="31"/>
      <c r="AB159" s="51"/>
      <c r="AC159" s="32"/>
    </row>
    <row r="160" spans="23:29">
      <c r="W160" s="31"/>
      <c r="X160" s="31"/>
      <c r="Y160" s="31"/>
      <c r="Z160" s="31"/>
      <c r="AA160" s="31"/>
      <c r="AB160" s="51"/>
      <c r="AC160" s="32"/>
    </row>
    <row r="161" spans="23:29">
      <c r="W161" s="31"/>
      <c r="X161" s="31"/>
      <c r="Y161" s="31"/>
      <c r="Z161" s="31"/>
      <c r="AA161" s="31"/>
      <c r="AB161" s="51"/>
      <c r="AC161" s="32"/>
    </row>
    <row r="162" spans="23:29">
      <c r="W162" s="31"/>
      <c r="X162" s="31"/>
      <c r="Y162" s="31"/>
      <c r="Z162" s="31"/>
      <c r="AA162" s="31"/>
      <c r="AB162" s="51"/>
      <c r="AC162" s="32"/>
    </row>
    <row r="163" spans="23:29">
      <c r="W163" s="31"/>
      <c r="X163" s="31"/>
      <c r="Y163" s="31"/>
      <c r="Z163" s="31"/>
      <c r="AA163" s="31"/>
      <c r="AB163" s="51"/>
      <c r="AC163" s="32"/>
    </row>
    <row r="164" spans="23:29">
      <c r="W164" s="31"/>
      <c r="X164" s="31"/>
      <c r="Y164" s="31"/>
      <c r="Z164" s="31"/>
      <c r="AA164" s="31"/>
      <c r="AB164" s="51"/>
      <c r="AC164" s="32"/>
    </row>
    <row r="165" spans="23:29">
      <c r="W165" s="31"/>
      <c r="X165" s="31"/>
      <c r="Y165" s="31"/>
      <c r="Z165" s="31"/>
      <c r="AA165" s="31"/>
      <c r="AB165" s="51"/>
      <c r="AC165" s="32"/>
    </row>
    <row r="166" spans="23:29">
      <c r="W166" s="31"/>
      <c r="X166" s="31"/>
      <c r="Y166" s="31"/>
      <c r="Z166" s="31"/>
      <c r="AA166" s="31"/>
      <c r="AB166" s="51"/>
      <c r="AC166" s="32"/>
    </row>
    <row r="167" spans="23:29">
      <c r="W167" s="31"/>
      <c r="X167" s="31"/>
      <c r="Y167" s="31"/>
      <c r="Z167" s="31"/>
      <c r="AA167" s="31"/>
      <c r="AB167" s="51"/>
      <c r="AC167" s="32"/>
    </row>
    <row r="168" spans="23:29">
      <c r="W168" s="31"/>
      <c r="X168" s="31"/>
      <c r="Y168" s="31"/>
      <c r="Z168" s="31"/>
      <c r="AA168" s="31"/>
      <c r="AB168" s="51"/>
      <c r="AC168" s="32"/>
    </row>
    <row r="169" spans="23:29">
      <c r="W169" s="31"/>
      <c r="X169" s="31"/>
      <c r="Y169" s="31"/>
      <c r="Z169" s="31"/>
      <c r="AA169" s="31"/>
      <c r="AB169" s="51"/>
      <c r="AC169" s="32"/>
    </row>
    <row r="170" spans="23:29">
      <c r="W170" s="31"/>
      <c r="X170" s="31"/>
      <c r="Y170" s="31"/>
      <c r="Z170" s="31"/>
      <c r="AA170" s="31"/>
      <c r="AB170" s="51"/>
      <c r="AC170" s="32"/>
    </row>
    <row r="171" spans="23:29">
      <c r="W171" s="31"/>
      <c r="X171" s="31"/>
      <c r="Y171" s="31"/>
      <c r="Z171" s="31"/>
      <c r="AA171" s="31"/>
      <c r="AB171" s="51"/>
      <c r="AC171" s="32"/>
    </row>
    <row r="172" spans="23:29">
      <c r="W172" s="31"/>
      <c r="X172" s="31"/>
      <c r="Y172" s="31"/>
      <c r="Z172" s="31"/>
      <c r="AA172" s="31"/>
      <c r="AB172" s="51"/>
      <c r="AC172" s="32"/>
    </row>
    <row r="173" spans="23:29">
      <c r="W173" s="31"/>
      <c r="X173" s="31"/>
      <c r="Y173" s="31"/>
      <c r="Z173" s="31"/>
      <c r="AA173" s="31"/>
      <c r="AB173" s="51"/>
      <c r="AC173" s="32"/>
    </row>
    <row r="174" spans="23:29">
      <c r="W174" s="31"/>
      <c r="X174" s="31"/>
      <c r="Y174" s="31"/>
      <c r="Z174" s="31"/>
      <c r="AA174" s="31"/>
      <c r="AB174" s="51"/>
      <c r="AC174" s="32"/>
    </row>
    <row r="175" spans="23:29">
      <c r="W175" s="31"/>
      <c r="X175" s="31"/>
      <c r="Y175" s="31"/>
      <c r="Z175" s="31"/>
      <c r="AA175" s="31"/>
      <c r="AB175" s="51"/>
      <c r="AC175" s="32"/>
    </row>
    <row r="176" spans="23:29">
      <c r="W176" s="31"/>
      <c r="X176" s="31"/>
      <c r="Y176" s="31"/>
      <c r="Z176" s="31"/>
      <c r="AA176" s="31"/>
      <c r="AB176" s="51"/>
      <c r="AC176" s="32"/>
    </row>
    <row r="177" spans="23:29">
      <c r="W177" s="31"/>
      <c r="X177" s="31"/>
      <c r="Y177" s="31"/>
      <c r="Z177" s="31"/>
      <c r="AA177" s="31"/>
      <c r="AB177" s="51"/>
      <c r="AC177" s="32"/>
    </row>
    <row r="178" spans="23:29">
      <c r="W178" s="31"/>
      <c r="X178" s="31"/>
      <c r="Y178" s="31"/>
      <c r="Z178" s="31"/>
      <c r="AA178" s="31"/>
      <c r="AB178" s="51"/>
      <c r="AC178" s="32"/>
    </row>
    <row r="179" spans="23:29">
      <c r="W179" s="31"/>
      <c r="X179" s="31"/>
      <c r="Y179" s="31"/>
      <c r="Z179" s="31"/>
      <c r="AA179" s="31"/>
      <c r="AB179" s="51"/>
      <c r="AC179" s="32"/>
    </row>
    <row r="180" spans="23:29">
      <c r="W180" s="31"/>
      <c r="X180" s="31"/>
      <c r="Y180" s="31"/>
      <c r="Z180" s="31"/>
      <c r="AA180" s="31"/>
      <c r="AB180" s="51"/>
      <c r="AC180" s="32"/>
    </row>
    <row r="181" spans="23:29">
      <c r="W181" s="31"/>
      <c r="X181" s="31"/>
      <c r="Y181" s="31"/>
      <c r="Z181" s="31"/>
      <c r="AA181" s="31"/>
      <c r="AB181" s="51"/>
      <c r="AC181" s="32"/>
    </row>
    <row r="182" spans="23:29">
      <c r="W182" s="31"/>
      <c r="X182" s="31"/>
      <c r="Y182" s="31"/>
      <c r="Z182" s="31"/>
      <c r="AA182" s="31"/>
      <c r="AB182" s="51"/>
      <c r="AC182" s="32"/>
    </row>
    <row r="183" spans="23:29">
      <c r="W183" s="31"/>
      <c r="X183" s="31"/>
      <c r="Y183" s="31"/>
      <c r="Z183" s="31"/>
      <c r="AA183" s="31"/>
      <c r="AB183" s="51"/>
      <c r="AC183" s="32"/>
    </row>
    <row r="184" spans="23:29">
      <c r="W184" s="31"/>
      <c r="X184" s="31"/>
      <c r="Y184" s="31"/>
      <c r="Z184" s="31"/>
      <c r="AA184" s="31"/>
      <c r="AB184" s="51"/>
      <c r="AC184" s="32"/>
    </row>
    <row r="185" spans="23:29">
      <c r="W185" s="31"/>
      <c r="X185" s="31"/>
      <c r="Y185" s="31"/>
      <c r="Z185" s="31"/>
      <c r="AA185" s="31"/>
      <c r="AB185" s="51"/>
      <c r="AC185" s="32"/>
    </row>
    <row r="186" spans="23:29">
      <c r="W186" s="31"/>
      <c r="X186" s="31"/>
      <c r="Y186" s="31"/>
      <c r="Z186" s="31"/>
      <c r="AA186" s="31"/>
      <c r="AB186" s="51"/>
      <c r="AC186" s="32"/>
    </row>
    <row r="187" spans="23:29">
      <c r="W187" s="31"/>
      <c r="X187" s="31"/>
      <c r="Y187" s="31"/>
      <c r="Z187" s="31"/>
      <c r="AA187" s="31"/>
      <c r="AB187" s="51"/>
      <c r="AC187" s="32"/>
    </row>
    <row r="188" spans="23:29">
      <c r="W188" s="31"/>
      <c r="X188" s="31"/>
      <c r="Y188" s="31"/>
      <c r="Z188" s="31"/>
      <c r="AA188" s="31"/>
      <c r="AB188" s="51"/>
      <c r="AC188" s="32"/>
    </row>
    <row r="189" spans="23:29">
      <c r="W189" s="31"/>
      <c r="X189" s="31"/>
      <c r="Y189" s="31"/>
      <c r="Z189" s="31"/>
      <c r="AA189" s="31"/>
      <c r="AB189" s="51"/>
      <c r="AC189" s="32"/>
    </row>
    <row r="190" spans="23:29">
      <c r="W190" s="31"/>
      <c r="X190" s="31"/>
      <c r="Y190" s="31"/>
      <c r="Z190" s="31"/>
      <c r="AA190" s="31"/>
      <c r="AB190" s="51"/>
      <c r="AC190" s="32"/>
    </row>
    <row r="191" spans="23:29">
      <c r="W191" s="31"/>
      <c r="X191" s="31"/>
      <c r="Y191" s="31"/>
      <c r="Z191" s="31"/>
      <c r="AA191" s="31"/>
      <c r="AB191" s="51"/>
      <c r="AC191" s="32"/>
    </row>
    <row r="192" spans="23:29">
      <c r="W192" s="31"/>
      <c r="X192" s="31"/>
      <c r="Y192" s="31"/>
      <c r="Z192" s="31"/>
      <c r="AA192" s="31"/>
      <c r="AB192" s="51"/>
      <c r="AC192" s="32"/>
    </row>
    <row r="193" spans="23:29">
      <c r="W193" s="31"/>
      <c r="X193" s="31"/>
      <c r="Y193" s="31"/>
      <c r="Z193" s="31"/>
      <c r="AA193" s="31"/>
      <c r="AB193" s="51"/>
      <c r="AC193" s="32"/>
    </row>
    <row r="194" spans="23:29">
      <c r="W194" s="31"/>
      <c r="X194" s="31"/>
      <c r="Y194" s="31"/>
      <c r="Z194" s="31"/>
      <c r="AA194" s="31"/>
      <c r="AB194" s="51"/>
      <c r="AC194" s="32"/>
    </row>
    <row r="195" spans="23:29">
      <c r="W195" s="31"/>
      <c r="X195" s="31"/>
      <c r="Y195" s="31"/>
      <c r="Z195" s="31"/>
      <c r="AA195" s="31"/>
      <c r="AB195" s="51"/>
      <c r="AC195" s="32"/>
    </row>
    <row r="196" spans="23:29">
      <c r="W196" s="31"/>
      <c r="X196" s="31"/>
      <c r="Y196" s="31"/>
      <c r="Z196" s="31"/>
      <c r="AA196" s="31"/>
      <c r="AB196" s="51"/>
      <c r="AC196" s="32"/>
    </row>
    <row r="197" spans="23:29">
      <c r="W197" s="31"/>
      <c r="X197" s="31"/>
      <c r="Y197" s="31"/>
      <c r="Z197" s="31"/>
      <c r="AA197" s="31"/>
      <c r="AB197" s="51"/>
      <c r="AC197" s="32"/>
    </row>
    <row r="198" spans="23:29">
      <c r="W198" s="31"/>
      <c r="X198" s="31"/>
      <c r="Y198" s="31"/>
      <c r="Z198" s="31"/>
      <c r="AA198" s="31"/>
      <c r="AB198" s="51"/>
      <c r="AC198" s="32"/>
    </row>
    <row r="199" spans="23:29">
      <c r="W199" s="31"/>
      <c r="X199" s="31"/>
      <c r="Y199" s="31"/>
      <c r="Z199" s="31"/>
      <c r="AA199" s="31"/>
      <c r="AB199" s="51"/>
      <c r="AC199" s="32"/>
    </row>
    <row r="200" spans="23:29">
      <c r="W200" s="31"/>
      <c r="X200" s="31"/>
      <c r="Y200" s="31"/>
      <c r="Z200" s="31"/>
      <c r="AA200" s="31"/>
      <c r="AB200" s="51"/>
      <c r="AC200" s="32"/>
    </row>
    <row r="201" spans="23:29">
      <c r="W201" s="31"/>
      <c r="X201" s="31"/>
      <c r="Y201" s="31"/>
      <c r="Z201" s="31"/>
      <c r="AA201" s="31"/>
      <c r="AB201" s="51"/>
      <c r="AC201" s="32"/>
    </row>
    <row r="202" spans="23:29">
      <c r="W202" s="31"/>
      <c r="X202" s="31"/>
      <c r="Y202" s="31"/>
      <c r="Z202" s="31"/>
      <c r="AA202" s="31"/>
      <c r="AB202" s="51"/>
      <c r="AC202" s="32"/>
    </row>
    <row r="203" spans="23:29">
      <c r="W203" s="31"/>
      <c r="X203" s="31"/>
      <c r="Y203" s="31"/>
      <c r="Z203" s="31"/>
      <c r="AA203" s="31"/>
      <c r="AB203" s="51"/>
      <c r="AC203" s="32"/>
    </row>
    <row r="204" spans="23:29">
      <c r="W204" s="31"/>
      <c r="X204" s="31"/>
      <c r="Y204" s="31"/>
      <c r="Z204" s="31"/>
      <c r="AA204" s="31"/>
      <c r="AB204" s="51"/>
      <c r="AC204" s="32"/>
    </row>
    <row r="205" spans="23:29">
      <c r="W205" s="31"/>
      <c r="X205" s="31"/>
      <c r="Y205" s="31"/>
      <c r="Z205" s="31"/>
      <c r="AA205" s="31"/>
      <c r="AB205" s="51"/>
      <c r="AC205" s="32"/>
    </row>
    <row r="206" spans="23:29">
      <c r="W206" s="31"/>
      <c r="X206" s="31"/>
      <c r="Y206" s="31"/>
      <c r="Z206" s="31"/>
      <c r="AA206" s="31"/>
      <c r="AB206" s="51"/>
      <c r="AC206" s="32"/>
    </row>
    <row r="207" spans="23:29">
      <c r="W207" s="31"/>
      <c r="X207" s="31"/>
      <c r="Y207" s="31"/>
      <c r="Z207" s="31"/>
      <c r="AA207" s="31"/>
      <c r="AB207" s="51"/>
      <c r="AC207" s="32"/>
    </row>
    <row r="208" spans="23:29">
      <c r="W208" s="31"/>
      <c r="X208" s="31"/>
      <c r="Y208" s="31"/>
      <c r="Z208" s="31"/>
      <c r="AA208" s="31"/>
      <c r="AB208" s="51"/>
      <c r="AC208" s="32"/>
    </row>
    <row r="209" spans="23:29">
      <c r="W209" s="31"/>
      <c r="X209" s="31"/>
      <c r="Y209" s="31"/>
      <c r="Z209" s="31"/>
      <c r="AA209" s="31"/>
      <c r="AB209" s="51"/>
      <c r="AC209" s="32"/>
    </row>
    <row r="210" spans="23:29">
      <c r="W210" s="31"/>
      <c r="X210" s="31"/>
      <c r="Y210" s="31"/>
      <c r="Z210" s="31"/>
      <c r="AA210" s="31"/>
      <c r="AB210" s="51"/>
      <c r="AC210" s="32"/>
    </row>
    <row r="211" spans="23:29">
      <c r="W211" s="31"/>
      <c r="X211" s="31"/>
      <c r="Y211" s="31"/>
      <c r="Z211" s="31"/>
      <c r="AA211" s="31"/>
      <c r="AB211" s="51"/>
      <c r="AC211" s="32"/>
    </row>
    <row r="212" spans="23:29">
      <c r="W212" s="31"/>
      <c r="X212" s="31"/>
      <c r="Y212" s="31"/>
      <c r="Z212" s="31"/>
      <c r="AA212" s="31"/>
      <c r="AB212" s="51"/>
      <c r="AC212" s="32"/>
    </row>
    <row r="213" spans="23:29">
      <c r="W213" s="31"/>
      <c r="X213" s="31"/>
      <c r="Y213" s="31"/>
      <c r="Z213" s="31"/>
      <c r="AA213" s="31"/>
      <c r="AB213" s="51"/>
      <c r="AC213" s="32"/>
    </row>
    <row r="214" spans="23:29">
      <c r="W214" s="31"/>
      <c r="X214" s="31"/>
      <c r="Y214" s="31"/>
      <c r="Z214" s="31"/>
      <c r="AA214" s="31"/>
      <c r="AB214" s="51"/>
      <c r="AC214" s="32"/>
    </row>
    <row r="215" spans="23:29">
      <c r="W215" s="31"/>
      <c r="X215" s="31"/>
      <c r="Y215" s="31"/>
      <c r="Z215" s="31"/>
      <c r="AA215" s="31"/>
      <c r="AB215" s="51"/>
      <c r="AC215" s="32"/>
    </row>
    <row r="216" spans="23:29">
      <c r="W216" s="31"/>
      <c r="X216" s="31"/>
      <c r="Y216" s="31"/>
      <c r="Z216" s="31"/>
      <c r="AA216" s="31"/>
      <c r="AB216" s="51"/>
      <c r="AC216" s="32"/>
    </row>
    <row r="217" spans="23:29">
      <c r="W217" s="31"/>
      <c r="X217" s="31"/>
      <c r="Y217" s="31"/>
      <c r="Z217" s="31"/>
      <c r="AA217" s="31"/>
      <c r="AB217" s="51"/>
      <c r="AC217" s="32"/>
    </row>
  </sheetData>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64" location="INDEX!A1" display="Back to index"/>
    <hyperlink ref="AB86" location="INDEX!A1" display="Back to index"/>
    <hyperlink ref="AB108" location="INDEX!A1" display="Back to index"/>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zoomScale="50" zoomScaleNormal="50" workbookViewId="0">
      <selection activeCell="D1" sqref="D1"/>
    </sheetView>
  </sheetViews>
  <sheetFormatPr defaultColWidth="9.140625" defaultRowHeight="15"/>
  <cols>
    <col min="1" max="1" width="3.42578125" style="190" customWidth="1"/>
    <col min="2" max="9" width="9.140625" style="190"/>
    <col min="10" max="10" width="3.42578125" style="190" customWidth="1"/>
    <col min="11" max="11" width="9.140625" style="191"/>
    <col min="12" max="18" width="9.140625" style="190"/>
    <col min="19" max="19" width="3.42578125" style="190" customWidth="1"/>
    <col min="20" max="27" width="9.140625" style="190" customWidth="1"/>
    <col min="28" max="28" width="3.42578125" style="190" customWidth="1"/>
    <col min="29" max="36" width="9.140625" style="190" customWidth="1"/>
    <col min="37" max="37" width="3.42578125" style="190" customWidth="1"/>
    <col min="38" max="47" width="9.140625" style="190" customWidth="1"/>
    <col min="48" max="50" width="9.140625" style="190"/>
    <col min="51" max="51" width="9.140625" style="196"/>
    <col min="52" max="55" width="10" style="196" customWidth="1"/>
    <col min="56" max="16384" width="9.140625" style="190"/>
  </cols>
  <sheetData>
    <row r="1" spans="2:56" s="189" customFormat="1" ht="35.25" customHeight="1" thickTop="1">
      <c r="B1" s="195" t="s">
        <v>430</v>
      </c>
      <c r="K1" s="408" t="s">
        <v>409</v>
      </c>
      <c r="L1" s="409"/>
      <c r="M1" s="409"/>
      <c r="N1" s="409"/>
      <c r="O1" s="409"/>
      <c r="P1" s="409"/>
      <c r="Q1" s="409"/>
      <c r="R1" s="409"/>
      <c r="S1" s="409"/>
      <c r="T1" s="409"/>
      <c r="U1" s="409"/>
      <c r="V1" s="409"/>
      <c r="W1" s="409"/>
      <c r="X1" s="410"/>
      <c r="AY1" s="195"/>
      <c r="AZ1" s="195"/>
      <c r="BA1" s="195"/>
      <c r="BB1" s="195"/>
      <c r="BC1" s="195"/>
    </row>
    <row r="2" spans="2:56" s="189" customFormat="1" ht="35.25">
      <c r="K2" s="411"/>
      <c r="L2" s="412"/>
      <c r="M2" s="412"/>
      <c r="N2" s="412"/>
      <c r="O2" s="412"/>
      <c r="P2" s="412"/>
      <c r="Q2" s="412"/>
      <c r="R2" s="412"/>
      <c r="S2" s="412"/>
      <c r="T2" s="412"/>
      <c r="U2" s="412"/>
      <c r="V2" s="412"/>
      <c r="W2" s="412"/>
      <c r="X2" s="413"/>
      <c r="AY2" s="195"/>
      <c r="AZ2" s="195"/>
      <c r="BA2" s="195"/>
      <c r="BB2" s="195"/>
      <c r="BC2" s="195"/>
    </row>
    <row r="3" spans="2:56" s="189" customFormat="1" ht="36" thickBot="1">
      <c r="K3" s="414"/>
      <c r="L3" s="415"/>
      <c r="M3" s="415"/>
      <c r="N3" s="415"/>
      <c r="O3" s="415"/>
      <c r="P3" s="415"/>
      <c r="Q3" s="415"/>
      <c r="R3" s="415"/>
      <c r="S3" s="415"/>
      <c r="T3" s="415"/>
      <c r="U3" s="415"/>
      <c r="V3" s="415"/>
      <c r="W3" s="415"/>
      <c r="X3" s="416"/>
      <c r="AY3" s="195"/>
      <c r="AZ3" s="195"/>
      <c r="BA3" s="195"/>
      <c r="BB3" s="195"/>
      <c r="BC3" s="195"/>
    </row>
    <row r="4" spans="2:56" ht="15.75" thickTop="1">
      <c r="N4" s="192" t="s">
        <v>395</v>
      </c>
      <c r="W4" s="192" t="s">
        <v>395</v>
      </c>
      <c r="AF4" s="192" t="s">
        <v>395</v>
      </c>
      <c r="AO4" s="192" t="s">
        <v>395</v>
      </c>
    </row>
    <row r="5" spans="2:56">
      <c r="AY5" s="197" t="s">
        <v>415</v>
      </c>
      <c r="AZ5" s="198"/>
      <c r="BA5" s="198"/>
      <c r="BB5" s="198"/>
      <c r="BC5" s="198"/>
      <c r="BD5" s="191"/>
    </row>
    <row r="6" spans="2:56">
      <c r="AY6" s="199"/>
      <c r="AZ6" s="200" t="s">
        <v>281</v>
      </c>
      <c r="BA6" s="200" t="s">
        <v>282</v>
      </c>
      <c r="BB6" s="200" t="s">
        <v>283</v>
      </c>
      <c r="BC6" s="200" t="s">
        <v>280</v>
      </c>
      <c r="BD6" s="191"/>
    </row>
    <row r="7" spans="2:56">
      <c r="AY7" s="201" t="s">
        <v>411</v>
      </c>
      <c r="AZ7" s="202">
        <f>'3a. % by Portfolio'!G6</f>
        <v>1</v>
      </c>
      <c r="BA7" s="202">
        <f>'3a. % by Portfolio'!N6</f>
        <v>0.93333333333333335</v>
      </c>
      <c r="BB7" s="202" t="e">
        <f>'3a. % by Portfolio'!U6</f>
        <v>#DIV/0!</v>
      </c>
      <c r="BC7" s="202">
        <f>'3a. % by Portfolio'!AB6</f>
        <v>0</v>
      </c>
      <c r="BD7" s="191"/>
    </row>
    <row r="8" spans="2:56">
      <c r="L8" s="193"/>
      <c r="M8" s="193"/>
      <c r="AY8" s="201" t="s">
        <v>412</v>
      </c>
      <c r="AZ8" s="202">
        <f>'3a. % by Portfolio'!G9</f>
        <v>0</v>
      </c>
      <c r="BA8" s="202">
        <f>'3a. % by Portfolio'!N9</f>
        <v>6.6666666666666666E-2</v>
      </c>
      <c r="BB8" s="202" t="e">
        <f>'3a. % by Portfolio'!U9</f>
        <v>#DIV/0!</v>
      </c>
      <c r="BC8" s="202">
        <f>'3a. % by Portfolio'!AB9</f>
        <v>0</v>
      </c>
      <c r="BD8" s="191"/>
    </row>
    <row r="9" spans="2:56">
      <c r="L9" s="193"/>
      <c r="M9" s="193"/>
      <c r="AY9" s="201" t="s">
        <v>413</v>
      </c>
      <c r="AZ9" s="202">
        <f>'3a. % by Portfolio'!G13</f>
        <v>0</v>
      </c>
      <c r="BA9" s="202">
        <f>'3a. % by Portfolio'!N13</f>
        <v>0</v>
      </c>
      <c r="BB9" s="202" t="e">
        <f>'3a. % by Portfolio'!U13</f>
        <v>#DIV/0!</v>
      </c>
      <c r="BC9" s="202">
        <f>'3a. % by Portfolio'!AB13</f>
        <v>0</v>
      </c>
      <c r="BD9" s="191"/>
    </row>
    <row r="10" spans="2:56">
      <c r="L10" s="193"/>
      <c r="M10" s="193"/>
      <c r="AY10" s="199"/>
      <c r="AZ10" s="203"/>
      <c r="BA10" s="203"/>
      <c r="BB10" s="203"/>
      <c r="BC10" s="203"/>
      <c r="BD10" s="191"/>
    </row>
    <row r="11" spans="2:56">
      <c r="AY11" s="204"/>
      <c r="AZ11" s="205"/>
      <c r="BA11" s="205"/>
      <c r="BB11" s="205"/>
      <c r="BC11" s="205"/>
      <c r="BD11" s="191"/>
    </row>
    <row r="12" spans="2:56">
      <c r="AY12" s="204"/>
      <c r="AZ12" s="205"/>
      <c r="BA12" s="205"/>
      <c r="BB12" s="205"/>
      <c r="BC12" s="205"/>
      <c r="BD12" s="191"/>
    </row>
    <row r="13" spans="2:56">
      <c r="AY13" s="204"/>
      <c r="AZ13" s="205"/>
      <c r="BA13" s="205"/>
      <c r="BB13" s="205"/>
      <c r="BC13" s="205"/>
      <c r="BD13" s="191"/>
    </row>
    <row r="14" spans="2:56">
      <c r="AY14" s="198"/>
      <c r="AZ14" s="198"/>
      <c r="BA14" s="198"/>
      <c r="BB14" s="198"/>
      <c r="BC14" s="198"/>
      <c r="BD14" s="191"/>
    </row>
    <row r="15" spans="2:56">
      <c r="AY15" s="198"/>
      <c r="AZ15" s="198"/>
      <c r="BA15" s="198"/>
      <c r="BB15" s="198"/>
      <c r="BC15" s="198"/>
      <c r="BD15" s="191"/>
    </row>
    <row r="16" spans="2:56">
      <c r="AY16" s="198"/>
      <c r="AZ16" s="198"/>
      <c r="BA16" s="198"/>
      <c r="BB16" s="198"/>
      <c r="BC16" s="198"/>
      <c r="BD16" s="191"/>
    </row>
    <row r="17" spans="12:56">
      <c r="AY17" s="198"/>
      <c r="AZ17" s="198"/>
      <c r="BA17" s="198"/>
      <c r="BB17" s="198"/>
      <c r="BC17" s="198"/>
      <c r="BD17" s="191"/>
    </row>
    <row r="18" spans="12:56">
      <c r="AY18" s="198"/>
      <c r="AZ18" s="198"/>
      <c r="BA18" s="198"/>
      <c r="BB18" s="198"/>
      <c r="BC18" s="198"/>
      <c r="BD18" s="191"/>
    </row>
    <row r="19" spans="12:56">
      <c r="AY19" s="198"/>
      <c r="AZ19" s="198"/>
      <c r="BA19" s="198"/>
      <c r="BB19" s="198"/>
      <c r="BC19" s="198"/>
      <c r="BD19" s="191"/>
    </row>
    <row r="20" spans="12:56">
      <c r="N20" s="192" t="s">
        <v>395</v>
      </c>
      <c r="W20" s="192" t="s">
        <v>395</v>
      </c>
      <c r="AF20" s="192" t="s">
        <v>395</v>
      </c>
      <c r="AO20" s="192" t="s">
        <v>395</v>
      </c>
      <c r="AY20" s="198"/>
      <c r="AZ20" s="198"/>
      <c r="BA20" s="198"/>
      <c r="BB20" s="198"/>
      <c r="BC20" s="198"/>
      <c r="BD20" s="191"/>
    </row>
    <row r="21" spans="12:56">
      <c r="AY21" s="197" t="s">
        <v>426</v>
      </c>
      <c r="AZ21" s="198"/>
      <c r="BA21" s="198"/>
      <c r="BB21" s="198"/>
      <c r="BC21" s="198"/>
      <c r="BD21" s="191"/>
    </row>
    <row r="22" spans="12:56">
      <c r="AY22" s="199"/>
      <c r="AZ22" s="200" t="s">
        <v>281</v>
      </c>
      <c r="BA22" s="200" t="s">
        <v>282</v>
      </c>
      <c r="BB22" s="200" t="s">
        <v>283</v>
      </c>
      <c r="BC22" s="200" t="s">
        <v>280</v>
      </c>
      <c r="BD22" s="191"/>
    </row>
    <row r="23" spans="12:56">
      <c r="AY23" s="201" t="s">
        <v>411</v>
      </c>
      <c r="AZ23" s="202">
        <f>'3a. % by Portfolio'!G29</f>
        <v>0.90909090909090906</v>
      </c>
      <c r="BA23" s="202">
        <f>'3a. % by Portfolio'!N29</f>
        <v>0.96666666666666656</v>
      </c>
      <c r="BB23" s="202" t="e">
        <f>'3a. % by Portfolio'!U29</f>
        <v>#DIV/0!</v>
      </c>
      <c r="BC23" s="202">
        <f>'3a. % by Portfolio'!AB29</f>
        <v>0</v>
      </c>
      <c r="BD23" s="191"/>
    </row>
    <row r="24" spans="12:56">
      <c r="L24" s="193"/>
      <c r="M24" s="193"/>
      <c r="AY24" s="201" t="s">
        <v>412</v>
      </c>
      <c r="AZ24" s="202">
        <f>'3a. % by Portfolio'!G32</f>
        <v>9.0909090909090912E-2</v>
      </c>
      <c r="BA24" s="202">
        <f>'3a. % by Portfolio'!N32</f>
        <v>3.3333333333333333E-2</v>
      </c>
      <c r="BB24" s="202" t="e">
        <f>'3a. % by Portfolio'!U32</f>
        <v>#DIV/0!</v>
      </c>
      <c r="BC24" s="202">
        <f>'3a. % by Portfolio'!AB32</f>
        <v>0</v>
      </c>
      <c r="BD24" s="191"/>
    </row>
    <row r="25" spans="12:56">
      <c r="L25" s="193"/>
      <c r="M25" s="193"/>
      <c r="AY25" s="201" t="s">
        <v>413</v>
      </c>
      <c r="AZ25" s="202">
        <f>'3a. % by Portfolio'!G36</f>
        <v>0</v>
      </c>
      <c r="BA25" s="202">
        <f>'3a. % by Portfolio'!N36</f>
        <v>0</v>
      </c>
      <c r="BB25" s="202" t="e">
        <f>'3a. % by Portfolio'!U36</f>
        <v>#DIV/0!</v>
      </c>
      <c r="BC25" s="202">
        <f>'3a. % by Portfolio'!AB36</f>
        <v>0</v>
      </c>
      <c r="BD25" s="191"/>
    </row>
    <row r="26" spans="12:56">
      <c r="L26" s="193"/>
      <c r="M26" s="193"/>
      <c r="AY26" s="198"/>
      <c r="AZ26" s="198"/>
      <c r="BA26" s="198"/>
      <c r="BB26" s="198"/>
      <c r="BC26" s="198"/>
      <c r="BD26" s="191"/>
    </row>
    <row r="27" spans="12:56">
      <c r="AY27" s="204"/>
      <c r="AZ27" s="198"/>
      <c r="BA27" s="198"/>
      <c r="BB27" s="198"/>
      <c r="BC27" s="198"/>
      <c r="BD27" s="191"/>
    </row>
    <row r="28" spans="12:56">
      <c r="AY28" s="204"/>
      <c r="AZ28" s="198"/>
      <c r="BA28" s="198"/>
      <c r="BB28" s="198"/>
      <c r="BC28" s="198"/>
      <c r="BD28" s="191"/>
    </row>
    <row r="29" spans="12:56">
      <c r="AY29" s="204"/>
      <c r="AZ29" s="198"/>
      <c r="BA29" s="198"/>
      <c r="BB29" s="198"/>
      <c r="BC29" s="198"/>
      <c r="BD29" s="191"/>
    </row>
    <row r="30" spans="12:56">
      <c r="AY30" s="198"/>
      <c r="AZ30" s="198"/>
      <c r="BA30" s="198"/>
      <c r="BB30" s="198"/>
      <c r="BC30" s="198"/>
      <c r="BD30" s="191"/>
    </row>
    <row r="31" spans="12:56">
      <c r="AY31" s="198"/>
      <c r="AZ31" s="198"/>
      <c r="BA31" s="198"/>
      <c r="BB31" s="198"/>
      <c r="BC31" s="198"/>
      <c r="BD31" s="191"/>
    </row>
    <row r="32" spans="12:56">
      <c r="AY32" s="198"/>
      <c r="AZ32" s="198"/>
      <c r="BA32" s="198"/>
      <c r="BB32" s="198"/>
      <c r="BC32" s="198"/>
      <c r="BD32" s="191"/>
    </row>
    <row r="33" spans="11:56">
      <c r="AY33" s="198"/>
      <c r="AZ33" s="198"/>
      <c r="BA33" s="198"/>
      <c r="BB33" s="198"/>
      <c r="BC33" s="198"/>
      <c r="BD33" s="191"/>
    </row>
    <row r="34" spans="11:56">
      <c r="AY34" s="198"/>
      <c r="AZ34" s="198"/>
      <c r="BA34" s="198"/>
      <c r="BB34" s="198"/>
      <c r="BC34" s="198"/>
      <c r="BD34" s="191"/>
    </row>
    <row r="35" spans="11:56">
      <c r="AY35" s="198"/>
      <c r="AZ35" s="198"/>
      <c r="BA35" s="198"/>
      <c r="BB35" s="198"/>
      <c r="BC35" s="198"/>
      <c r="BD35" s="191"/>
    </row>
    <row r="36" spans="11:56">
      <c r="N36" s="192" t="s">
        <v>395</v>
      </c>
      <c r="W36" s="192" t="s">
        <v>395</v>
      </c>
      <c r="AF36" s="192" t="s">
        <v>395</v>
      </c>
      <c r="AO36" s="192" t="s">
        <v>395</v>
      </c>
      <c r="AY36" s="198"/>
      <c r="AZ36" s="198"/>
      <c r="BA36" s="198"/>
      <c r="BB36" s="198"/>
      <c r="BC36" s="198"/>
      <c r="BD36" s="191"/>
    </row>
    <row r="37" spans="11:56">
      <c r="AY37" s="197" t="s">
        <v>427</v>
      </c>
      <c r="AZ37" s="206"/>
      <c r="BA37" s="206"/>
      <c r="BB37" s="206"/>
      <c r="BC37" s="206"/>
      <c r="BD37" s="194"/>
    </row>
    <row r="38" spans="11:56">
      <c r="AY38" s="207"/>
      <c r="AZ38" s="200" t="s">
        <v>281</v>
      </c>
      <c r="BA38" s="200" t="s">
        <v>282</v>
      </c>
      <c r="BB38" s="200" t="s">
        <v>283</v>
      </c>
      <c r="BC38" s="200" t="s">
        <v>280</v>
      </c>
      <c r="BD38" s="194"/>
    </row>
    <row r="39" spans="11:56">
      <c r="AY39" s="201" t="s">
        <v>411</v>
      </c>
      <c r="AZ39" s="202">
        <f>'3a. % by Portfolio'!G51</f>
        <v>1</v>
      </c>
      <c r="BA39" s="202">
        <f>'3a. % by Portfolio'!N51</f>
        <v>0.9285714285714286</v>
      </c>
      <c r="BB39" s="202" t="e">
        <f>'3a. % by Portfolio'!U51</f>
        <v>#DIV/0!</v>
      </c>
      <c r="BC39" s="202">
        <f>'3a. % by Portfolio'!AB51</f>
        <v>0</v>
      </c>
      <c r="BD39" s="194"/>
    </row>
    <row r="40" spans="11:56">
      <c r="K40" s="193"/>
      <c r="L40" s="193"/>
      <c r="AY40" s="201" t="s">
        <v>412</v>
      </c>
      <c r="AZ40" s="202">
        <f>'3a. % by Portfolio'!G54</f>
        <v>0</v>
      </c>
      <c r="BA40" s="202">
        <f>'3a. % by Portfolio'!N54</f>
        <v>0</v>
      </c>
      <c r="BB40" s="202" t="e">
        <f>'3a. % by Portfolio'!U54</f>
        <v>#DIV/0!</v>
      </c>
      <c r="BC40" s="202">
        <f>'3a. % by Portfolio'!AB54</f>
        <v>0</v>
      </c>
      <c r="BD40" s="194"/>
    </row>
    <row r="41" spans="11:56">
      <c r="K41" s="193"/>
      <c r="L41" s="193"/>
      <c r="AY41" s="201" t="s">
        <v>413</v>
      </c>
      <c r="AZ41" s="202">
        <f>'3a. % by Portfolio'!G58</f>
        <v>0</v>
      </c>
      <c r="BA41" s="202">
        <f>'3a. % by Portfolio'!N58</f>
        <v>7.1428571428571425E-2</v>
      </c>
      <c r="BB41" s="202" t="e">
        <f>'3a. % by Portfolio'!U58</f>
        <v>#DIV/0!</v>
      </c>
      <c r="BC41" s="202">
        <f>'3a. % by Portfolio'!AB58</f>
        <v>0</v>
      </c>
      <c r="BD41" s="194"/>
    </row>
    <row r="42" spans="11:56">
      <c r="K42" s="193"/>
      <c r="L42" s="193"/>
      <c r="AY42" s="198"/>
      <c r="AZ42" s="198"/>
      <c r="BA42" s="198"/>
      <c r="BB42" s="198"/>
      <c r="BC42" s="198"/>
      <c r="BD42" s="191"/>
    </row>
    <row r="43" spans="11:56">
      <c r="AY43" s="204"/>
      <c r="AZ43" s="198"/>
      <c r="BA43" s="198"/>
      <c r="BB43" s="198"/>
      <c r="BC43" s="198"/>
      <c r="BD43" s="191"/>
    </row>
    <row r="44" spans="11:56">
      <c r="AY44" s="204"/>
      <c r="AZ44" s="198"/>
      <c r="BA44" s="198"/>
      <c r="BB44" s="198"/>
      <c r="BC44" s="198"/>
      <c r="BD44" s="191"/>
    </row>
    <row r="45" spans="11:56">
      <c r="AY45" s="204"/>
      <c r="AZ45" s="198"/>
      <c r="BA45" s="198"/>
      <c r="BB45" s="198"/>
      <c r="BC45" s="198"/>
      <c r="BD45" s="191"/>
    </row>
    <row r="46" spans="11:56">
      <c r="AY46" s="198"/>
      <c r="AZ46" s="198"/>
      <c r="BA46" s="198"/>
      <c r="BB46" s="198"/>
      <c r="BC46" s="198"/>
      <c r="BD46" s="191"/>
    </row>
    <row r="47" spans="11:56">
      <c r="AY47" s="198"/>
      <c r="AZ47" s="198"/>
      <c r="BA47" s="198"/>
      <c r="BB47" s="198"/>
      <c r="BC47" s="198"/>
      <c r="BD47" s="191"/>
    </row>
    <row r="48" spans="11:56">
      <c r="AY48" s="198"/>
      <c r="AZ48" s="198"/>
      <c r="BA48" s="198"/>
      <c r="BB48" s="198"/>
      <c r="BC48" s="198"/>
      <c r="BD48" s="191"/>
    </row>
    <row r="49" spans="12:56">
      <c r="AY49" s="198"/>
      <c r="AZ49" s="198"/>
      <c r="BA49" s="198"/>
      <c r="BB49" s="198"/>
      <c r="BC49" s="198"/>
      <c r="BD49" s="191"/>
    </row>
    <row r="50" spans="12:56">
      <c r="AY50" s="198"/>
      <c r="AZ50" s="198"/>
      <c r="BA50" s="198"/>
      <c r="BB50" s="198"/>
      <c r="BC50" s="198"/>
      <c r="BD50" s="191"/>
    </row>
    <row r="51" spans="12:56">
      <c r="AY51" s="198"/>
      <c r="AZ51" s="198"/>
      <c r="BA51" s="198"/>
      <c r="BB51" s="198"/>
      <c r="BC51" s="198"/>
      <c r="BD51" s="191"/>
    </row>
    <row r="52" spans="12:56">
      <c r="N52" s="192" t="s">
        <v>395</v>
      </c>
      <c r="W52" s="192" t="s">
        <v>395</v>
      </c>
      <c r="AF52" s="192" t="s">
        <v>395</v>
      </c>
      <c r="AO52" s="192" t="s">
        <v>395</v>
      </c>
      <c r="AY52" s="198"/>
      <c r="AZ52" s="198"/>
      <c r="BA52" s="198"/>
      <c r="BB52" s="198"/>
      <c r="BC52" s="198"/>
      <c r="BD52" s="191"/>
    </row>
    <row r="53" spans="12:56">
      <c r="AY53" s="197" t="s">
        <v>428</v>
      </c>
      <c r="AZ53" s="206"/>
      <c r="BA53" s="206"/>
      <c r="BB53" s="206"/>
      <c r="BC53" s="206"/>
      <c r="BD53" s="191"/>
    </row>
    <row r="54" spans="12:56">
      <c r="AY54" s="207"/>
      <c r="AZ54" s="200" t="s">
        <v>281</v>
      </c>
      <c r="BA54" s="200" t="s">
        <v>282</v>
      </c>
      <c r="BB54" s="200" t="s">
        <v>283</v>
      </c>
      <c r="BC54" s="200" t="s">
        <v>280</v>
      </c>
      <c r="BD54" s="191"/>
    </row>
    <row r="55" spans="12:56">
      <c r="AY55" s="201" t="s">
        <v>411</v>
      </c>
      <c r="AZ55" s="202">
        <f>'3a. % by Portfolio'!G73</f>
        <v>0.96153846153846145</v>
      </c>
      <c r="BA55" s="202">
        <f>'3a. % by Portfolio'!N73</f>
        <v>0.96296296296296291</v>
      </c>
      <c r="BB55" s="202" t="e">
        <f>'3a. % by Portfolio'!U73</f>
        <v>#DIV/0!</v>
      </c>
      <c r="BC55" s="202">
        <f>'3a. % by Portfolio'!AB73</f>
        <v>0</v>
      </c>
      <c r="BD55" s="191"/>
    </row>
    <row r="56" spans="12:56">
      <c r="L56" s="193"/>
      <c r="M56" s="193"/>
      <c r="AY56" s="201" t="s">
        <v>412</v>
      </c>
      <c r="AZ56" s="202">
        <f>'3a. % by Portfolio'!G76</f>
        <v>0</v>
      </c>
      <c r="BA56" s="202">
        <f>'3a. % by Portfolio'!N76</f>
        <v>0</v>
      </c>
      <c r="BB56" s="202" t="e">
        <f>'3a. % by Portfolio'!U76</f>
        <v>#DIV/0!</v>
      </c>
      <c r="BC56" s="202">
        <f>'3a. % by Portfolio'!AB76</f>
        <v>0</v>
      </c>
      <c r="BD56" s="191"/>
    </row>
    <row r="57" spans="12:56">
      <c r="L57" s="193"/>
      <c r="M57" s="193"/>
      <c r="AY57" s="201" t="s">
        <v>413</v>
      </c>
      <c r="AZ57" s="202">
        <f>'3a. % by Portfolio'!G80</f>
        <v>3.8461538461538464E-2</v>
      </c>
      <c r="BA57" s="202">
        <f>'3a. % by Portfolio'!N80</f>
        <v>3.7037037037037035E-2</v>
      </c>
      <c r="BB57" s="202" t="e">
        <f>'3a. % by Portfolio'!U80</f>
        <v>#DIV/0!</v>
      </c>
      <c r="BC57" s="202">
        <f>'3a. % by Portfolio'!AB80</f>
        <v>0</v>
      </c>
      <c r="BD57" s="191"/>
    </row>
    <row r="58" spans="12:56">
      <c r="L58" s="193"/>
      <c r="M58" s="193"/>
      <c r="AY58" s="198"/>
      <c r="AZ58" s="198"/>
      <c r="BA58" s="198"/>
      <c r="BB58" s="198"/>
      <c r="BC58" s="198"/>
      <c r="BD58" s="191"/>
    </row>
    <row r="59" spans="12:56">
      <c r="AY59" s="204"/>
      <c r="AZ59" s="198"/>
      <c r="BA59" s="198"/>
      <c r="BB59" s="198"/>
      <c r="BC59" s="198"/>
      <c r="BD59" s="191"/>
    </row>
    <row r="60" spans="12:56">
      <c r="AY60" s="204"/>
      <c r="AZ60" s="198"/>
      <c r="BA60" s="198"/>
      <c r="BB60" s="198"/>
      <c r="BC60" s="198"/>
      <c r="BD60" s="191"/>
    </row>
    <row r="61" spans="12:56">
      <c r="AY61" s="204"/>
      <c r="AZ61" s="198"/>
      <c r="BA61" s="198"/>
      <c r="BB61" s="198"/>
      <c r="BC61" s="198"/>
      <c r="BD61" s="191"/>
    </row>
    <row r="62" spans="12:56">
      <c r="AY62" s="198"/>
      <c r="AZ62" s="198"/>
      <c r="BA62" s="198"/>
      <c r="BB62" s="198"/>
      <c r="BC62" s="198"/>
      <c r="BD62" s="191"/>
    </row>
    <row r="63" spans="12:56">
      <c r="AY63" s="198"/>
      <c r="AZ63" s="198"/>
      <c r="BA63" s="198"/>
      <c r="BB63" s="198"/>
      <c r="BC63" s="198"/>
      <c r="BD63" s="191"/>
    </row>
    <row r="64" spans="12:56">
      <c r="AY64" s="198"/>
      <c r="AZ64" s="198"/>
      <c r="BA64" s="198"/>
      <c r="BB64" s="198"/>
      <c r="BC64" s="198"/>
      <c r="BD64" s="191"/>
    </row>
    <row r="65" spans="14:56">
      <c r="AY65" s="198"/>
      <c r="AZ65" s="198"/>
      <c r="BA65" s="198"/>
      <c r="BB65" s="198"/>
      <c r="BC65" s="198"/>
      <c r="BD65" s="191"/>
    </row>
    <row r="66" spans="14:56">
      <c r="AY66" s="198"/>
      <c r="AZ66" s="198"/>
      <c r="BA66" s="198"/>
      <c r="BB66" s="198"/>
      <c r="BC66" s="198"/>
      <c r="BD66" s="191"/>
    </row>
    <row r="68" spans="14:56">
      <c r="N68" s="192" t="s">
        <v>395</v>
      </c>
      <c r="W68" s="192" t="s">
        <v>395</v>
      </c>
      <c r="AF68" s="192" t="s">
        <v>395</v>
      </c>
      <c r="AO68" s="192" t="s">
        <v>395</v>
      </c>
      <c r="AY68" s="198"/>
      <c r="AZ68" s="198"/>
      <c r="BA68" s="198"/>
      <c r="BB68" s="198"/>
      <c r="BC68" s="198"/>
      <c r="BD68" s="191"/>
    </row>
    <row r="69" spans="14:56">
      <c r="AY69" s="197" t="s">
        <v>429</v>
      </c>
      <c r="AZ69" s="206"/>
      <c r="BA69" s="206"/>
      <c r="BB69" s="206"/>
      <c r="BC69" s="206"/>
    </row>
    <row r="70" spans="14:56">
      <c r="AY70" s="207"/>
      <c r="AZ70" s="200" t="s">
        <v>281</v>
      </c>
      <c r="BA70" s="200" t="s">
        <v>282</v>
      </c>
      <c r="BB70" s="200" t="s">
        <v>283</v>
      </c>
      <c r="BC70" s="200" t="s">
        <v>280</v>
      </c>
    </row>
    <row r="71" spans="14:56">
      <c r="AY71" s="201" t="s">
        <v>411</v>
      </c>
      <c r="AZ71" s="202">
        <f>'3a. % by Portfolio'!G95</f>
        <v>1</v>
      </c>
      <c r="BA71" s="202">
        <f>'3a. % by Portfolio'!N95</f>
        <v>1</v>
      </c>
      <c r="BB71" s="202" t="e">
        <f>'3a. % by Portfolio'!U95</f>
        <v>#DIV/0!</v>
      </c>
      <c r="BC71" s="202">
        <f>'3a. % by Portfolio'!AB95</f>
        <v>0</v>
      </c>
    </row>
    <row r="72" spans="14:56">
      <c r="AY72" s="201" t="s">
        <v>412</v>
      </c>
      <c r="AZ72" s="202">
        <f>'3a. % by Portfolio'!G98</f>
        <v>0</v>
      </c>
      <c r="BA72" s="202">
        <f>'3a. % by Portfolio'!N98</f>
        <v>0</v>
      </c>
      <c r="BB72" s="202" t="e">
        <f>'3a. % by Portfolio'!U98</f>
        <v>#DIV/0!</v>
      </c>
      <c r="BC72" s="202">
        <f>'3a. % by Portfolio'!AB98</f>
        <v>0</v>
      </c>
    </row>
    <row r="73" spans="14:56">
      <c r="AY73" s="201" t="s">
        <v>413</v>
      </c>
      <c r="AZ73" s="202">
        <f>'3a. % by Portfolio'!G102</f>
        <v>0</v>
      </c>
      <c r="BA73" s="202">
        <f>'3a. % by Portfolio'!N102</f>
        <v>0</v>
      </c>
      <c r="BB73" s="202" t="e">
        <f>'3a. % by Portfolio'!U102</f>
        <v>#DIV/0!</v>
      </c>
      <c r="BC73" s="202">
        <f>'3a. % by Portfolio'!AB102</f>
        <v>0</v>
      </c>
    </row>
    <row r="84" spans="14:56">
      <c r="N84" s="192" t="s">
        <v>395</v>
      </c>
      <c r="W84" s="192" t="s">
        <v>395</v>
      </c>
      <c r="AF84" s="192" t="s">
        <v>395</v>
      </c>
      <c r="AO84" s="192" t="s">
        <v>395</v>
      </c>
    </row>
    <row r="85" spans="14:56">
      <c r="AY85" s="197" t="s">
        <v>416</v>
      </c>
      <c r="AZ85" s="206"/>
      <c r="BA85" s="206"/>
      <c r="BB85" s="206"/>
      <c r="BC85" s="206"/>
    </row>
    <row r="86" spans="14:56">
      <c r="AY86" s="207"/>
      <c r="AZ86" s="200" t="s">
        <v>281</v>
      </c>
      <c r="BA86" s="200" t="s">
        <v>282</v>
      </c>
      <c r="BB86" s="200" t="s">
        <v>283</v>
      </c>
      <c r="BC86" s="200" t="s">
        <v>280</v>
      </c>
    </row>
    <row r="87" spans="14:56">
      <c r="AY87" s="201" t="s">
        <v>411</v>
      </c>
      <c r="AZ87" s="202">
        <f>'3a. % by Portfolio'!G117</f>
        <v>0</v>
      </c>
      <c r="BA87" s="202">
        <f>'3a. % by Portfolio'!N117</f>
        <v>0</v>
      </c>
      <c r="BB87" s="202">
        <f>'3a. % by Portfolio'!U117</f>
        <v>0</v>
      </c>
      <c r="BC87" s="202">
        <f>'3a. % by Portfolio'!AB117</f>
        <v>0</v>
      </c>
    </row>
    <row r="88" spans="14:56">
      <c r="AY88" s="201" t="s">
        <v>412</v>
      </c>
      <c r="AZ88" s="202">
        <f>'3a. % by Portfolio'!G120</f>
        <v>0</v>
      </c>
      <c r="BA88" s="202">
        <f>'3a. % by Portfolio'!N120</f>
        <v>0</v>
      </c>
      <c r="BB88" s="202">
        <f>'3a. % by Portfolio'!U120</f>
        <v>0</v>
      </c>
      <c r="BC88" s="202">
        <f>'3a. % by Portfolio'!AB120</f>
        <v>0</v>
      </c>
    </row>
    <row r="89" spans="14:56">
      <c r="AY89" s="201" t="s">
        <v>413</v>
      </c>
      <c r="AZ89" s="202">
        <f>'3a. % by Portfolio'!G124</f>
        <v>0</v>
      </c>
      <c r="BA89" s="202">
        <f>'3a. % by Portfolio'!N124</f>
        <v>0</v>
      </c>
      <c r="BB89" s="202">
        <f>'3a. % by Portfolio'!U124</f>
        <v>0</v>
      </c>
      <c r="BC89" s="202">
        <f>'3a. % by Portfolio'!AB124</f>
        <v>0</v>
      </c>
    </row>
    <row r="95" spans="14:56">
      <c r="AY95" s="208"/>
      <c r="AZ95" s="208"/>
      <c r="BA95" s="208"/>
      <c r="BB95" s="208"/>
      <c r="BC95" s="208"/>
      <c r="BD95" s="209"/>
    </row>
    <row r="96" spans="14:56">
      <c r="AY96" s="208"/>
      <c r="AZ96" s="208"/>
      <c r="BA96" s="208"/>
      <c r="BB96" s="208"/>
      <c r="BC96" s="208"/>
      <c r="BD96" s="209"/>
    </row>
    <row r="97" spans="14:56">
      <c r="AY97" s="208"/>
      <c r="AZ97" s="208"/>
      <c r="BA97" s="208"/>
      <c r="BB97" s="208"/>
      <c r="BC97" s="208"/>
      <c r="BD97" s="209"/>
    </row>
    <row r="98" spans="14:56">
      <c r="AY98" s="208"/>
      <c r="AZ98" s="208"/>
      <c r="BA98" s="208"/>
      <c r="BB98" s="208"/>
      <c r="BC98" s="208"/>
      <c r="BD98" s="209"/>
    </row>
    <row r="99" spans="14:56">
      <c r="AY99" s="208"/>
      <c r="AZ99" s="208"/>
      <c r="BA99" s="208"/>
      <c r="BB99" s="208"/>
      <c r="BC99" s="208"/>
      <c r="BD99" s="209"/>
    </row>
    <row r="100" spans="14:56">
      <c r="N100" s="192" t="s">
        <v>395</v>
      </c>
      <c r="W100" s="192" t="s">
        <v>395</v>
      </c>
      <c r="AF100" s="192" t="s">
        <v>395</v>
      </c>
      <c r="AO100" s="192" t="s">
        <v>395</v>
      </c>
      <c r="AY100" s="208"/>
      <c r="AZ100" s="208"/>
      <c r="BA100" s="208"/>
      <c r="BB100" s="208"/>
      <c r="BC100" s="208"/>
      <c r="BD100" s="209"/>
    </row>
    <row r="101" spans="14:56">
      <c r="AY101" s="210"/>
      <c r="AZ101" s="207"/>
      <c r="BA101" s="207"/>
      <c r="BB101" s="207"/>
      <c r="BC101" s="207"/>
      <c r="BD101" s="209"/>
    </row>
    <row r="102" spans="14:56">
      <c r="AY102" s="207"/>
      <c r="AZ102" s="203"/>
      <c r="BA102" s="203"/>
      <c r="BB102" s="203"/>
      <c r="BC102" s="203"/>
      <c r="BD102" s="209"/>
    </row>
    <row r="103" spans="14:56">
      <c r="AY103" s="207"/>
      <c r="AZ103" s="205"/>
      <c r="BA103" s="205"/>
      <c r="BB103" s="205"/>
      <c r="BC103" s="205"/>
      <c r="BD103" s="209"/>
    </row>
    <row r="104" spans="14:56">
      <c r="AY104" s="207"/>
      <c r="AZ104" s="205"/>
      <c r="BA104" s="205"/>
      <c r="BB104" s="205"/>
      <c r="BC104" s="205"/>
      <c r="BD104" s="209"/>
    </row>
    <row r="105" spans="14:56">
      <c r="AY105" s="207"/>
      <c r="AZ105" s="205"/>
      <c r="BA105" s="205"/>
      <c r="BB105" s="205"/>
      <c r="BC105" s="205"/>
      <c r="BD105" s="209"/>
    </row>
    <row r="106" spans="14:56">
      <c r="AY106" s="208"/>
      <c r="AZ106" s="208"/>
      <c r="BA106" s="208"/>
      <c r="BB106" s="208"/>
      <c r="BC106" s="208"/>
      <c r="BD106" s="209"/>
    </row>
    <row r="116" spans="14:41">
      <c r="N116" s="192" t="s">
        <v>395</v>
      </c>
      <c r="W116" s="192" t="s">
        <v>395</v>
      </c>
      <c r="AF116" s="192" t="s">
        <v>395</v>
      </c>
      <c r="AO116" s="192" t="s">
        <v>395</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60" zoomScaleNormal="60" workbookViewId="0">
      <selection activeCell="G4" sqref="G4"/>
    </sheetView>
  </sheetViews>
  <sheetFormatPr defaultColWidth="9.140625" defaultRowHeight="15"/>
  <cols>
    <col min="1" max="1" width="12.85546875" style="222" customWidth="1"/>
    <col min="2" max="2" width="55.28515625" style="222" customWidth="1"/>
    <col min="3" max="3" width="46.5703125" style="249" customWidth="1"/>
    <col min="4" max="10" width="26.140625" style="222" customWidth="1"/>
    <col min="11" max="14" width="9.140625" style="220" customWidth="1"/>
    <col min="15" max="15" width="16.5703125" style="220" hidden="1" customWidth="1"/>
    <col min="16" max="19" width="9.140625" style="220" hidden="1" customWidth="1"/>
    <col min="20" max="20" width="24.85546875" style="220" hidden="1" customWidth="1"/>
    <col min="21" max="25" width="9.140625" style="220" hidden="1" customWidth="1"/>
    <col min="26" max="26" width="0" style="220" hidden="1" customWidth="1"/>
    <col min="27" max="46" width="9.140625" style="220"/>
    <col min="47" max="16384" width="9.140625" style="222"/>
  </cols>
  <sheetData>
    <row r="1" spans="1:46" s="212" customFormat="1" ht="24" customHeight="1">
      <c r="A1" s="211" t="s">
        <v>395</v>
      </c>
      <c r="C1" s="213"/>
    </row>
    <row r="2" spans="1:46" s="215" customFormat="1" ht="60.75">
      <c r="A2" s="258" t="s">
        <v>431</v>
      </c>
      <c r="B2" s="258" t="s">
        <v>0</v>
      </c>
      <c r="C2" s="258" t="s">
        <v>1</v>
      </c>
      <c r="D2" s="259" t="s">
        <v>432</v>
      </c>
      <c r="E2" s="259" t="s">
        <v>433</v>
      </c>
      <c r="F2" s="259" t="s">
        <v>434</v>
      </c>
      <c r="G2" s="259" t="s">
        <v>435</v>
      </c>
      <c r="H2" s="259" t="s">
        <v>436</v>
      </c>
      <c r="I2" s="259" t="s">
        <v>437</v>
      </c>
      <c r="J2" s="259" t="s">
        <v>438</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ht="99.75" customHeight="1" thickBot="1">
      <c r="A3" s="237" t="str">
        <f>'1. All Data'!B3</f>
        <v>VFM01</v>
      </c>
      <c r="B3" s="253" t="str">
        <f>'1. All Data'!C3</f>
        <v>Set the MTFS for 2020/21 onwards</v>
      </c>
      <c r="C3" s="255" t="str">
        <f>'1. All Data'!D3</f>
        <v xml:space="preserve">Set Budget for Council Approval  </v>
      </c>
      <c r="D3" s="250" t="str">
        <f>'1. All Data'!H3</f>
        <v>On Track to be Achieved</v>
      </c>
      <c r="E3" s="256"/>
      <c r="F3" s="251" t="str">
        <f>'1. All Data'!M3</f>
        <v>On Track to be Achieved</v>
      </c>
      <c r="G3" s="257"/>
      <c r="H3" s="250" t="str">
        <f>'1. All Data'!R3</f>
        <v>Update Not Provided</v>
      </c>
      <c r="I3" s="257"/>
      <c r="J3" s="250" t="str">
        <f>'1. All Data'!V3</f>
        <v>Update not provided</v>
      </c>
      <c r="O3" s="221" t="s">
        <v>440</v>
      </c>
    </row>
    <row r="4" spans="1:46" ht="99.75" customHeight="1" thickTop="1" thickBot="1">
      <c r="A4" s="217" t="str">
        <f>'1. All Data'!B4</f>
        <v>VFM02</v>
      </c>
      <c r="B4" s="253" t="str">
        <f>'1. All Data'!C4</f>
        <v>Savings targets for 2019/20</v>
      </c>
      <c r="C4" s="254" t="str">
        <f>'1. All Data'!D4</f>
        <v xml:space="preserve">Achieve Savings Targets as Stated in the Medium Term Financial Strategy </v>
      </c>
      <c r="D4" s="250" t="str">
        <f>'1. All Data'!H4</f>
        <v>Not Yet Due</v>
      </c>
      <c r="E4" s="219"/>
      <c r="F4" s="251" t="str">
        <f>'1. All Data'!M4</f>
        <v>Not Yet Due</v>
      </c>
      <c r="G4" s="219"/>
      <c r="H4" s="252" t="str">
        <f>'1. All Data'!R4</f>
        <v>Update Not Provided</v>
      </c>
      <c r="I4" s="219"/>
      <c r="J4" s="252" t="str">
        <f>'1. All Data'!V4</f>
        <v>Update not provided</v>
      </c>
      <c r="O4" s="221" t="s">
        <v>442</v>
      </c>
      <c r="Y4" s="219" t="s">
        <v>441</v>
      </c>
    </row>
    <row r="5" spans="1:46" ht="99.75" customHeight="1" thickTop="1" thickBot="1">
      <c r="A5" s="217" t="str">
        <f>'1. All Data'!B5</f>
        <v>VFM03</v>
      </c>
      <c r="B5" s="253" t="str">
        <f>'1. All Data'!C5</f>
        <v xml:space="preserve">Having an approved Statement of Accounts </v>
      </c>
      <c r="C5" s="254" t="str">
        <f>'1. All Data'!D5</f>
        <v xml:space="preserve">Submit Statement of Accounts by New Statutory Deadline </v>
      </c>
      <c r="D5" s="250" t="str">
        <f>'1. All Data'!H5</f>
        <v>On Track to be Achieved</v>
      </c>
      <c r="E5" s="219"/>
      <c r="F5" s="251" t="str">
        <f>'1. All Data'!M5</f>
        <v>Fully Achieved</v>
      </c>
      <c r="G5" s="219"/>
      <c r="H5" s="252" t="str">
        <f>'1. All Data'!R5</f>
        <v>Update Not Provided</v>
      </c>
      <c r="I5" s="219"/>
      <c r="J5" s="252" t="str">
        <f>'1. All Data'!V5</f>
        <v>Update not provided</v>
      </c>
      <c r="O5" s="221" t="s">
        <v>443</v>
      </c>
      <c r="T5" s="223"/>
      <c r="Y5" s="224" t="s">
        <v>444</v>
      </c>
    </row>
    <row r="6" spans="1:46" ht="89.25" thickTop="1" thickBot="1">
      <c r="A6" s="217" t="str">
        <f>'1. All Data'!B6</f>
        <v>VFM04</v>
      </c>
      <c r="B6" s="253" t="str">
        <f>'1. All Data'!C6</f>
        <v>Responding to Significant Local Government Finance Changes and Assessing the Impact on the Council’s Financial Position</v>
      </c>
      <c r="C6" s="254" t="str">
        <f>'1. All Data'!D6</f>
        <v xml:space="preserve">Activities Throughout the Year Reported in Line with the Timed Responses </v>
      </c>
      <c r="D6" s="250" t="str">
        <f>'1. All Data'!H6</f>
        <v>On Track to be Achieved</v>
      </c>
      <c r="E6" s="219"/>
      <c r="F6" s="251" t="str">
        <f>'1. All Data'!M6</f>
        <v>On Track to be Achieved</v>
      </c>
      <c r="G6" s="219"/>
      <c r="H6" s="252" t="str">
        <f>'1. All Data'!R6</f>
        <v>Update Not Provided</v>
      </c>
      <c r="I6" s="219"/>
      <c r="J6" s="252" t="str">
        <f>'1. All Data'!V6</f>
        <v>Update not provided</v>
      </c>
      <c r="O6" s="225" t="s">
        <v>439</v>
      </c>
      <c r="T6" s="226" t="s">
        <v>444</v>
      </c>
    </row>
    <row r="7" spans="1:46" ht="99.75" customHeight="1" thickTop="1">
      <c r="A7" s="217" t="str">
        <f>'1. All Data'!B7</f>
        <v>VFM05</v>
      </c>
      <c r="B7" s="253" t="str">
        <f>'1. All Data'!C7</f>
        <v>Internal Audit Service Procurement</v>
      </c>
      <c r="C7" s="254" t="str">
        <f>'1. All Data'!D7</f>
        <v>Procurement concluded and new contract awarded</v>
      </c>
      <c r="D7" s="250" t="str">
        <f>'1. All Data'!H7</f>
        <v>On Track to be Achieved</v>
      </c>
      <c r="E7" s="219"/>
      <c r="F7" s="251" t="str">
        <f>'1. All Data'!M7</f>
        <v>On Track to be Achieved</v>
      </c>
      <c r="G7" s="219"/>
      <c r="H7" s="252" t="str">
        <f>'1. All Data'!R7</f>
        <v>Update Not Provided</v>
      </c>
      <c r="I7" s="219"/>
      <c r="J7" s="252" t="str">
        <f>'1. All Data'!V7</f>
        <v>Update not provided</v>
      </c>
      <c r="T7" s="226" t="s">
        <v>445</v>
      </c>
    </row>
    <row r="8" spans="1:46" ht="99.75" customHeight="1">
      <c r="A8" s="217" t="str">
        <f>'1. All Data'!B8</f>
        <v>VFM06</v>
      </c>
      <c r="B8" s="253" t="str">
        <f>'1. All Data'!C8</f>
        <v xml:space="preserve">Working towards the Government’s new HMRC VAT Digitalisation Compliance requirements </v>
      </c>
      <c r="C8" s="254" t="str">
        <f>'1. All Data'!D8</f>
        <v>Compliance Report completed</v>
      </c>
      <c r="D8" s="250" t="str">
        <f>'1. All Data'!H8</f>
        <v>Not Yet Due</v>
      </c>
      <c r="E8" s="219"/>
      <c r="F8" s="251" t="str">
        <f>'1. All Data'!M8</f>
        <v>On Track to be Achieved</v>
      </c>
      <c r="G8" s="219"/>
      <c r="H8" s="252" t="str">
        <f>'1. All Data'!R8</f>
        <v>Update Not Provided</v>
      </c>
      <c r="I8" s="219"/>
      <c r="J8" s="252" t="str">
        <f>'1. All Data'!V8</f>
        <v>Update not provided</v>
      </c>
      <c r="T8" s="226" t="s">
        <v>441</v>
      </c>
    </row>
    <row r="9" spans="1:46" ht="99.75" customHeight="1">
      <c r="A9" s="217" t="str">
        <f>'1. All Data'!B9</f>
        <v>VFM07</v>
      </c>
      <c r="B9" s="253" t="str">
        <f>'1. All Data'!C9</f>
        <v>Continuing to digitise SMARTER services</v>
      </c>
      <c r="C9" s="254" t="str">
        <f>'1. All Data'!D9</f>
        <v xml:space="preserve">Secure Integrated Service Request and Payment mechanism developed and implemented </v>
      </c>
      <c r="D9" s="250" t="str">
        <f>'1. All Data'!H9</f>
        <v>On Track to be Achieved</v>
      </c>
      <c r="E9" s="218"/>
      <c r="F9" s="251" t="str">
        <f>'1. All Data'!M9</f>
        <v>In Danger of Falling Behind Target</v>
      </c>
      <c r="G9" s="219"/>
      <c r="H9" s="252" t="str">
        <f>'1. All Data'!R9</f>
        <v>Update Not Provided</v>
      </c>
      <c r="I9" s="219"/>
      <c r="J9" s="252" t="str">
        <f>'1. All Data'!V9</f>
        <v>Update not provided</v>
      </c>
    </row>
    <row r="10" spans="1:46" ht="99.75" customHeight="1">
      <c r="A10" s="217" t="str">
        <f>'1. All Data'!B10</f>
        <v>VFM08</v>
      </c>
      <c r="B10" s="253" t="str">
        <f>'1. All Data'!C10</f>
        <v>Continuing to digitise SMARTER services</v>
      </c>
      <c r="C10" s="254" t="str">
        <f>'1. All Data'!D10</f>
        <v>Audio recording of Council meetings added to Corporate Website</v>
      </c>
      <c r="D10" s="250" t="str">
        <f>'1. All Data'!H10</f>
        <v>On Track to be Achieved</v>
      </c>
      <c r="E10" s="218"/>
      <c r="F10" s="251" t="str">
        <f>'1. All Data'!M10</f>
        <v>Fully Achieved</v>
      </c>
      <c r="G10" s="219"/>
      <c r="H10" s="252" t="str">
        <f>'1. All Data'!R10</f>
        <v>Update Not Provided</v>
      </c>
      <c r="I10" s="219"/>
      <c r="J10" s="252" t="str">
        <f>'1. All Data'!V10</f>
        <v>Update not provided</v>
      </c>
    </row>
    <row r="11" spans="1:46" ht="99.75" customHeight="1">
      <c r="A11" s="217" t="str">
        <f>'1. All Data'!B11</f>
        <v>VFM09</v>
      </c>
      <c r="B11" s="253" t="str">
        <f>'1. All Data'!C11</f>
        <v>Continuing to digitise SMARTER services</v>
      </c>
      <c r="C11" s="254" t="str">
        <f>'1. All Data'!D11</f>
        <v>80% of 2019/20 Milestones in New Digital Strategy Achieved</v>
      </c>
      <c r="D11" s="250" t="str">
        <f>'1. All Data'!H11</f>
        <v>Not Yet Due</v>
      </c>
      <c r="E11" s="218"/>
      <c r="F11" s="251" t="str">
        <f>'1. All Data'!M11</f>
        <v>On Track to be Achieved</v>
      </c>
      <c r="G11" s="219"/>
      <c r="H11" s="252" t="str">
        <f>'1. All Data'!R11</f>
        <v>Update Not Provided</v>
      </c>
      <c r="I11" s="219"/>
      <c r="J11" s="252" t="str">
        <f>'1. All Data'!V11</f>
        <v>Update not provided</v>
      </c>
    </row>
    <row r="12" spans="1:46" ht="99.75" customHeight="1">
      <c r="A12" s="217" t="str">
        <f>'1. All Data'!B12</f>
        <v>VFM10</v>
      </c>
      <c r="B12" s="253" t="str">
        <f>'1. All Data'!C12</f>
        <v xml:space="preserve">Providing a more secure ICT working environment </v>
      </c>
      <c r="C12" s="254" t="str">
        <f>'1. All Data'!D12</f>
        <v xml:space="preserve">Security Arrangements to Meet Requirements of PSN (or Replacement)  </v>
      </c>
      <c r="D12" s="250" t="str">
        <f>'1. All Data'!H12</f>
        <v>On Track to be Achieved</v>
      </c>
      <c r="E12" s="219"/>
      <c r="F12" s="251" t="str">
        <f>'1. All Data'!M12</f>
        <v>On Track to be Achieved</v>
      </c>
      <c r="G12" s="219"/>
      <c r="H12" s="252" t="str">
        <f>'1. All Data'!R12</f>
        <v>Update Not Provided</v>
      </c>
      <c r="I12" s="226"/>
      <c r="J12" s="252" t="str">
        <f>'1. All Data'!V12</f>
        <v>Update not provided</v>
      </c>
    </row>
    <row r="13" spans="1:46" ht="99.75" customHeight="1">
      <c r="A13" s="217" t="str">
        <f>'1. All Data'!B13</f>
        <v>VFM11</v>
      </c>
      <c r="B13" s="253" t="str">
        <f>'1. All Data'!C13</f>
        <v xml:space="preserve">Providing a more secure ICT working environment     </v>
      </c>
      <c r="C13" s="254" t="str">
        <f>'1. All Data'!D13</f>
        <v>Preferred biometric approach to password replacement identified and commenced</v>
      </c>
      <c r="D13" s="250" t="str">
        <f>'1. All Data'!H13</f>
        <v>On Track to be Achieved</v>
      </c>
      <c r="E13" s="219"/>
      <c r="F13" s="251" t="str">
        <f>'1. All Data'!M13</f>
        <v>Fully Achieved</v>
      </c>
      <c r="G13" s="219"/>
      <c r="H13" s="252" t="str">
        <f>'1. All Data'!R13</f>
        <v>Update Not Provided</v>
      </c>
      <c r="I13" s="219"/>
      <c r="J13" s="252" t="str">
        <f>'1. All Data'!V13</f>
        <v>Update not provided</v>
      </c>
    </row>
    <row r="14" spans="1:46" ht="99.75" customHeight="1">
      <c r="A14" s="217" t="str">
        <f>'1. All Data'!B14</f>
        <v>VFM12</v>
      </c>
      <c r="B14" s="253" t="str">
        <f>'1. All Data'!C14</f>
        <v xml:space="preserve">Successfully deliver local elections  </v>
      </c>
      <c r="C14" s="254" t="str">
        <f>'1. All Data'!D14</f>
        <v>Local elections delivered</v>
      </c>
      <c r="D14" s="250" t="str">
        <f>'1. All Data'!H14</f>
        <v>Fully Achieved</v>
      </c>
      <c r="E14" s="219"/>
      <c r="F14" s="251" t="str">
        <f>'1. All Data'!M14</f>
        <v>Fully Achieved</v>
      </c>
      <c r="G14" s="219"/>
      <c r="H14" s="252" t="str">
        <f>'1. All Data'!R14</f>
        <v>Update Not Provided</v>
      </c>
      <c r="I14" s="219"/>
      <c r="J14" s="252" t="str">
        <f>'1. All Data'!V14</f>
        <v>Update not provided</v>
      </c>
    </row>
    <row r="15" spans="1:46" ht="99.75" customHeight="1">
      <c r="A15" s="217" t="str">
        <f>'1. All Data'!B15</f>
        <v>VFM13</v>
      </c>
      <c r="B15" s="253" t="str">
        <f>'1. All Data'!C15</f>
        <v>Carry out detailed Procurement / Contractor Consolidation / Spend Analysis</v>
      </c>
      <c r="C15" s="254" t="str">
        <f>'1. All Data'!D15</f>
        <v>Report and way forward approved</v>
      </c>
      <c r="D15" s="250" t="str">
        <f>'1. All Data'!H15</f>
        <v>Not Yet Due</v>
      </c>
      <c r="E15" s="219"/>
      <c r="F15" s="251" t="str">
        <f>'1. All Data'!M15</f>
        <v>Not Yet Due</v>
      </c>
      <c r="G15" s="219"/>
      <c r="H15" s="252" t="str">
        <f>'1. All Data'!R15</f>
        <v>Update Not Provided</v>
      </c>
      <c r="I15" s="219"/>
      <c r="J15" s="252" t="str">
        <f>'1. All Data'!V15</f>
        <v>Update not provided</v>
      </c>
    </row>
    <row r="16" spans="1:46" ht="99.75" customHeight="1">
      <c r="A16" s="217" t="str">
        <f>'1. All Data'!B16</f>
        <v>VFM14</v>
      </c>
      <c r="B16" s="253" t="str">
        <f>'1. All Data'!C16</f>
        <v>Increasing Staffing Availability Through Reduced Sickness</v>
      </c>
      <c r="C16" s="254" t="str">
        <f>'1. All Data'!D16</f>
        <v>Short Term Sickness Days Average: 
2.75 days</v>
      </c>
      <c r="D16" s="250" t="str">
        <f>'1. All Data'!H16</f>
        <v>On Track to be Achieved</v>
      </c>
      <c r="E16" s="219"/>
      <c r="F16" s="251" t="str">
        <f>'1. All Data'!M16</f>
        <v>On Track to be Achieved</v>
      </c>
      <c r="G16" s="219"/>
      <c r="H16" s="252" t="str">
        <f>'1. All Data'!R16</f>
        <v>Update Not Provided</v>
      </c>
      <c r="I16" s="219"/>
      <c r="J16" s="252" t="str">
        <f>'1. All Data'!V16</f>
        <v>Update not provided</v>
      </c>
    </row>
    <row r="17" spans="1:10" ht="99.75" customHeight="1">
      <c r="A17" s="217" t="str">
        <f>'1. All Data'!B17</f>
        <v>VFM15</v>
      </c>
      <c r="B17" s="253" t="str">
        <f>'1. All Data'!C17</f>
        <v>Improve On The Average Time To Pay Creditors</v>
      </c>
      <c r="C17" s="254" t="str">
        <f>'1. All Data'!D17</f>
        <v>Average Time To Pay Creditors:
12 days</v>
      </c>
      <c r="D17" s="250" t="str">
        <f>'1. All Data'!H17</f>
        <v>On Track to be Achieved</v>
      </c>
      <c r="E17" s="219"/>
      <c r="F17" s="251" t="str">
        <f>'1. All Data'!M17</f>
        <v>On Track to be Achieved</v>
      </c>
      <c r="G17" s="219"/>
      <c r="H17" s="252" t="str">
        <f>'1. All Data'!R17</f>
        <v>Update Not Provided</v>
      </c>
      <c r="I17" s="219"/>
      <c r="J17" s="252" t="str">
        <f>'1. All Data'!V17</f>
        <v>Update not provided</v>
      </c>
    </row>
    <row r="18" spans="1:10" ht="99.75" customHeight="1">
      <c r="A18" s="217" t="str">
        <f>'1. All Data'!B18</f>
        <v>VFM16</v>
      </c>
      <c r="B18" s="253" t="str">
        <f>'1. All Data'!C18</f>
        <v>Legal and Assets</v>
      </c>
      <c r="C18" s="254" t="str">
        <f>'1. All Data'!D18</f>
        <v>Carry out works to Canal Street industrial units, as identified in the condition survey</v>
      </c>
      <c r="D18" s="250" t="str">
        <f>'1. All Data'!H18</f>
        <v>Not Yet Due</v>
      </c>
      <c r="E18" s="219"/>
      <c r="F18" s="251" t="str">
        <f>'1. All Data'!M18</f>
        <v>On Track to be Achieved</v>
      </c>
      <c r="G18" s="219"/>
      <c r="H18" s="252" t="str">
        <f>'1. All Data'!R18</f>
        <v>Update Not Provided</v>
      </c>
      <c r="I18" s="219"/>
      <c r="J18" s="252" t="str">
        <f>'1. All Data'!V18</f>
        <v>Update not provided</v>
      </c>
    </row>
    <row r="19" spans="1:10" ht="99.75" customHeight="1">
      <c r="A19" s="217" t="str">
        <f>'1. All Data'!B19</f>
        <v>VFM17</v>
      </c>
      <c r="B19" s="253" t="str">
        <f>'1. All Data'!C19</f>
        <v>Legal and Assets</v>
      </c>
      <c r="C19" s="254" t="str">
        <f>'1. All Data'!D19</f>
        <v>Condition Survey commissioned for miscellaneous Council properties</v>
      </c>
      <c r="D19" s="250" t="str">
        <f>'1. All Data'!H19</f>
        <v>Not Yet Due</v>
      </c>
      <c r="E19" s="218"/>
      <c r="F19" s="251" t="str">
        <f>'1. All Data'!M19</f>
        <v>Fully Achieved</v>
      </c>
      <c r="G19" s="219"/>
      <c r="H19" s="252" t="str">
        <f>'1. All Data'!R19</f>
        <v>Update Not Provided</v>
      </c>
      <c r="I19" s="219"/>
      <c r="J19" s="252" t="str">
        <f>'1. All Data'!V19</f>
        <v>Update not provided</v>
      </c>
    </row>
    <row r="20" spans="1:10" ht="99.75" customHeight="1">
      <c r="A20" s="217" t="str">
        <f>'1. All Data'!B20</f>
        <v>VFM18</v>
      </c>
      <c r="B20" s="253" t="str">
        <f>'1. All Data'!C20</f>
        <v>Maintain Robust Mechanisms for Contract Managing the New Leisure Service Arrangements</v>
      </c>
      <c r="C20" s="254" t="str">
        <f>'1. All Data'!D20</f>
        <v xml:space="preserve">Report on the performance of the Leisure Services contractor on a quarterly basis </v>
      </c>
      <c r="D20" s="250" t="str">
        <f>'1. All Data'!H20</f>
        <v>On Track to be Achieved</v>
      </c>
      <c r="E20" s="218"/>
      <c r="F20" s="251" t="str">
        <f>'1. All Data'!M20</f>
        <v>On Track to be Achieved</v>
      </c>
      <c r="G20" s="219"/>
      <c r="H20" s="252" t="str">
        <f>'1. All Data'!R20</f>
        <v>Update Not Provided</v>
      </c>
      <c r="I20" s="219"/>
      <c r="J20" s="252" t="str">
        <f>'1. All Data'!V20</f>
        <v>Update not provided</v>
      </c>
    </row>
    <row r="21" spans="1:10" ht="99.75" customHeight="1">
      <c r="A21" s="217" t="str">
        <f>'1. All Data'!B21</f>
        <v>VFM19</v>
      </c>
      <c r="B21" s="253" t="str">
        <f>'1. All Data'!C21</f>
        <v>Review Strategic Sport and Leisure Approach in Line with New Leisure Service Arrangements</v>
      </c>
      <c r="C21" s="254" t="str">
        <f>'1. All Data'!D21</f>
        <v>Undertake a  benchmarking exercise to support the delivery of the leisure management contract</v>
      </c>
      <c r="D21" s="250" t="str">
        <f>'1. All Data'!H21</f>
        <v>Not Yet Due</v>
      </c>
      <c r="E21" s="219"/>
      <c r="F21" s="251" t="str">
        <f>'1. All Data'!M21</f>
        <v>On Track to be Achieved</v>
      </c>
      <c r="G21" s="219"/>
      <c r="H21" s="252" t="str">
        <f>'1. All Data'!R21</f>
        <v>Update Not Provided</v>
      </c>
      <c r="I21" s="219"/>
      <c r="J21" s="252" t="str">
        <f>'1. All Data'!V21</f>
        <v>Update not provided</v>
      </c>
    </row>
    <row r="22" spans="1:10" ht="99.75" customHeight="1">
      <c r="A22" s="217" t="str">
        <f>'1. All Data'!B22</f>
        <v>VFM20</v>
      </c>
      <c r="B22" s="253" t="str">
        <f>'1. All Data'!C22</f>
        <v xml:space="preserve">Review Strategic Sport and Leisure Approach in Line with New Leisure Service Arrangements </v>
      </c>
      <c r="C22" s="254" t="str">
        <f>'1. All Data'!D22</f>
        <v>Conduct a review of the relevant Sport and Leisure Strategy and Policy Documents and create a plan for their delivery</v>
      </c>
      <c r="D22" s="250" t="str">
        <f>'1. All Data'!H22</f>
        <v>On Track to be Achieved</v>
      </c>
      <c r="E22" s="219"/>
      <c r="F22" s="251" t="str">
        <f>'1. All Data'!M22</f>
        <v>On Track to be Achieved</v>
      </c>
      <c r="G22" s="219"/>
      <c r="H22" s="252" t="str">
        <f>'1. All Data'!R22</f>
        <v>Update Not Provided</v>
      </c>
      <c r="I22" s="219"/>
      <c r="J22" s="252" t="str">
        <f>'1. All Data'!V22</f>
        <v>Update not provided</v>
      </c>
    </row>
    <row r="23" spans="1:10" ht="99.75" customHeight="1">
      <c r="A23" s="217" t="str">
        <f>'1. All Data'!B23</f>
        <v>VFM21</v>
      </c>
      <c r="B23" s="253" t="str">
        <f>'1. All Data'!C23</f>
        <v>Open Spaces Service Development Initiatives</v>
      </c>
      <c r="C23" s="254" t="str">
        <f>'1. All Data'!D23</f>
        <v>Review the Open Spaces/Grounds Maintenance Contract in preparation for retendering in 2020/21</v>
      </c>
      <c r="D23" s="250" t="str">
        <f>'1. All Data'!H23</f>
        <v>On Track to be Achieved</v>
      </c>
      <c r="E23" s="219"/>
      <c r="F23" s="251" t="str">
        <f>'1. All Data'!M23</f>
        <v>Not Yet Due</v>
      </c>
      <c r="G23" s="219"/>
      <c r="H23" s="252" t="str">
        <f>'1. All Data'!R23</f>
        <v>Update Not Provided</v>
      </c>
      <c r="I23" s="219"/>
      <c r="J23" s="252" t="str">
        <f>'1. All Data'!V23</f>
        <v>Update not provided</v>
      </c>
    </row>
    <row r="24" spans="1:10" ht="99.75" customHeight="1">
      <c r="A24" s="217" t="str">
        <f>'1. All Data'!B24</f>
        <v>VFM22</v>
      </c>
      <c r="B24" s="253" t="str">
        <f>'1. All Data'!C24</f>
        <v>Open Spaces Service Development Initiatives</v>
      </c>
      <c r="C24" s="254" t="str">
        <f>'1. All Data'!D24</f>
        <v xml:space="preserve">Commission a consultant to assess the potential practical and capital requirements for the expansion of Stapenhill Cemetery </v>
      </c>
      <c r="D24" s="250" t="str">
        <f>'1. All Data'!H24</f>
        <v>On Track to be Achieved</v>
      </c>
      <c r="E24" s="219"/>
      <c r="F24" s="251" t="str">
        <f>'1. All Data'!M24</f>
        <v>Fully Achieved</v>
      </c>
      <c r="G24" s="219"/>
      <c r="H24" s="252" t="str">
        <f>'1. All Data'!R24</f>
        <v>Update Not Provided</v>
      </c>
      <c r="I24" s="219"/>
      <c r="J24" s="252" t="str">
        <f>'1. All Data'!V24</f>
        <v>Update not provided</v>
      </c>
    </row>
    <row r="25" spans="1:10" ht="99.75" customHeight="1">
      <c r="A25" s="217" t="str">
        <f>'1. All Data'!B25</f>
        <v>VFM23</v>
      </c>
      <c r="B25" s="253" t="str">
        <f>'1. All Data'!C25</f>
        <v>Open Spaces Service Development Initiatives</v>
      </c>
      <c r="C25" s="254" t="str">
        <f>'1. All Data'!D25</f>
        <v xml:space="preserve">Review the options for improving the energy efficiency of lighting stock on Council land across the Borough </v>
      </c>
      <c r="D25" s="250" t="str">
        <f>'1. All Data'!H25</f>
        <v>On Track to be Achieved</v>
      </c>
      <c r="E25" s="219"/>
      <c r="F25" s="251" t="str">
        <f>'1. All Data'!M25</f>
        <v>Fully Achieved</v>
      </c>
      <c r="G25" s="219"/>
      <c r="H25" s="252" t="str">
        <f>'1. All Data'!R25</f>
        <v>Update Not Provided</v>
      </c>
      <c r="I25" s="219"/>
      <c r="J25" s="252" t="str">
        <f>'1. All Data'!V25</f>
        <v>Update not provided</v>
      </c>
    </row>
    <row r="26" spans="1:10" ht="99.75" customHeight="1">
      <c r="A26" s="217" t="str">
        <f>'1. All Data'!B26</f>
        <v>VFM24</v>
      </c>
      <c r="B26" s="253" t="str">
        <f>'1. All Data'!C26</f>
        <v>Open Spaces Service Development Initiatives</v>
      </c>
      <c r="C26" s="254" t="str">
        <f>'1. All Data'!D26</f>
        <v xml:space="preserve">Review the first years performance of the Alertcom lone working system  </v>
      </c>
      <c r="D26" s="250" t="str">
        <f>'1. All Data'!H26</f>
        <v>Fully Achieved</v>
      </c>
      <c r="E26" s="219"/>
      <c r="F26" s="251" t="str">
        <f>'1. All Data'!M26</f>
        <v>Fully Achieved</v>
      </c>
      <c r="G26" s="226"/>
      <c r="H26" s="252" t="str">
        <f>'1. All Data'!R26</f>
        <v>Update Not Provided</v>
      </c>
      <c r="I26" s="219"/>
      <c r="J26" s="252" t="str">
        <f>'1. All Data'!V26</f>
        <v>Update not provided</v>
      </c>
    </row>
    <row r="27" spans="1:10" ht="99.75" customHeight="1">
      <c r="A27" s="217" t="str">
        <f>'1. All Data'!B27</f>
        <v>VFM25</v>
      </c>
      <c r="B27" s="253" t="str">
        <f>'1. All Data'!C27</f>
        <v>Brewhouse, Arts and Town Hall Developments</v>
      </c>
      <c r="C27" s="254" t="str">
        <f>'1. All Data'!D27</f>
        <v>Investigate new models of delivery for the Brewhouse Arts Facilities, Civic Function Suite and Arts Development</v>
      </c>
      <c r="D27" s="250" t="str">
        <f>'1. All Data'!H27</f>
        <v>On Track to be Achieved</v>
      </c>
      <c r="E27" s="219"/>
      <c r="F27" s="251" t="str">
        <f>'1. All Data'!M27</f>
        <v>On Track to be Achieved</v>
      </c>
      <c r="G27" s="219"/>
      <c r="H27" s="252" t="str">
        <f>'1. All Data'!R27</f>
        <v>Update Not Provided</v>
      </c>
      <c r="I27" s="219"/>
      <c r="J27" s="252" t="str">
        <f>'1. All Data'!V27</f>
        <v>Update not provided</v>
      </c>
    </row>
    <row r="28" spans="1:10" ht="99.75" customHeight="1">
      <c r="A28" s="217" t="str">
        <f>'1. All Data'!B28</f>
        <v>VFM26</v>
      </c>
      <c r="B28" s="253" t="str">
        <f>'1. All Data'!C28</f>
        <v>Improve Awareness of ESBC Venues and Initiatives</v>
      </c>
      <c r="C28" s="254" t="str">
        <f>'1. All Data'!D28</f>
        <v>Produce Marketing and Development Plans for key services and provide quarterly updates on performance</v>
      </c>
      <c r="D28" s="250" t="str">
        <f>'1. All Data'!H28</f>
        <v>On Track to be Achieved</v>
      </c>
      <c r="E28" s="218"/>
      <c r="F28" s="251" t="str">
        <f>'1. All Data'!M28</f>
        <v>On Track to be Achieved</v>
      </c>
      <c r="G28" s="219"/>
      <c r="H28" s="252" t="str">
        <f>'1. All Data'!R28</f>
        <v>Update Not Provided</v>
      </c>
      <c r="I28" s="219"/>
      <c r="J28" s="252" t="str">
        <f>'1. All Data'!V28</f>
        <v>Update not provided</v>
      </c>
    </row>
    <row r="29" spans="1:10" ht="99.75" customHeight="1">
      <c r="A29" s="217" t="str">
        <f>'1. All Data'!B29</f>
        <v>VFM27</v>
      </c>
      <c r="B29" s="253" t="str">
        <f>'1. All Data'!C29</f>
        <v xml:space="preserve">Improve Awareness of ESBC Venues and Initiatives </v>
      </c>
      <c r="C29" s="254" t="str">
        <f>'1. All Data'!D29</f>
        <v>Deliver a minimum of 2 Town Centre initiatives in Conjunction with local partners</v>
      </c>
      <c r="D29" s="250" t="str">
        <f>'1. All Data'!H29</f>
        <v>On Track to be Achieved</v>
      </c>
      <c r="E29" s="219"/>
      <c r="F29" s="251" t="str">
        <f>'1. All Data'!M29</f>
        <v>On Track to be Achieved</v>
      </c>
      <c r="G29" s="227"/>
      <c r="H29" s="252" t="str">
        <f>'1. All Data'!R29</f>
        <v>Update Not Provided</v>
      </c>
      <c r="I29" s="219"/>
      <c r="J29" s="252" t="str">
        <f>'1. All Data'!V29</f>
        <v>Update not provided</v>
      </c>
    </row>
    <row r="30" spans="1:10" ht="99.75" customHeight="1">
      <c r="A30" s="217" t="str">
        <f>'1. All Data'!B30</f>
        <v>VFM28</v>
      </c>
      <c r="B30" s="253" t="str">
        <f>'1. All Data'!C30</f>
        <v>Improve Awareness of ESBC Venues and Initiatives</v>
      </c>
      <c r="C30" s="254" t="str">
        <f>'1. All Data'!D30</f>
        <v>Organise a minimum of 4 “Outreach” Days (1 Per Quarter) to raise the profile of the Council’s services</v>
      </c>
      <c r="D30" s="250" t="str">
        <f>'1. All Data'!H30</f>
        <v>On Track to be Achieved</v>
      </c>
      <c r="E30" s="219"/>
      <c r="F30" s="251" t="str">
        <f>'1. All Data'!M30</f>
        <v>On Track to be Achieved</v>
      </c>
      <c r="G30" s="219"/>
      <c r="H30" s="252" t="str">
        <f>'1. All Data'!R30</f>
        <v>Update Not Provided</v>
      </c>
      <c r="I30" s="219"/>
      <c r="J30" s="252" t="str">
        <f>'1. All Data'!V30</f>
        <v>Update not provided</v>
      </c>
    </row>
    <row r="31" spans="1:10" ht="99.75" customHeight="1">
      <c r="A31" s="217" t="str">
        <f>'1. All Data'!B31</f>
        <v>VFM29</v>
      </c>
      <c r="B31" s="253" t="str">
        <f>'1. All Data'!C31</f>
        <v>Further Development of SMARTER working (Waste Collection)</v>
      </c>
      <c r="C31" s="254" t="str">
        <f>'1. All Data'!D31</f>
        <v>Conduct review of Waste Service
Two Findings / Update Reports with next steps</v>
      </c>
      <c r="D31" s="250" t="str">
        <f>'1. All Data'!H31</f>
        <v>On Track to be Achieved</v>
      </c>
      <c r="E31" s="219"/>
      <c r="F31" s="251" t="str">
        <f>'1. All Data'!M31</f>
        <v>On Track to be Achieved</v>
      </c>
      <c r="G31" s="219"/>
      <c r="H31" s="252" t="str">
        <f>'1. All Data'!R31</f>
        <v>Update Not Provided</v>
      </c>
      <c r="I31" s="219"/>
      <c r="J31" s="252" t="str">
        <f>'1. All Data'!V31</f>
        <v>Update not provided</v>
      </c>
    </row>
    <row r="32" spans="1:10" ht="99.75" customHeight="1">
      <c r="A32" s="217" t="str">
        <f>'1. All Data'!B32</f>
        <v>VFM30</v>
      </c>
      <c r="B32" s="253" t="str">
        <f>'1. All Data'!C32</f>
        <v>Further Development of SMARTER working  (Street Cleaning)</v>
      </c>
      <c r="C32" s="254" t="str">
        <f>'1. All Data'!D32</f>
        <v xml:space="preserve">Implement the SMARTER Street Cleaning Programme
Two update reports </v>
      </c>
      <c r="D32" s="250" t="str">
        <f>'1. All Data'!H32</f>
        <v>Not Yet Due</v>
      </c>
      <c r="E32" s="218"/>
      <c r="F32" s="251" t="str">
        <f>'1. All Data'!M32</f>
        <v>On Track to be Achieved</v>
      </c>
      <c r="G32" s="219"/>
      <c r="H32" s="252" t="str">
        <f>'1. All Data'!R32</f>
        <v>Update Not Provided</v>
      </c>
      <c r="I32" s="219"/>
      <c r="J32" s="252" t="str">
        <f>'1. All Data'!V32</f>
        <v>Update not provided</v>
      </c>
    </row>
    <row r="33" spans="1:10" ht="99.75" customHeight="1">
      <c r="A33" s="217" t="str">
        <f>'1. All Data'!B33</f>
        <v xml:space="preserve">VFM31 </v>
      </c>
      <c r="B33" s="253" t="str">
        <f>'1. All Data'!C33</f>
        <v>Further Development of SMARTER working  (Street Cleaning)</v>
      </c>
      <c r="C33" s="254" t="str">
        <f>'1. All Data'!D33</f>
        <v>Produce Strategy for engaging with Highways England to improve cleanliness around A38 and associated access roads</v>
      </c>
      <c r="D33" s="250" t="str">
        <f>'1. All Data'!H33</f>
        <v>Fully Achieved</v>
      </c>
      <c r="E33" s="219"/>
      <c r="F33" s="251" t="str">
        <f>'1. All Data'!M33</f>
        <v>Fully Achieved</v>
      </c>
      <c r="G33" s="219"/>
      <c r="H33" s="252" t="str">
        <f>'1. All Data'!R33</f>
        <v>Update Not Provided</v>
      </c>
      <c r="I33" s="219"/>
      <c r="J33" s="252" t="str">
        <f>'1. All Data'!V33</f>
        <v>Update not provided</v>
      </c>
    </row>
    <row r="34" spans="1:10" ht="99.75" customHeight="1">
      <c r="A34" s="217" t="str">
        <f>'1. All Data'!B34</f>
        <v>VFM32</v>
      </c>
      <c r="B34" s="253" t="str">
        <f>'1. All Data'!C34</f>
        <v>Further Development of SMARTER Working (Building Control)</v>
      </c>
      <c r="C34" s="254" t="str">
        <f>'1. All Data'!D34</f>
        <v>Implement ISO Quality Management System for Building Control</v>
      </c>
      <c r="D34" s="250" t="str">
        <f>'1. All Data'!H34</f>
        <v>Not Yet Due</v>
      </c>
      <c r="E34" s="219"/>
      <c r="F34" s="251" t="str">
        <f>'1. All Data'!M34</f>
        <v>On Track to be Achieved</v>
      </c>
      <c r="G34" s="219"/>
      <c r="H34" s="252" t="str">
        <f>'1. All Data'!R34</f>
        <v>Update Not Provided</v>
      </c>
      <c r="I34" s="219"/>
      <c r="J34" s="252" t="str">
        <f>'1. All Data'!V34</f>
        <v>Update not provided</v>
      </c>
    </row>
    <row r="35" spans="1:10" ht="99.75" customHeight="1">
      <c r="A35" s="217" t="str">
        <f>'1. All Data'!B35</f>
        <v>VFM33</v>
      </c>
      <c r="B35" s="253" t="str">
        <f>'1. All Data'!C35</f>
        <v>Minimise The Number Of Missed Bin Collections</v>
      </c>
      <c r="C35" s="254" t="str">
        <f>'1. All Data'!D35</f>
        <v>Number Of Missed Bin Collections: 
2 missed bins per 10,000 collections</v>
      </c>
      <c r="D35" s="250" t="str">
        <f>'1. All Data'!H35</f>
        <v>In Danger of Falling Behind Target</v>
      </c>
      <c r="E35" s="218"/>
      <c r="F35" s="251" t="str">
        <f>'1. All Data'!M35</f>
        <v>In Danger of Falling Behind Target</v>
      </c>
      <c r="G35" s="219"/>
      <c r="H35" s="252" t="str">
        <f>'1. All Data'!R35</f>
        <v>Update Not Provided</v>
      </c>
      <c r="I35" s="219"/>
      <c r="J35" s="252" t="str">
        <f>'1. All Data'!V35</f>
        <v>Update not provided</v>
      </c>
    </row>
    <row r="36" spans="1:10" ht="99.75" customHeight="1">
      <c r="A36" s="217" t="str">
        <f>'1. All Data'!B36</f>
        <v>VFM34</v>
      </c>
      <c r="B36" s="253" t="str">
        <f>'1. All Data'!C36</f>
        <v xml:space="preserve">Carry out SMARTER Digital Communications </v>
      </c>
      <c r="C36" s="254" t="str">
        <f>'1. All Data'!D36</f>
        <v>Refreshed Web / Social Media Waste Management and Street Cleaning Section launched</v>
      </c>
      <c r="D36" s="250" t="str">
        <f>'1. All Data'!H36</f>
        <v>On Track to be Achieved</v>
      </c>
      <c r="E36" s="219"/>
      <c r="F36" s="251" t="str">
        <f>'1. All Data'!M36</f>
        <v>Fully Achieved</v>
      </c>
      <c r="G36" s="219"/>
      <c r="H36" s="252" t="str">
        <f>'1. All Data'!R36</f>
        <v>Update Not Provided</v>
      </c>
      <c r="I36" s="219"/>
      <c r="J36" s="252" t="str">
        <f>'1. All Data'!V36</f>
        <v>Update not provided</v>
      </c>
    </row>
    <row r="37" spans="1:10" ht="99.75" customHeight="1">
      <c r="A37" s="217" t="str">
        <f>'1. All Data'!B37</f>
        <v>VFM35</v>
      </c>
      <c r="B37" s="253" t="str">
        <f>'1. All Data'!C37</f>
        <v xml:space="preserve">Respond to Government Policy Announcements </v>
      </c>
      <c r="C37" s="254" t="str">
        <f>'1. All Data'!D37</f>
        <v>Complete responses to Government consultations in line with consultation deadlines</v>
      </c>
      <c r="D37" s="250" t="str">
        <f>'1. All Data'!H37</f>
        <v>On Track to be Achieved</v>
      </c>
      <c r="E37" s="218"/>
      <c r="F37" s="251" t="str">
        <f>'1. All Data'!M37</f>
        <v>On Track to be Achieved</v>
      </c>
      <c r="G37" s="219"/>
      <c r="H37" s="252" t="str">
        <f>'1. All Data'!R37</f>
        <v>Update Not Provided</v>
      </c>
      <c r="I37" s="219"/>
      <c r="J37" s="252" t="str">
        <f>'1. All Data'!V37</f>
        <v>Update not provided</v>
      </c>
    </row>
    <row r="38" spans="1:10" ht="99.75" customHeight="1">
      <c r="A38" s="217" t="str">
        <f>'1. All Data'!B38</f>
        <v>VFM36a</v>
      </c>
      <c r="B38" s="253" t="str">
        <f>'1. All Data'!C38</f>
        <v xml:space="preserve">Continue to Maximise Income Through Effective Collection Processes
(Previously BV9) </v>
      </c>
      <c r="C38" s="254" t="str">
        <f>'1. All Data'!D38</f>
        <v>Council Tax Collection Rates: 98%</v>
      </c>
      <c r="D38" s="250" t="str">
        <f>'1. All Data'!H38</f>
        <v>On Track to be Achieved</v>
      </c>
      <c r="E38" s="219"/>
      <c r="F38" s="251" t="str">
        <f>'1. All Data'!M38</f>
        <v>On Track to be Achieved</v>
      </c>
      <c r="G38" s="227"/>
      <c r="H38" s="252" t="str">
        <f>'1. All Data'!R38</f>
        <v>Update Not Provided</v>
      </c>
      <c r="I38" s="219"/>
      <c r="J38" s="252" t="str">
        <f>'1. All Data'!V38</f>
        <v>Update not provided</v>
      </c>
    </row>
    <row r="39" spans="1:10" ht="99.75" customHeight="1">
      <c r="A39" s="217" t="str">
        <f>'1. All Data'!B39</f>
        <v>VFM36b</v>
      </c>
      <c r="B39" s="253" t="str">
        <f>'1. All Data'!C39</f>
        <v xml:space="preserve">Continue to Maximise Income Through Effective Collection Processes
(Previously BV10) </v>
      </c>
      <c r="C39" s="254" t="str">
        <f>'1. All Data'!D39</f>
        <v>NNDR Collection Rates: 99%</v>
      </c>
      <c r="D39" s="250" t="str">
        <f>'1. All Data'!H39</f>
        <v>On Track to be Achieved</v>
      </c>
      <c r="E39" s="218"/>
      <c r="F39" s="251" t="str">
        <f>'1. All Data'!M39</f>
        <v>On Track to be Achieved</v>
      </c>
      <c r="G39" s="227"/>
      <c r="H39" s="252" t="str">
        <f>'1. All Data'!R39</f>
        <v>Update Not Provided</v>
      </c>
      <c r="I39" s="219"/>
      <c r="J39" s="252" t="str">
        <f>'1. All Data'!V39</f>
        <v>Update not provided</v>
      </c>
    </row>
    <row r="40" spans="1:10" ht="99.75" customHeight="1">
      <c r="A40" s="217" t="str">
        <f>'1. All Data'!B40</f>
        <v>VFM37a</v>
      </c>
      <c r="B40" s="253" t="str">
        <f>'1. All Data'!C40</f>
        <v>Continue to Maximise Income Through Effective Collection Processes:
Reduce Former Years Arrears for Council Tax; NNDR; Sundry Debts</v>
      </c>
      <c r="C40" s="254" t="str">
        <f>'1. All Data'!D40</f>
        <v>Former Years Arrears for Council Tax; £1,900,000 (net)</v>
      </c>
      <c r="D40" s="250" t="str">
        <f>'1. All Data'!H40</f>
        <v>On Track to be Achieved</v>
      </c>
      <c r="E40" s="219"/>
      <c r="F40" s="251" t="str">
        <f>'1. All Data'!M40</f>
        <v>On Track to be Achieved</v>
      </c>
      <c r="G40" s="219"/>
      <c r="H40" s="252" t="str">
        <f>'1. All Data'!R40</f>
        <v>Update Not Provided</v>
      </c>
      <c r="I40" s="219"/>
      <c r="J40" s="252" t="str">
        <f>'1. All Data'!V40</f>
        <v>Update not provided</v>
      </c>
    </row>
    <row r="41" spans="1:10" ht="99.75" customHeight="1">
      <c r="A41" s="217" t="str">
        <f>'1. All Data'!B41</f>
        <v>VFM37b</v>
      </c>
      <c r="B41" s="253" t="str">
        <f>'1. All Data'!C41</f>
        <v>Continue to Maximise Income Through Effective Collection Processes:
Reduce Former Years Arrears for Council Tax; NNDR; Sundry Debts</v>
      </c>
      <c r="C41" s="254" t="str">
        <f>'1. All Data'!D41</f>
        <v>Former Years Arrears for NNDR; 
£500,000 (net)</v>
      </c>
      <c r="D41" s="250" t="str">
        <f>'1. All Data'!H41</f>
        <v>On Track to be Achieved</v>
      </c>
      <c r="E41" s="219"/>
      <c r="F41" s="251" t="str">
        <f>'1. All Data'!M41</f>
        <v>On Track to be Achieved</v>
      </c>
      <c r="G41" s="219"/>
      <c r="H41" s="252" t="str">
        <f>'1. All Data'!R41</f>
        <v>Update Not Provided</v>
      </c>
      <c r="I41" s="219"/>
      <c r="J41" s="252" t="str">
        <f>'1. All Data'!V41</f>
        <v>Update not provided</v>
      </c>
    </row>
    <row r="42" spans="1:10" ht="99.75" customHeight="1">
      <c r="A42" s="217" t="str">
        <f>'1. All Data'!B42</f>
        <v>VFM37c</v>
      </c>
      <c r="B42" s="253" t="str">
        <f>'1. All Data'!C42</f>
        <v>Continue to Maximise Income Through Effective Collection Processes:
Reduce Former Years Arrears for Council Tax; NNDR; Sundry Debts</v>
      </c>
      <c r="C42" s="254" t="str">
        <f>'1. All Data'!D42</f>
        <v>Current Years Arrears for Sundry debts; 
£40,000 (older than 90 days)</v>
      </c>
      <c r="D42" s="250" t="str">
        <f>'1. All Data'!H42</f>
        <v>On Track to be Achieved</v>
      </c>
      <c r="E42" s="218"/>
      <c r="F42" s="251" t="str">
        <f>'1. All Data'!M42</f>
        <v>On Track to be Achieved</v>
      </c>
      <c r="G42" s="227"/>
      <c r="H42" s="252" t="str">
        <f>'1. All Data'!R42</f>
        <v>Update Not Provided</v>
      </c>
      <c r="I42" s="227"/>
      <c r="J42" s="252" t="str">
        <f>'1. All Data'!V42</f>
        <v>Update not provided</v>
      </c>
    </row>
    <row r="43" spans="1:10" ht="99.75" customHeight="1">
      <c r="A43" s="217" t="str">
        <f>'1. All Data'!B43</f>
        <v>VFM38a</v>
      </c>
      <c r="B43" s="253" t="str">
        <f>'1. All Data'!C43</f>
        <v>Maintaining excellent customer access to services with face-to-face and telephony enquiries</v>
      </c>
      <c r="C43" s="254" t="str">
        <f>'1. All Data'!D43</f>
        <v>99% of CSC and Telephony Team Enquiries Resolved at First Point of Contact</v>
      </c>
      <c r="D43" s="250" t="str">
        <f>'1. All Data'!H43</f>
        <v>On Track to be Achieved</v>
      </c>
      <c r="E43" s="218"/>
      <c r="F43" s="251" t="str">
        <f>'1. All Data'!M43</f>
        <v>On Track to be Achieved</v>
      </c>
      <c r="G43" s="219"/>
      <c r="H43" s="252" t="str">
        <f>'1. All Data'!R43</f>
        <v>Update Not Provided</v>
      </c>
      <c r="I43" s="219"/>
      <c r="J43" s="252" t="str">
        <f>'1. All Data'!V43</f>
        <v>Update not provided</v>
      </c>
    </row>
    <row r="44" spans="1:10" ht="99.75" customHeight="1">
      <c r="A44" s="217" t="str">
        <f>'1. All Data'!B44</f>
        <v>VFM38b</v>
      </c>
      <c r="B44" s="253" t="str">
        <f>'1. All Data'!C44</f>
        <v>Maintaining excellent customer access to services with face-to-face and telephony enquiries</v>
      </c>
      <c r="C44" s="254" t="str">
        <f>'1. All Data'!D44</f>
        <v>Minimum 75% Telephony Team Calls Answered Within 10 Seconds</v>
      </c>
      <c r="D44" s="250" t="str">
        <f>'1. All Data'!H44</f>
        <v>On Track to be Achieved</v>
      </c>
      <c r="E44" s="218"/>
      <c r="F44" s="251" t="str">
        <f>'1. All Data'!M44</f>
        <v>On Track to be Achieved</v>
      </c>
      <c r="G44" s="219"/>
      <c r="H44" s="252" t="str">
        <f>'1. All Data'!R44</f>
        <v>Update Not Provided</v>
      </c>
      <c r="I44" s="219"/>
      <c r="J44" s="252" t="str">
        <f>'1. All Data'!V44</f>
        <v>Update not provided</v>
      </c>
    </row>
    <row r="45" spans="1:10" ht="99.75" customHeight="1">
      <c r="A45" s="217" t="str">
        <f>'1. All Data'!B45</f>
        <v>VFM39a</v>
      </c>
      <c r="B45" s="253" t="str">
        <f>'1. All Data'!C45</f>
        <v>Maximise Tax Bases through continued reviews of discounts, exemptions and reliefs</v>
      </c>
      <c r="C45" s="254" t="str">
        <f>'1. All Data'!D45</f>
        <v xml:space="preserve">Empty Properties – October 2019
</v>
      </c>
      <c r="D45" s="250" t="str">
        <f>'1. All Data'!H45</f>
        <v>Not Yet Due</v>
      </c>
      <c r="E45" s="219"/>
      <c r="F45" s="251" t="str">
        <f>'1. All Data'!M45</f>
        <v>Fully Achieved</v>
      </c>
      <c r="G45" s="219"/>
      <c r="H45" s="252" t="str">
        <f>'1. All Data'!R45</f>
        <v>Update Not Provided</v>
      </c>
      <c r="I45" s="219"/>
      <c r="J45" s="252" t="str">
        <f>'1. All Data'!V45</f>
        <v>Update not provided</v>
      </c>
    </row>
    <row r="46" spans="1:10" ht="99.75" customHeight="1">
      <c r="A46" s="217" t="str">
        <f>'1. All Data'!B47</f>
        <v>VFM40</v>
      </c>
      <c r="B46" s="253" t="str">
        <f>'1. All Data'!C47</f>
        <v>Continue to Improve the Ways We Provide Benefits to Those Most in Need:
Time Taken to Process Benefit New Claims and Change Events (Previously NI 181)</v>
      </c>
      <c r="C46" s="254" t="str">
        <f>'1. All Data'!D47</f>
        <v>5 days</v>
      </c>
      <c r="D46" s="250" t="str">
        <f>'1. All Data'!H47</f>
        <v>On Track to be Achieved</v>
      </c>
      <c r="E46" s="219"/>
      <c r="F46" s="251" t="str">
        <f>'1. All Data'!M47</f>
        <v>On Track to be Achieved</v>
      </c>
      <c r="G46" s="219"/>
      <c r="H46" s="252" t="str">
        <f>'1. All Data'!R47</f>
        <v>Update Not Provided</v>
      </c>
      <c r="I46" s="219"/>
      <c r="J46" s="252" t="str">
        <f>'1. All Data'!V47</f>
        <v>Update not provided</v>
      </c>
    </row>
    <row r="47" spans="1:10" ht="99.75" customHeight="1">
      <c r="A47" s="217" t="str">
        <f>'1. All Data'!B48</f>
        <v>VFM41a</v>
      </c>
      <c r="B47" s="253" t="str">
        <f>'1. All Data'!C48</f>
        <v>Working Towards the Reduction of Claimant Error Housing Benefit Overpayments (HBOPs)</v>
      </c>
      <c r="C47" s="254" t="str">
        <f>'1. All Data'!D48</f>
        <v>80% of HBOPs Overpayments Recovered During the Year</v>
      </c>
      <c r="D47" s="250" t="str">
        <f>'1. All Data'!H48</f>
        <v>On Track to be Achieved</v>
      </c>
      <c r="E47" s="219"/>
      <c r="F47" s="251" t="str">
        <f>'1. All Data'!M48</f>
        <v>On Track to be Achieved</v>
      </c>
      <c r="G47" s="219"/>
      <c r="H47" s="252" t="str">
        <f>'1. All Data'!R48</f>
        <v>Update Not Provided</v>
      </c>
      <c r="I47" s="219"/>
      <c r="J47" s="252" t="str">
        <f>'1. All Data'!V48</f>
        <v>Update not provided</v>
      </c>
    </row>
    <row r="48" spans="1:10" ht="99.75" customHeight="1">
      <c r="A48" s="217" t="str">
        <f>'1. All Data'!B49</f>
        <v>VFM41b</v>
      </c>
      <c r="B48" s="253" t="str">
        <f>'1. All Data'!C49</f>
        <v>Working Towards the Reduction of Claimant Error Housing Benefit Overpayments (HBOPs)</v>
      </c>
      <c r="C48" s="254" t="str">
        <f>'1. All Data'!D49</f>
        <v>85% of HBOPS Processed and on Payment Arrangement</v>
      </c>
      <c r="D48" s="250" t="str">
        <f>'1. All Data'!H49</f>
        <v>On Track to be Achieved</v>
      </c>
      <c r="E48" s="219"/>
      <c r="F48" s="251" t="str">
        <f>'1. All Data'!M49</f>
        <v>On Track to be Achieved</v>
      </c>
      <c r="G48" s="219"/>
      <c r="H48" s="252" t="str">
        <f>'1. All Data'!R49</f>
        <v>Update Not Provided</v>
      </c>
      <c r="I48" s="219"/>
      <c r="J48" s="252" t="str">
        <f>'1. All Data'!V49</f>
        <v>Update not provided</v>
      </c>
    </row>
    <row r="49" spans="1:47" ht="99.75" customHeight="1">
      <c r="A49" s="217" t="str">
        <f>'1. All Data'!B50</f>
        <v>VFM42</v>
      </c>
      <c r="B49" s="253" t="str">
        <f>'1. All Data'!C50</f>
        <v>Review Council Tax Reduction scheme</v>
      </c>
      <c r="C49" s="254" t="str">
        <f>'1. All Data'!D50</f>
        <v xml:space="preserve">Carry Out Review of the Council Tax Reduction Scheme </v>
      </c>
      <c r="D49" s="250" t="str">
        <f>'1. All Data'!H50</f>
        <v>Not Yet Due</v>
      </c>
      <c r="E49" s="219"/>
      <c r="F49" s="251" t="str">
        <f>'1. All Data'!M50</f>
        <v>Fully Achieved</v>
      </c>
      <c r="G49" s="219"/>
      <c r="H49" s="252" t="str">
        <f>'1. All Data'!R50</f>
        <v>Update Not Provided</v>
      </c>
      <c r="I49" s="219"/>
      <c r="J49" s="252" t="str">
        <f>'1. All Data'!V50</f>
        <v>Update not provided</v>
      </c>
    </row>
    <row r="50" spans="1:47" ht="99.75" customHeight="1">
      <c r="A50" s="217" t="str">
        <f>'1. All Data'!B51</f>
        <v>VFM43</v>
      </c>
      <c r="B50" s="253" t="str">
        <f>'1. All Data'!C51</f>
        <v>Review Business Rates Rate Relief policy</v>
      </c>
      <c r="C50" s="254" t="str">
        <f>'1. All Data'!D51</f>
        <v>Policy reviewed (for next year’s implementation)</v>
      </c>
      <c r="D50" s="250" t="str">
        <f>'1. All Data'!H51</f>
        <v>Not Yet Due</v>
      </c>
      <c r="E50" s="219"/>
      <c r="F50" s="251" t="str">
        <f>'1. All Data'!M51</f>
        <v>Not Yet Due</v>
      </c>
      <c r="G50" s="227"/>
      <c r="H50" s="252" t="str">
        <f>'1. All Data'!R51</f>
        <v>Update Not Provided</v>
      </c>
      <c r="I50" s="227"/>
      <c r="J50" s="252" t="str">
        <f>'1. All Data'!V51</f>
        <v>Update not provided</v>
      </c>
    </row>
    <row r="51" spans="1:47" ht="99.75" customHeight="1">
      <c r="A51" s="217" t="str">
        <f>'1. All Data'!B52</f>
        <v>VFM44</v>
      </c>
      <c r="B51" s="253" t="str">
        <f>'1. All Data'!C52</f>
        <v xml:space="preserve">Prepare for Universal Credit Managed Migration </v>
      </c>
      <c r="C51" s="254" t="str">
        <f>'1. All Data'!D52</f>
        <v xml:space="preserve">Work with DWP and partners, prepare 2 in year progress reports and 1 Member briefing </v>
      </c>
      <c r="D51" s="250" t="str">
        <f>'1. All Data'!H52</f>
        <v>Not Yet Due</v>
      </c>
      <c r="E51" s="218"/>
      <c r="F51" s="251" t="str">
        <f>'1. All Data'!M52</f>
        <v>Not Yet Due</v>
      </c>
      <c r="G51" s="219"/>
      <c r="H51" s="252" t="str">
        <f>'1. All Data'!R52</f>
        <v>Update Not Provided</v>
      </c>
      <c r="I51" s="219"/>
      <c r="J51" s="252" t="str">
        <f>'1. All Data'!V52</f>
        <v>Update not provided</v>
      </c>
    </row>
    <row r="52" spans="1:47" ht="99.75" customHeight="1">
      <c r="A52" s="217" t="str">
        <f>'1. All Data'!B53</f>
        <v>VFM45</v>
      </c>
      <c r="B52" s="253" t="str">
        <f>'1. All Data'!C53</f>
        <v>Continuing to inform and improve Planning awareness with Members</v>
      </c>
      <c r="C52" s="254" t="str">
        <f>'1. All Data'!D53</f>
        <v xml:space="preserve">At least 2 briefings delivered to elected members during the year </v>
      </c>
      <c r="D52" s="250" t="str">
        <f>'1. All Data'!H53</f>
        <v>On Track to be Achieved</v>
      </c>
      <c r="E52" s="218"/>
      <c r="F52" s="251" t="str">
        <f>'1. All Data'!M53</f>
        <v>On Track to be Achieved</v>
      </c>
      <c r="G52" s="219"/>
      <c r="H52" s="252" t="str">
        <f>'1. All Data'!R53</f>
        <v>Update Not Provided</v>
      </c>
      <c r="I52" s="219"/>
      <c r="J52" s="252" t="str">
        <f>'1. All Data'!V53</f>
        <v>Update not provided</v>
      </c>
    </row>
    <row r="53" spans="1:47" ht="99.75" customHeight="1">
      <c r="A53" s="217" t="str">
        <f>'1. All Data'!B54</f>
        <v>VFM46</v>
      </c>
      <c r="B53" s="253" t="str">
        <f>'1. All Data'!C54</f>
        <v>Continuing to inform and improve Planning awareness with Members</v>
      </c>
      <c r="C53" s="254" t="str">
        <f>'1. All Data'!D54</f>
        <v>Strategic Sites Progress Report delivered</v>
      </c>
      <c r="D53" s="250" t="str">
        <f>'1. All Data'!H54</f>
        <v>On Track to be Achieved</v>
      </c>
      <c r="E53" s="219"/>
      <c r="F53" s="251" t="str">
        <f>'1. All Data'!M54</f>
        <v>On Track to be Achieved</v>
      </c>
      <c r="G53" s="219"/>
      <c r="H53" s="252" t="str">
        <f>'1. All Data'!R54</f>
        <v>Update Not Provided</v>
      </c>
      <c r="I53" s="219"/>
      <c r="J53" s="252" t="str">
        <f>'1. All Data'!V54</f>
        <v>Update not provided</v>
      </c>
    </row>
    <row r="54" spans="1:47" ht="87.75">
      <c r="A54" s="217" t="str">
        <f>'1. All Data'!B55</f>
        <v>VFM47</v>
      </c>
      <c r="B54" s="253" t="str">
        <f>'1. All Data'!C55</f>
        <v xml:space="preserve">Monitor Local Plan Performance </v>
      </c>
      <c r="C54" s="254" t="str">
        <f>'1. All Data'!D55</f>
        <v>Annual Monitoring Report  Prepared</v>
      </c>
      <c r="D54" s="250" t="str">
        <f>'1. All Data'!H55</f>
        <v>On Track to be Achieved</v>
      </c>
      <c r="E54" s="218"/>
      <c r="F54" s="251" t="str">
        <f>'1. All Data'!M55</f>
        <v>On Track to be Achieved</v>
      </c>
      <c r="G54" s="227"/>
      <c r="H54" s="252" t="str">
        <f>'1. All Data'!R55</f>
        <v>Update Not Provided</v>
      </c>
      <c r="I54" s="219"/>
      <c r="J54" s="252" t="str">
        <f>'1. All Data'!V55</f>
        <v>Update not provided</v>
      </c>
    </row>
    <row r="55" spans="1:47" ht="99.75" customHeight="1">
      <c r="A55" s="217" t="str">
        <f>'1. All Data'!B56</f>
        <v>VFM48</v>
      </c>
      <c r="B55" s="253" t="str">
        <f>'1. All Data'!C56</f>
        <v>Continue to develop SMARTER working practices for Planning</v>
      </c>
      <c r="C55" s="254" t="str">
        <f>'1. All Data'!D56</f>
        <v>Invalid Applications Review and Report</v>
      </c>
      <c r="D55" s="250" t="str">
        <f>'1. All Data'!H56</f>
        <v>On Track to be Achieved</v>
      </c>
      <c r="E55" s="219"/>
      <c r="F55" s="251" t="str">
        <f>'1. All Data'!M56</f>
        <v>On Track to be Achieved</v>
      </c>
      <c r="G55" s="219"/>
      <c r="H55" s="252" t="str">
        <f>'1. All Data'!R56</f>
        <v>Update Not Provided</v>
      </c>
      <c r="I55" s="219"/>
      <c r="J55" s="252" t="str">
        <f>'1. All Data'!V56</f>
        <v>Update not provided</v>
      </c>
    </row>
    <row r="56" spans="1:47" ht="99.75" customHeight="1">
      <c r="A56" s="217" t="str">
        <f>'1. All Data'!B57</f>
        <v>VFM49</v>
      </c>
      <c r="B56" s="253" t="str">
        <f>'1. All Data'!C57</f>
        <v>Continue to develop SMARTER working practices for Planning</v>
      </c>
      <c r="C56" s="254" t="str">
        <f>'1. All Data'!D57</f>
        <v>Adoption of SMARTER Developer Contributions SPD</v>
      </c>
      <c r="D56" s="250" t="str">
        <f>'1. All Data'!H57</f>
        <v>On Track to be Achieved</v>
      </c>
      <c r="E56" s="219"/>
      <c r="F56" s="251" t="str">
        <f>'1. All Data'!M57</f>
        <v>On Track to be Achieved</v>
      </c>
      <c r="G56" s="219"/>
      <c r="H56" s="252" t="str">
        <f>'1. All Data'!R57</f>
        <v>Update Not Provided</v>
      </c>
      <c r="I56" s="219"/>
      <c r="J56" s="252" t="str">
        <f>'1. All Data'!V57</f>
        <v>Update not provided</v>
      </c>
      <c r="AU56" s="220"/>
    </row>
    <row r="57" spans="1:47" s="235" customFormat="1" ht="87.75">
      <c r="A57" s="217" t="str">
        <f>'1. All Data'!B58</f>
        <v>VFM50</v>
      </c>
      <c r="B57" s="253" t="str">
        <f>'1. All Data'!C58</f>
        <v xml:space="preserve">Ensure Robust Licensing Policies </v>
      </c>
      <c r="C57" s="254" t="str">
        <f>'1. All Data'!D58</f>
        <v xml:space="preserve">Complete a Review of the Scrap Metal Dealers Policy </v>
      </c>
      <c r="D57" s="250" t="str">
        <f>'1. All Data'!H58</f>
        <v>Fully Achieved</v>
      </c>
      <c r="E57" s="218"/>
      <c r="F57" s="251" t="str">
        <f>'1. All Data'!M58</f>
        <v>Fully Achieved</v>
      </c>
      <c r="G57" s="219"/>
      <c r="H57" s="252" t="str">
        <f>'1. All Data'!R58</f>
        <v>Update Not Provided</v>
      </c>
      <c r="I57" s="219"/>
      <c r="J57" s="252" t="str">
        <f>'1. All Data'!V58</f>
        <v>Update not provided</v>
      </c>
      <c r="K57" s="228"/>
      <c r="L57" s="228"/>
      <c r="M57" s="228"/>
      <c r="N57" s="229"/>
      <c r="O57" s="230"/>
      <c r="P57" s="230"/>
      <c r="Q57" s="230"/>
      <c r="R57" s="230"/>
      <c r="S57" s="231"/>
      <c r="T57" s="228"/>
      <c r="U57" s="228"/>
      <c r="V57" s="228"/>
      <c r="W57" s="228"/>
      <c r="X57" s="232"/>
      <c r="Y57" s="232"/>
      <c r="Z57" s="232"/>
      <c r="AA57" s="232"/>
      <c r="AB57" s="233"/>
      <c r="AC57" s="216"/>
      <c r="AD57" s="234"/>
      <c r="AE57" s="234"/>
      <c r="AF57" s="234"/>
      <c r="AG57" s="234"/>
      <c r="AH57" s="234"/>
      <c r="AI57" s="234"/>
      <c r="AJ57" s="234"/>
      <c r="AK57" s="234"/>
      <c r="AL57" s="234"/>
      <c r="AM57" s="234"/>
      <c r="AN57" s="234"/>
      <c r="AO57" s="234"/>
      <c r="AP57" s="234"/>
      <c r="AQ57" s="234"/>
      <c r="AR57" s="234"/>
      <c r="AS57" s="234"/>
      <c r="AT57" s="234"/>
      <c r="AU57" s="234"/>
    </row>
    <row r="58" spans="1:47" ht="99.75" customHeight="1">
      <c r="A58" s="217" t="str">
        <f>'1. All Data'!B59</f>
        <v>VFM51</v>
      </c>
      <c r="B58" s="253" t="str">
        <f>'1. All Data'!C59</f>
        <v>Ensure Robust Licensing Policies</v>
      </c>
      <c r="C58" s="254" t="str">
        <f>'1. All Data'!D59</f>
        <v xml:space="preserve">Complete a Review of the Charitable Collection Policy </v>
      </c>
      <c r="D58" s="250" t="str">
        <f>'1. All Data'!H59</f>
        <v>On Track to be Achieved</v>
      </c>
      <c r="E58" s="219"/>
      <c r="F58" s="251" t="str">
        <f>'1. All Data'!M59</f>
        <v>Fully Achieved</v>
      </c>
      <c r="G58" s="219"/>
      <c r="H58" s="252" t="str">
        <f>'1. All Data'!R59</f>
        <v>Update Not Provided</v>
      </c>
      <c r="I58" s="219"/>
      <c r="J58" s="252" t="str">
        <f>'1. All Data'!V59</f>
        <v>Update not provided</v>
      </c>
    </row>
    <row r="59" spans="1:47" ht="99.75" customHeight="1">
      <c r="A59" s="217" t="str">
        <f>'1. All Data'!B60</f>
        <v>VFM52</v>
      </c>
      <c r="B59" s="253" t="str">
        <f>'1. All Data'!C60</f>
        <v>Ensure Robust Licensing Policies</v>
      </c>
      <c r="C59" s="254" t="str">
        <f>'1. All Data'!D60</f>
        <v xml:space="preserve">Complete a Review of the Licensing Act Policy </v>
      </c>
      <c r="D59" s="250" t="str">
        <f>'1. All Data'!H60</f>
        <v>On Track to be Achieved</v>
      </c>
      <c r="E59" s="218"/>
      <c r="F59" s="251" t="str">
        <f>'1. All Data'!M60</f>
        <v>On Track to be Achieved</v>
      </c>
      <c r="G59" s="219"/>
      <c r="H59" s="252" t="str">
        <f>'1. All Data'!R60</f>
        <v>Update Not Provided</v>
      </c>
      <c r="I59" s="219"/>
      <c r="J59" s="252" t="str">
        <f>'1. All Data'!V60</f>
        <v>Update not provided</v>
      </c>
    </row>
    <row r="60" spans="1:47" ht="99.75" customHeight="1">
      <c r="A60" s="217" t="str">
        <f>'1. All Data'!B61</f>
        <v>VFM53</v>
      </c>
      <c r="B60" s="253" t="str">
        <f>'1. All Data'!C61</f>
        <v>Ensure an Effective Selective Licensing Scheme</v>
      </c>
      <c r="C60" s="254" t="str">
        <f>'1. All Data'!D61</f>
        <v>Complete an Evaluation of the Selective Licensing Scheme and consider its future expansion</v>
      </c>
      <c r="D60" s="250" t="str">
        <f>'1. All Data'!H61</f>
        <v>On Track to be Achieved</v>
      </c>
      <c r="E60" s="219"/>
      <c r="F60" s="251" t="str">
        <f>'1. All Data'!M61</f>
        <v>On Track to be Achieved</v>
      </c>
      <c r="G60" s="236"/>
      <c r="H60" s="252" t="str">
        <f>'1. All Data'!R61</f>
        <v>Update Not Provided</v>
      </c>
      <c r="I60" s="236"/>
      <c r="J60" s="252" t="str">
        <f>'1. All Data'!V61</f>
        <v>Update not provided</v>
      </c>
    </row>
    <row r="61" spans="1:47" s="240" customFormat="1" ht="69.75" customHeight="1">
      <c r="A61" s="217" t="str">
        <f>'1. All Data'!B62</f>
        <v>VFM54</v>
      </c>
      <c r="B61" s="253" t="str">
        <f>'1. All Data'!C62</f>
        <v>Ensure an Effective Disabled Facilities Grant Service</v>
      </c>
      <c r="C61" s="254" t="str">
        <f>'1. All Data'!D62</f>
        <v>Complete a Review of the Disabled Facilities Grant Service</v>
      </c>
      <c r="D61" s="250" t="str">
        <f>'1. All Data'!H62</f>
        <v>On Track to be Achieved</v>
      </c>
      <c r="E61" s="218"/>
      <c r="F61" s="251" t="str">
        <f>'1. All Data'!M62</f>
        <v>On Track to be Achieved</v>
      </c>
      <c r="G61" s="238"/>
      <c r="H61" s="252" t="str">
        <f>'1. All Data'!R62</f>
        <v>Update Not Provided</v>
      </c>
      <c r="I61" s="238"/>
      <c r="J61" s="252" t="str">
        <f>'1. All Data'!V62</f>
        <v>Update not provided</v>
      </c>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row>
    <row r="62" spans="1:47" ht="99.75" customHeight="1">
      <c r="A62" s="217" t="str">
        <f>'1. All Data'!B63</f>
        <v>VFM55</v>
      </c>
      <c r="B62" s="253" t="str">
        <f>'1. All Data'!C63</f>
        <v>Develop the use of technology to improve service delivery</v>
      </c>
      <c r="C62" s="254" t="str">
        <f>'1. All Data'!D63</f>
        <v xml:space="preserve">Complete a Review of Parking Services and the related use of technology </v>
      </c>
      <c r="D62" s="250" t="str">
        <f>'1. All Data'!H63</f>
        <v>On Track to be Achieved</v>
      </c>
      <c r="E62" s="219"/>
      <c r="F62" s="251" t="str">
        <f>'1. All Data'!M63</f>
        <v>Fully Achieved</v>
      </c>
      <c r="G62" s="219"/>
      <c r="H62" s="252" t="str">
        <f>'1. All Data'!R63</f>
        <v>Update Not Provided</v>
      </c>
      <c r="I62" s="219"/>
      <c r="J62" s="252" t="str">
        <f>'1. All Data'!V63</f>
        <v>Update not provided</v>
      </c>
    </row>
    <row r="63" spans="1:47" ht="99.75" customHeight="1">
      <c r="A63" s="217" t="str">
        <f>'1. All Data'!B64</f>
        <v>VFM56</v>
      </c>
      <c r="B63" s="253" t="str">
        <f>'1. All Data'!C64</f>
        <v>Ensure an Effective Civil and Community Enforcement Service</v>
      </c>
      <c r="C63" s="254" t="str">
        <f>'1. All Data'!D64</f>
        <v>Review Public Space Protection Orders for Dog Fouling and Alcohol consumption</v>
      </c>
      <c r="D63" s="250" t="str">
        <f>'1. All Data'!H64</f>
        <v>On Track to be Achieved</v>
      </c>
      <c r="E63" s="219"/>
      <c r="F63" s="251" t="str">
        <f>'1. All Data'!M64</f>
        <v>Fully Achieved</v>
      </c>
      <c r="G63" s="219"/>
      <c r="H63" s="252" t="str">
        <f>'1. All Data'!R64</f>
        <v>Update Not Provided</v>
      </c>
      <c r="I63" s="219"/>
      <c r="J63" s="252" t="str">
        <f>'1. All Data'!V64</f>
        <v>Update not provided</v>
      </c>
    </row>
    <row r="64" spans="1:47" ht="99.75" customHeight="1">
      <c r="A64" s="217" t="str">
        <f>'1. All Data'!B65</f>
        <v>VFM57</v>
      </c>
      <c r="B64" s="253" t="str">
        <f>'1. All Data'!C65</f>
        <v>Achieve further investment for our town centres and large settlements</v>
      </c>
      <c r="C64" s="254" t="str">
        <f>'1. All Data'!D65</f>
        <v>Finalise agreement with SCC to fund the implementation of the co-designed Station Street new public realm project</v>
      </c>
      <c r="D64" s="250" t="str">
        <f>'1. All Data'!H65</f>
        <v>Off Target</v>
      </c>
      <c r="E64" s="219"/>
      <c r="F64" s="251" t="str">
        <f>'1. All Data'!M65</f>
        <v>Completed Behind Schedule</v>
      </c>
      <c r="G64" s="219"/>
      <c r="H64" s="252" t="str">
        <f>'1. All Data'!R65</f>
        <v>Update Not Provided</v>
      </c>
      <c r="I64" s="219"/>
      <c r="J64" s="252" t="str">
        <f>'1. All Data'!V65</f>
        <v>Update not provided</v>
      </c>
    </row>
    <row r="65" spans="1:10" ht="99.75" customHeight="1">
      <c r="A65" s="217" t="str">
        <f>'1. All Data'!B66</f>
        <v>VFM58</v>
      </c>
      <c r="B65" s="253" t="str">
        <f>'1. All Data'!C66</f>
        <v xml:space="preserve">Achieve further investment for our town centres and large settlements </v>
      </c>
      <c r="C65" s="254" t="str">
        <f>'1. All Data'!D66</f>
        <v>Consider the outcome of the Council’s expression of interest to the Future High Street Fund</v>
      </c>
      <c r="D65" s="250" t="str">
        <f>'1. All Data'!H66</f>
        <v>Fully Achieved</v>
      </c>
      <c r="E65" s="219"/>
      <c r="F65" s="251" t="str">
        <f>'1. All Data'!M66</f>
        <v>Fully Achieved</v>
      </c>
      <c r="G65" s="219"/>
      <c r="H65" s="252" t="str">
        <f>'1. All Data'!R66</f>
        <v>Update Not Provided</v>
      </c>
      <c r="I65" s="219"/>
      <c r="J65" s="252" t="str">
        <f>'1. All Data'!V66</f>
        <v>Update not provided</v>
      </c>
    </row>
    <row r="66" spans="1:10" ht="99.75" customHeight="1">
      <c r="A66" s="217" t="str">
        <f>'1. All Data'!B67</f>
        <v>VFM59</v>
      </c>
      <c r="B66" s="253" t="str">
        <f>'1. All Data'!C67</f>
        <v xml:space="preserve">Achieve optimum working in economic partnership </v>
      </c>
      <c r="C66" s="254" t="str">
        <f>'1. All Data'!D67</f>
        <v xml:space="preserve">Consider the outcome of the national LEP review findings and implication on the Washlands LEP monies </v>
      </c>
      <c r="D66" s="250" t="str">
        <f>'1. All Data'!H67</f>
        <v>Fully Achieved</v>
      </c>
      <c r="E66" s="219"/>
      <c r="F66" s="251" t="str">
        <f>'1. All Data'!M67</f>
        <v>Fully Achieved</v>
      </c>
      <c r="G66" s="219"/>
      <c r="H66" s="252" t="str">
        <f>'1. All Data'!R67</f>
        <v>Update Not Provided</v>
      </c>
      <c r="I66" s="219"/>
      <c r="J66" s="252" t="str">
        <f>'1. All Data'!V67</f>
        <v>Update not provided</v>
      </c>
    </row>
    <row r="67" spans="1:10" ht="99.75" customHeight="1">
      <c r="A67" s="217" t="str">
        <f>'1. All Data'!B68</f>
        <v>VFM60</v>
      </c>
      <c r="B67" s="253" t="str">
        <f>'1. All Data'!C68</f>
        <v>Progress the commutation of  s106 sums to deliver key brownfield development opportunities</v>
      </c>
      <c r="C67" s="254" t="str">
        <f>'1. All Data'!D68</f>
        <v xml:space="preserve">Review progress on working in partnership with Burton Rugby Club (Peelcroft) and Molson Coors (Cross Street) </v>
      </c>
      <c r="D67" s="250" t="str">
        <f>'1. All Data'!H68</f>
        <v>On Track to be Achieved</v>
      </c>
      <c r="E67" s="219"/>
      <c r="F67" s="251" t="str">
        <f>'1. All Data'!M68</f>
        <v>On Track to be Achieved</v>
      </c>
      <c r="G67" s="219"/>
      <c r="H67" s="252" t="str">
        <f>'1. All Data'!R68</f>
        <v>Update Not Provided</v>
      </c>
      <c r="I67" s="219"/>
      <c r="J67" s="252" t="str">
        <f>'1. All Data'!V68</f>
        <v>Update not provided</v>
      </c>
    </row>
    <row r="68" spans="1:10" ht="99.75" customHeight="1">
      <c r="A68" s="217" t="str">
        <f>'1. All Data'!B69</f>
        <v>CR01</v>
      </c>
      <c r="B68" s="253" t="str">
        <f>'1. All Data'!C69</f>
        <v xml:space="preserve">Market Hall Development Initiatives </v>
      </c>
      <c r="C68" s="254" t="str">
        <f>'1. All Data'!D69</f>
        <v xml:space="preserve">Hold at least 25 commercial events in the Market Hall </v>
      </c>
      <c r="D68" s="250" t="str">
        <f>'1. All Data'!H69</f>
        <v>On Track to be Achieved</v>
      </c>
      <c r="E68" s="219"/>
      <c r="F68" s="251" t="str">
        <f>'1. All Data'!M69</f>
        <v>On Track to be Achieved</v>
      </c>
      <c r="G68" s="219"/>
      <c r="H68" s="252" t="str">
        <f>'1. All Data'!R69</f>
        <v>Update Not Provided</v>
      </c>
      <c r="I68" s="219"/>
      <c r="J68" s="252" t="str">
        <f>'1. All Data'!V69</f>
        <v>Update not provided</v>
      </c>
    </row>
    <row r="69" spans="1:10" ht="99.75" customHeight="1">
      <c r="A69" s="217" t="str">
        <f>'1. All Data'!B70</f>
        <v>CR02</v>
      </c>
      <c r="B69" s="253" t="str">
        <f>'1. All Data'!C70</f>
        <v xml:space="preserve">Market Hall Development Initiatives </v>
      </c>
      <c r="C69" s="254" t="str">
        <f>'1. All Data'!D70</f>
        <v xml:space="preserve">Utilising previous procurement experience and the APSE Benchmarking Membership an Evaluation of future options for the Market offering will be completed </v>
      </c>
      <c r="D69" s="250" t="str">
        <f>'1. All Data'!H70</f>
        <v>Not Yet Due</v>
      </c>
      <c r="E69" s="219"/>
      <c r="F69" s="251" t="str">
        <f>'1. All Data'!M70</f>
        <v>Not Yet Due</v>
      </c>
      <c r="G69" s="227"/>
      <c r="H69" s="252" t="str">
        <f>'1. All Data'!R70</f>
        <v>Update Not Provided</v>
      </c>
      <c r="I69" s="227"/>
      <c r="J69" s="252" t="str">
        <f>'1. All Data'!V70</f>
        <v>Update not provided</v>
      </c>
    </row>
    <row r="70" spans="1:10" ht="99.75" customHeight="1">
      <c r="A70" s="217" t="str">
        <f>'1. All Data'!B71</f>
        <v>CR03</v>
      </c>
      <c r="B70" s="253" t="str">
        <f>'1. All Data'!C71</f>
        <v>Major Planning Applications Determined Within 13 Weeks</v>
      </c>
      <c r="C70" s="254" t="str">
        <f>'1. All Data'!D71</f>
        <v>Top Quartile as measured against relevant MHCLG figures</v>
      </c>
      <c r="D70" s="250" t="str">
        <f>'1. All Data'!H71</f>
        <v>On Track to be Achieved</v>
      </c>
      <c r="E70" s="219"/>
      <c r="F70" s="251" t="str">
        <f>'1. All Data'!M71</f>
        <v>On Track to be Achieved</v>
      </c>
      <c r="G70" s="227"/>
      <c r="H70" s="252" t="str">
        <f>'1. All Data'!R71</f>
        <v>Update Not Provided</v>
      </c>
      <c r="I70" s="227"/>
      <c r="J70" s="252" t="str">
        <f>'1. All Data'!V71</f>
        <v>Update not provided</v>
      </c>
    </row>
    <row r="71" spans="1:10" ht="99.75" customHeight="1">
      <c r="A71" s="217" t="str">
        <f>'1. All Data'!B72</f>
        <v>CR04</v>
      </c>
      <c r="B71" s="253" t="str">
        <f>'1. All Data'!C72</f>
        <v>Minor Planning Applications Determined Within 8 Weeks</v>
      </c>
      <c r="C71" s="254" t="str">
        <f>'1. All Data'!D72</f>
        <v>Top Quartile as measured against relevant MHCLG figures</v>
      </c>
      <c r="D71" s="250" t="str">
        <f>'1. All Data'!H72</f>
        <v>On Track to be Achieved</v>
      </c>
      <c r="E71" s="219"/>
      <c r="F71" s="251" t="str">
        <f>'1. All Data'!M72</f>
        <v>On Track to be Achieved</v>
      </c>
      <c r="G71" s="227"/>
      <c r="H71" s="252" t="str">
        <f>'1. All Data'!R72</f>
        <v>Update Not Provided</v>
      </c>
      <c r="I71" s="227"/>
      <c r="J71" s="252" t="str">
        <f>'1. All Data'!V72</f>
        <v>Update not provided</v>
      </c>
    </row>
    <row r="72" spans="1:10" ht="99.75" customHeight="1">
      <c r="A72" s="217" t="str">
        <f>'1. All Data'!B73</f>
        <v>CR05</v>
      </c>
      <c r="B72" s="253" t="str">
        <f>'1. All Data'!C73</f>
        <v>Other Planning Applications Determined in 8 Weeks</v>
      </c>
      <c r="C72" s="254" t="str">
        <f>'1. All Data'!D73</f>
        <v>Top Quartile as measured against relevant MHCLG figures</v>
      </c>
      <c r="D72" s="250" t="str">
        <f>'1. All Data'!H73</f>
        <v>On Track to be Achieved</v>
      </c>
      <c r="E72" s="218"/>
      <c r="F72" s="251" t="str">
        <f>'1. All Data'!M73</f>
        <v>On Track to be Achieved</v>
      </c>
      <c r="G72" s="219"/>
      <c r="H72" s="252" t="str">
        <f>'1. All Data'!R73</f>
        <v>Update Not Provided</v>
      </c>
      <c r="I72" s="219"/>
      <c r="J72" s="252" t="str">
        <f>'1. All Data'!V73</f>
        <v>Update not provided</v>
      </c>
    </row>
    <row r="73" spans="1:10" ht="99.75" customHeight="1">
      <c r="A73" s="217" t="str">
        <f>'1. All Data'!B74</f>
        <v>CR06</v>
      </c>
      <c r="B73" s="253" t="str">
        <f>'1. All Data'!C74</f>
        <v>Improve Planning Guidance</v>
      </c>
      <c r="C73" s="254" t="str">
        <f>'1. All Data'!D74</f>
        <v>Endorse Development Guidance for Station Street Southern Brewery Site</v>
      </c>
      <c r="D73" s="250" t="str">
        <f>'1. All Data'!H74</f>
        <v>On Track to be Achieved</v>
      </c>
      <c r="E73" s="219"/>
      <c r="F73" s="251" t="str">
        <f>'1. All Data'!M74</f>
        <v>On Track to be Achieved</v>
      </c>
      <c r="G73" s="219"/>
      <c r="H73" s="252" t="str">
        <f>'1. All Data'!R74</f>
        <v>Update Not Provided</v>
      </c>
      <c r="I73" s="219"/>
      <c r="J73" s="252" t="str">
        <f>'1. All Data'!V74</f>
        <v>Update not provided</v>
      </c>
    </row>
    <row r="74" spans="1:10" ht="99.75" customHeight="1">
      <c r="A74" s="217" t="str">
        <f>'1. All Data'!B75</f>
        <v>CR07</v>
      </c>
      <c r="B74" s="253" t="str">
        <f>'1. All Data'!C75</f>
        <v>Improve Planning Guidance</v>
      </c>
      <c r="C74" s="254" t="str">
        <f>'1. All Data'!D75</f>
        <v>Revise and adopt Housing Choice SPD</v>
      </c>
      <c r="D74" s="250" t="str">
        <f>'1. All Data'!H75</f>
        <v>On Track to be Achieved</v>
      </c>
      <c r="E74" s="219"/>
      <c r="F74" s="251" t="str">
        <f>'1. All Data'!M75</f>
        <v>On Track to be Achieved</v>
      </c>
      <c r="G74" s="227"/>
      <c r="H74" s="252" t="str">
        <f>'1. All Data'!R75</f>
        <v>Update Not Provided</v>
      </c>
      <c r="I74" s="219"/>
      <c r="J74" s="252" t="str">
        <f>'1. All Data'!V75</f>
        <v>Update not provided</v>
      </c>
    </row>
    <row r="75" spans="1:10" ht="99.75" customHeight="1">
      <c r="A75" s="217" t="str">
        <f>'1. All Data'!B76</f>
        <v>CR08</v>
      </c>
      <c r="B75" s="253" t="str">
        <f>'1. All Data'!C76</f>
        <v>Raise Design Quality within the Borough</v>
      </c>
      <c r="C75" s="254" t="str">
        <f>'1. All Data'!D76</f>
        <v>Adopt Shopfronts Design Guide SPD</v>
      </c>
      <c r="D75" s="250" t="str">
        <f>'1. All Data'!H76</f>
        <v>On Track to be Achieved</v>
      </c>
      <c r="E75" s="219"/>
      <c r="F75" s="251" t="str">
        <f>'1. All Data'!M76</f>
        <v>On Track to be Achieved</v>
      </c>
      <c r="G75" s="219"/>
      <c r="H75" s="252" t="str">
        <f>'1. All Data'!R76</f>
        <v>Update Not Provided</v>
      </c>
      <c r="I75" s="219"/>
      <c r="J75" s="252" t="str">
        <f>'1. All Data'!V76</f>
        <v>Update not provided</v>
      </c>
    </row>
    <row r="76" spans="1:10" ht="99.75" customHeight="1">
      <c r="A76" s="217" t="str">
        <f>'1. All Data'!B77</f>
        <v>CR09</v>
      </c>
      <c r="B76" s="253" t="str">
        <f>'1. All Data'!C77</f>
        <v>Raise Design Quality within the Borough</v>
      </c>
      <c r="C76" s="254" t="str">
        <f>'1. All Data'!D77</f>
        <v>Adopt addendum to ESBC Design Guide SPD</v>
      </c>
      <c r="D76" s="250" t="str">
        <f>'1. All Data'!H77</f>
        <v>On Track to be Achieved</v>
      </c>
      <c r="E76" s="219"/>
      <c r="F76" s="251" t="str">
        <f>'1. All Data'!M77</f>
        <v>On Track to be Achieved</v>
      </c>
      <c r="G76" s="219"/>
      <c r="H76" s="252" t="str">
        <f>'1. All Data'!R77</f>
        <v>Update Not Provided</v>
      </c>
      <c r="I76" s="219"/>
      <c r="J76" s="252" t="str">
        <f>'1. All Data'!V77</f>
        <v>Update not provided</v>
      </c>
    </row>
    <row r="77" spans="1:10" ht="87.75">
      <c r="A77" s="217" t="str">
        <f>'1. All Data'!B78</f>
        <v>CR10</v>
      </c>
      <c r="B77" s="253" t="str">
        <f>'1. All Data'!C78</f>
        <v>Raise Design Quality within the Borough</v>
      </c>
      <c r="C77" s="254" t="str">
        <f>'1. All Data'!D78</f>
        <v>Brewery Building Conversion Design Guidance SPD</v>
      </c>
      <c r="D77" s="250" t="str">
        <f>'1. All Data'!H78</f>
        <v>On Track to be Achieved</v>
      </c>
      <c r="E77" s="218"/>
      <c r="F77" s="251" t="str">
        <f>'1. All Data'!M78</f>
        <v>On Track to be Achieved</v>
      </c>
      <c r="G77" s="219"/>
      <c r="H77" s="252" t="str">
        <f>'1. All Data'!R78</f>
        <v>Update Not Provided</v>
      </c>
      <c r="I77" s="219"/>
      <c r="J77" s="252" t="str">
        <f>'1. All Data'!V78</f>
        <v>Update not provided</v>
      </c>
    </row>
    <row r="78" spans="1:10" ht="99.75" customHeight="1">
      <c r="A78" s="217" t="str">
        <f>'1. All Data'!B79</f>
        <v>CR11</v>
      </c>
      <c r="B78" s="253" t="str">
        <f>'1. All Data'!C79</f>
        <v>Delivering Improvements to the Washlands</v>
      </c>
      <c r="C78" s="254" t="str">
        <f>'1. All Data'!D79</f>
        <v xml:space="preserve">Contribute to the ongoing partnership working relating to the Washlands </v>
      </c>
      <c r="D78" s="250" t="str">
        <f>'1. All Data'!H79</f>
        <v>On Track to be Achieved</v>
      </c>
      <c r="E78" s="218"/>
      <c r="F78" s="251" t="str">
        <f>'1. All Data'!M79</f>
        <v>On Track to be Achieved</v>
      </c>
      <c r="G78" s="226"/>
      <c r="H78" s="252" t="str">
        <f>'1. All Data'!R79</f>
        <v>Update Not Provided</v>
      </c>
      <c r="I78" s="226"/>
      <c r="J78" s="252" t="str">
        <f>'1. All Data'!V79</f>
        <v>Update not provided</v>
      </c>
    </row>
    <row r="79" spans="1:10" ht="99.75" customHeight="1">
      <c r="A79" s="217" t="str">
        <f>'1. All Data'!B80</f>
        <v>CR12</v>
      </c>
      <c r="B79" s="253" t="str">
        <f>'1. All Data'!C80</f>
        <v>Improve wayfinding on Worthington Way, High Street  and Washlands area: easy in and out of Burton</v>
      </c>
      <c r="C79" s="254" t="str">
        <f>'1. All Data'!D80</f>
        <v xml:space="preserve">Establish clearer routes in and out of the town </v>
      </c>
      <c r="D79" s="250" t="str">
        <f>'1. All Data'!H80</f>
        <v>On Track to be Achieved</v>
      </c>
      <c r="E79" s="218"/>
      <c r="F79" s="251" t="str">
        <f>'1. All Data'!M80</f>
        <v>On Track to be Achieved</v>
      </c>
      <c r="G79" s="219"/>
      <c r="H79" s="252" t="str">
        <f>'1. All Data'!R80</f>
        <v>Update Not Provided</v>
      </c>
      <c r="I79" s="219"/>
      <c r="J79" s="252" t="str">
        <f>'1. All Data'!V80</f>
        <v>Update not provided</v>
      </c>
    </row>
    <row r="80" spans="1:10" ht="99.75" customHeight="1">
      <c r="A80" s="217" t="str">
        <f>'1. All Data'!B81</f>
        <v>CR13</v>
      </c>
      <c r="B80" s="253" t="str">
        <f>'1. All Data'!C81</f>
        <v>Introduce new public realm civic space</v>
      </c>
      <c r="C80" s="254" t="str">
        <f>'1. All Data'!D81</f>
        <v xml:space="preserve">Working with new Street traders forum, introduce a food hall concept into the Market Hall </v>
      </c>
      <c r="D80" s="250" t="str">
        <f>'1. All Data'!H81</f>
        <v>Not Yet Due</v>
      </c>
      <c r="E80" s="219"/>
      <c r="F80" s="251" t="str">
        <f>'1. All Data'!M81</f>
        <v>Not Yet Due</v>
      </c>
      <c r="G80" s="219"/>
      <c r="H80" s="252" t="str">
        <f>'1. All Data'!R81</f>
        <v>Update Not Provided</v>
      </c>
      <c r="I80" s="219"/>
      <c r="J80" s="252" t="str">
        <f>'1. All Data'!V81</f>
        <v>Update not provided</v>
      </c>
    </row>
    <row r="81" spans="1:46" ht="99.75" customHeight="1">
      <c r="A81" s="217" t="str">
        <f>'1. All Data'!B82</f>
        <v>CR14</v>
      </c>
      <c r="B81" s="253" t="str">
        <f>'1. All Data'!C82</f>
        <v>Look to roll out learning from improvements made in Burton to Uttoxeter and other large settlements</v>
      </c>
      <c r="C81" s="254" t="str">
        <f>'1. All Data'!D82</f>
        <v>Consider learnings from regeneration that can be applied elsewhere in the borough with a view to applying for funds from phase 2 of the Future High Street Funds</v>
      </c>
      <c r="D81" s="250" t="str">
        <f>'1. All Data'!H82</f>
        <v>Not Yet Due</v>
      </c>
      <c r="E81" s="219"/>
      <c r="F81" s="251" t="str">
        <f>'1. All Data'!M82</f>
        <v>Not Yet Due</v>
      </c>
      <c r="G81" s="219"/>
      <c r="H81" s="252" t="str">
        <f>'1. All Data'!R82</f>
        <v>Update Not Provided</v>
      </c>
      <c r="I81" s="219"/>
      <c r="J81" s="252" t="str">
        <f>'1. All Data'!V82</f>
        <v>Update not provided</v>
      </c>
    </row>
    <row r="82" spans="1:46" s="235" customFormat="1" ht="101.25">
      <c r="A82" s="217" t="str">
        <f>'1. All Data'!B83</f>
        <v>CR15</v>
      </c>
      <c r="B82" s="253" t="str">
        <f>'1. All Data'!C83</f>
        <v>Consider a Business Improvement District (BID) in Burton Town Centre to stimulate private sector investment in the Town Centre</v>
      </c>
      <c r="C82" s="254" t="str">
        <f>'1. All Data'!D83</f>
        <v xml:space="preserve">Seek a BID ‘memorandum of understanding’ with the Burton Chamber of Commerce and Burton Small Business Federation </v>
      </c>
      <c r="D82" s="250" t="str">
        <f>'1. All Data'!H83</f>
        <v>On Track to be Achieved</v>
      </c>
      <c r="E82" s="218"/>
      <c r="F82" s="251" t="str">
        <f>'1. All Data'!M83</f>
        <v>On Track to be Achieved</v>
      </c>
      <c r="G82" s="219"/>
      <c r="H82" s="252" t="str">
        <f>'1. All Data'!R83</f>
        <v>Update Not Provided</v>
      </c>
      <c r="I82" s="219"/>
      <c r="J82" s="252" t="str">
        <f>'1. All Data'!V83</f>
        <v>Update not provided</v>
      </c>
      <c r="K82" s="241"/>
      <c r="L82" s="241"/>
      <c r="M82" s="242"/>
      <c r="N82" s="243"/>
      <c r="O82" s="244"/>
      <c r="P82" s="244"/>
      <c r="Q82" s="244"/>
      <c r="R82" s="242"/>
      <c r="S82" s="245"/>
      <c r="T82" s="241"/>
      <c r="U82" s="241"/>
      <c r="V82" s="246"/>
      <c r="W82" s="241"/>
      <c r="X82" s="242"/>
      <c r="Y82" s="242"/>
      <c r="Z82" s="242"/>
      <c r="AA82" s="242"/>
      <c r="AB82" s="233"/>
      <c r="AC82" s="216"/>
      <c r="AD82" s="234"/>
      <c r="AE82" s="234"/>
      <c r="AF82" s="234"/>
      <c r="AG82" s="234"/>
      <c r="AH82" s="234"/>
      <c r="AI82" s="234"/>
      <c r="AJ82" s="234"/>
      <c r="AK82" s="234"/>
      <c r="AL82" s="234"/>
      <c r="AM82" s="234"/>
      <c r="AN82" s="234"/>
      <c r="AO82" s="234"/>
      <c r="AP82" s="234"/>
      <c r="AQ82" s="234"/>
      <c r="AR82" s="234"/>
      <c r="AS82" s="234"/>
      <c r="AT82" s="234"/>
    </row>
    <row r="83" spans="1:46" s="240" customFormat="1" ht="103.5" customHeight="1">
      <c r="A83" s="217" t="str">
        <f>'1. All Data'!B84</f>
        <v>CR16</v>
      </c>
      <c r="B83" s="253" t="str">
        <f>'1. All Data'!C84</f>
        <v>Promote local employment opportunities</v>
      </c>
      <c r="C83" s="254" t="str">
        <f>'1. All Data'!D84</f>
        <v xml:space="preserve">Support the delivery of three job fairs </v>
      </c>
      <c r="D83" s="250" t="str">
        <f>'1. All Data'!H84</f>
        <v>On Track to be Achieved</v>
      </c>
      <c r="E83" s="219"/>
      <c r="F83" s="251" t="str">
        <f>'1. All Data'!M84</f>
        <v>On Track to be Achieved</v>
      </c>
      <c r="G83" s="247"/>
      <c r="H83" s="252" t="str">
        <f>'1. All Data'!R84</f>
        <v>Update Not Provided</v>
      </c>
      <c r="I83" s="247"/>
      <c r="J83" s="252" t="str">
        <f>'1. All Data'!V84</f>
        <v>Update not provided</v>
      </c>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row>
    <row r="84" spans="1:46" ht="99.75" customHeight="1">
      <c r="A84" s="217" t="str">
        <f>'1. All Data'!B85</f>
        <v>CR17</v>
      </c>
      <c r="B84" s="253" t="str">
        <f>'1. All Data'!C85</f>
        <v xml:space="preserve">Consider business activity and economic performance in East Staffordshire </v>
      </c>
      <c r="C84" s="254" t="str">
        <f>'1. All Data'!D85</f>
        <v xml:space="preserve">Report on local business activity during 2019 </v>
      </c>
      <c r="D84" s="250" t="str">
        <f>'1. All Data'!H85</f>
        <v>On Track to be Achieved</v>
      </c>
      <c r="E84" s="218"/>
      <c r="F84" s="251" t="str">
        <f>'1. All Data'!M85</f>
        <v>On Track to be Achieved</v>
      </c>
      <c r="G84" s="219"/>
      <c r="H84" s="252" t="str">
        <f>'1. All Data'!R85</f>
        <v>Update Not Provided</v>
      </c>
      <c r="I84" s="219"/>
      <c r="J84" s="252" t="str">
        <f>'1. All Data'!V85</f>
        <v>Update not provided</v>
      </c>
    </row>
    <row r="85" spans="1:46" ht="99.75" customHeight="1">
      <c r="A85" s="217" t="str">
        <f>'1. All Data'!B86</f>
        <v>CR18</v>
      </c>
      <c r="B85" s="253" t="str">
        <f>'1. All Data'!C86</f>
        <v>Neighbourhood Fund implementation</v>
      </c>
      <c r="C85" s="254" t="str">
        <f>'1. All Data'!D86</f>
        <v xml:space="preserve">7 existing projects and 5 new projects brought to completion </v>
      </c>
      <c r="D85" s="250" t="str">
        <f>'1. All Data'!H86</f>
        <v>On Track to be Achieved</v>
      </c>
      <c r="E85" s="218"/>
      <c r="F85" s="251" t="str">
        <f>'1. All Data'!M86</f>
        <v>On Track to be Achieved</v>
      </c>
      <c r="G85" s="219"/>
      <c r="H85" s="252" t="str">
        <f>'1. All Data'!R86</f>
        <v>Update Not Provided</v>
      </c>
      <c r="I85" s="219"/>
      <c r="J85" s="252" t="str">
        <f>'1. All Data'!V86</f>
        <v>Update not provided</v>
      </c>
    </row>
    <row r="86" spans="1:46" ht="99.75" customHeight="1">
      <c r="A86" s="217" t="str">
        <f>'1. All Data'!B87</f>
        <v>CR19</v>
      </c>
      <c r="B86" s="253" t="str">
        <f>'1. All Data'!C87</f>
        <v>Neighbourhood Fund implementation</v>
      </c>
      <c r="C86" s="254" t="str">
        <f>'1. All Data'!D87</f>
        <v xml:space="preserve">All Neighbourhood Fund projects to be identified with funding allocated </v>
      </c>
      <c r="D86" s="250" t="str">
        <f>'1. All Data'!H87</f>
        <v>On Track to be Achieved</v>
      </c>
      <c r="E86" s="218"/>
      <c r="F86" s="251" t="str">
        <f>'1. All Data'!M87</f>
        <v>Fully Achieved</v>
      </c>
      <c r="G86" s="227"/>
      <c r="H86" s="252" t="str">
        <f>'1. All Data'!R87</f>
        <v>Update Not Provided</v>
      </c>
      <c r="I86" s="219"/>
      <c r="J86" s="252" t="str">
        <f>'1. All Data'!V87</f>
        <v>Update not provided</v>
      </c>
    </row>
    <row r="87" spans="1:46" ht="99.75" customHeight="1">
      <c r="A87" s="217" t="str">
        <f>'1. All Data'!B88</f>
        <v>CR20</v>
      </c>
      <c r="B87" s="253" t="str">
        <f>'1. All Data'!C88</f>
        <v xml:space="preserve">Neighbourhood Fund implementation </v>
      </c>
      <c r="C87" s="254" t="str">
        <f>'1. All Data'!D88</f>
        <v xml:space="preserve">Review the Neighbourhood Fund project </v>
      </c>
      <c r="D87" s="250" t="str">
        <f>'1. All Data'!H88</f>
        <v>Not Yet Due</v>
      </c>
      <c r="E87" s="218"/>
      <c r="F87" s="251" t="str">
        <f>'1. All Data'!M88</f>
        <v>On Track to be Achieved</v>
      </c>
      <c r="G87" s="219"/>
      <c r="H87" s="252" t="str">
        <f>'1. All Data'!R88</f>
        <v>Update Not Provided</v>
      </c>
      <c r="I87" s="219"/>
      <c r="J87" s="252" t="str">
        <f>'1. All Data'!V88</f>
        <v>Update not provided</v>
      </c>
    </row>
    <row r="88" spans="1:46" ht="99.75" customHeight="1">
      <c r="A88" s="217" t="str">
        <f>'1. All Data'!B89</f>
        <v>EHW01</v>
      </c>
      <c r="B88" s="253" t="str">
        <f>'1. All Data'!C89</f>
        <v>Develop a Town Centre planting strategy</v>
      </c>
      <c r="C88" s="254" t="str">
        <f>'1. All Data'!D89</f>
        <v xml:space="preserve">Develop a Borough wide Planting Strategy </v>
      </c>
      <c r="D88" s="250" t="str">
        <f>'1. All Data'!H89</f>
        <v>On Track to be Achieved</v>
      </c>
      <c r="E88" s="218"/>
      <c r="F88" s="251" t="str">
        <f>'1. All Data'!M89</f>
        <v>On Track to be Achieved</v>
      </c>
      <c r="G88" s="219"/>
      <c r="H88" s="252" t="str">
        <f>'1. All Data'!R89</f>
        <v>Update Not Provided</v>
      </c>
      <c r="I88" s="219"/>
      <c r="J88" s="252" t="str">
        <f>'1. All Data'!V89</f>
        <v>Update not provided</v>
      </c>
    </row>
    <row r="89" spans="1:46" ht="99.75" customHeight="1">
      <c r="A89" s="217" t="str">
        <f>'1. All Data'!B90</f>
        <v>EHW02</v>
      </c>
      <c r="B89" s="253" t="str">
        <f>'1. All Data'!C90</f>
        <v>In Bloom/Green Flag</v>
      </c>
      <c r="C89" s="254" t="str">
        <f>'1. All Data'!D90</f>
        <v xml:space="preserve">Deliver a minimum of two Golds at the regional “In Bloom awards” and support Winshill In Bloom at the National RHS Awards    </v>
      </c>
      <c r="D89" s="250" t="str">
        <f>'1. All Data'!H90</f>
        <v>Not Yet Due</v>
      </c>
      <c r="E89" s="219"/>
      <c r="F89" s="251" t="str">
        <f>'1. All Data'!M90</f>
        <v>Fully Achieved</v>
      </c>
      <c r="G89" s="219"/>
      <c r="H89" s="252" t="str">
        <f>'1. All Data'!R90</f>
        <v>Update Not Provided</v>
      </c>
      <c r="I89" s="219"/>
      <c r="J89" s="252" t="str">
        <f>'1. All Data'!V90</f>
        <v>Update not provided</v>
      </c>
    </row>
    <row r="90" spans="1:46" ht="99.75" customHeight="1">
      <c r="A90" s="217" t="str">
        <f>'1. All Data'!B91</f>
        <v>EHW03</v>
      </c>
      <c r="B90" s="253" t="str">
        <f>'1. All Data'!C91</f>
        <v>In Bloom/Green Flag</v>
      </c>
      <c r="C90" s="254" t="str">
        <f>'1. All Data'!D91</f>
        <v>Achieve 2 Green Flag Awards at Bramshall Park and Stapenhill Gardens</v>
      </c>
      <c r="D90" s="250" t="str">
        <f>'1. All Data'!H91</f>
        <v>Not Yet Due</v>
      </c>
      <c r="E90" s="218"/>
      <c r="F90" s="251" t="str">
        <f>'1. All Data'!M91</f>
        <v>Off Target</v>
      </c>
      <c r="G90" s="219"/>
      <c r="H90" s="252" t="str">
        <f>'1. All Data'!R91</f>
        <v>Update Not Provided</v>
      </c>
      <c r="I90" s="219"/>
      <c r="J90" s="252" t="str">
        <f>'1. All Data'!V91</f>
        <v>Update not provided</v>
      </c>
    </row>
    <row r="91" spans="1:46" ht="99.75" customHeight="1">
      <c r="A91" s="217" t="str">
        <f>'1. All Data'!B92</f>
        <v>EHW04</v>
      </c>
      <c r="B91" s="253" t="str">
        <f>'1. All Data'!C92</f>
        <v>Street Cleansing - Litter</v>
      </c>
      <c r="C91" s="254" t="str">
        <f>'1. All Data'!D92</f>
        <v>Maintain Top Quartile Performance</v>
      </c>
      <c r="D91" s="250" t="str">
        <f>'1. All Data'!H92</f>
        <v>Not Yet Due</v>
      </c>
      <c r="E91" s="219"/>
      <c r="F91" s="251" t="str">
        <f>'1. All Data'!M92</f>
        <v>On Track to be Achieved</v>
      </c>
      <c r="G91" s="219"/>
      <c r="H91" s="252" t="str">
        <f>'1. All Data'!R92</f>
        <v>Update Not Provided</v>
      </c>
      <c r="I91" s="219"/>
      <c r="J91" s="252" t="str">
        <f>'1. All Data'!V92</f>
        <v>Update not provided</v>
      </c>
    </row>
    <row r="92" spans="1:46" ht="99.75" customHeight="1">
      <c r="A92" s="217" t="str">
        <f>'1. All Data'!B93</f>
        <v>EHW05</v>
      </c>
      <c r="B92" s="253" t="str">
        <f>'1. All Data'!C93</f>
        <v>Street Cleansing - Detritus</v>
      </c>
      <c r="C92" s="254" t="str">
        <f>'1. All Data'!D93</f>
        <v>Maintain Top Quartile Performance</v>
      </c>
      <c r="D92" s="250" t="str">
        <f>'1. All Data'!H93</f>
        <v>Not Yet Due</v>
      </c>
      <c r="E92" s="218"/>
      <c r="F92" s="251" t="str">
        <f>'1. All Data'!M93</f>
        <v>On Track to be Achieved</v>
      </c>
      <c r="G92" s="219"/>
      <c r="H92" s="252" t="str">
        <f>'1. All Data'!R93</f>
        <v>Update Not Provided</v>
      </c>
      <c r="I92" s="219"/>
      <c r="J92" s="252" t="str">
        <f>'1. All Data'!V93</f>
        <v>Update not provided</v>
      </c>
    </row>
    <row r="93" spans="1:46" ht="99.75" customHeight="1">
      <c r="A93" s="217" t="str">
        <f>'1. All Data'!B94</f>
        <v>EHW06</v>
      </c>
      <c r="B93" s="253" t="str">
        <f>'1. All Data'!C94</f>
        <v>Street Cleansing - Graffiti</v>
      </c>
      <c r="C93" s="254" t="str">
        <f>'1. All Data'!D94</f>
        <v>Maintain Top Quartile Performance</v>
      </c>
      <c r="D93" s="250" t="str">
        <f>'1. All Data'!H94</f>
        <v>Not Yet Due</v>
      </c>
      <c r="E93" s="218"/>
      <c r="F93" s="251" t="str">
        <f>'1. All Data'!M94</f>
        <v>On Track to be Achieved</v>
      </c>
      <c r="G93" s="219"/>
      <c r="H93" s="252" t="str">
        <f>'1. All Data'!R94</f>
        <v>Update Not Provided</v>
      </c>
      <c r="I93" s="219"/>
      <c r="J93" s="252" t="str">
        <f>'1. All Data'!V94</f>
        <v>Update not provided</v>
      </c>
    </row>
    <row r="94" spans="1:46" ht="99.75" customHeight="1">
      <c r="A94" s="217" t="str">
        <f>'1. All Data'!B95</f>
        <v>EHW07</v>
      </c>
      <c r="B94" s="253" t="str">
        <f>'1. All Data'!C95</f>
        <v>Street Cleansing – Fly-Posting</v>
      </c>
      <c r="C94" s="254" t="str">
        <f>'1. All Data'!D95</f>
        <v>Maintain Top Quartile Performance</v>
      </c>
      <c r="D94" s="250" t="str">
        <f>'1. All Data'!H95</f>
        <v>Not Yet Due</v>
      </c>
      <c r="E94" s="218"/>
      <c r="F94" s="251" t="str">
        <f>'1. All Data'!M95</f>
        <v>On Track to be Achieved</v>
      </c>
      <c r="G94" s="219"/>
      <c r="H94" s="252" t="str">
        <f>'1. All Data'!R95</f>
        <v>Update Not Provided</v>
      </c>
      <c r="I94" s="219"/>
      <c r="J94" s="252" t="str">
        <f>'1. All Data'!V95</f>
        <v>Update not provided</v>
      </c>
    </row>
    <row r="95" spans="1:46" ht="99.75" customHeight="1">
      <c r="A95" s="217" t="str">
        <f>'1. All Data'!B96</f>
        <v>EHW08</v>
      </c>
      <c r="B95" s="253" t="str">
        <f>'1. All Data'!C96</f>
        <v xml:space="preserve">Recycling </v>
      </c>
      <c r="C95" s="254" t="str">
        <f>'1. All Data'!D96</f>
        <v>Household Waste Recycled and Composted:
Maintain Top Quartile Performance</v>
      </c>
      <c r="D95" s="250" t="str">
        <f>'1. All Data'!H96</f>
        <v>On Track to be Achieved</v>
      </c>
      <c r="E95" s="218"/>
      <c r="F95" s="251" t="str">
        <f>'1. All Data'!M96</f>
        <v>On Track to be Achieved</v>
      </c>
      <c r="G95" s="219"/>
      <c r="H95" s="252" t="str">
        <f>'1. All Data'!R96</f>
        <v>Update Not Provided</v>
      </c>
      <c r="I95" s="219"/>
      <c r="J95" s="252" t="str">
        <f>'1. All Data'!V96</f>
        <v>Update not provided</v>
      </c>
    </row>
    <row r="96" spans="1:46" ht="99.75" customHeight="1">
      <c r="A96" s="217" t="str">
        <f>'1. All Data'!B97</f>
        <v>EHW09</v>
      </c>
      <c r="B96" s="253" t="str">
        <f>'1. All Data'!C97</f>
        <v xml:space="preserve">Waste Reduction </v>
      </c>
      <c r="C96" s="254" t="str">
        <f>'1. All Data'!D97</f>
        <v>Residual Household Waste Per Household: 
Maintain Top Quartile Performance</v>
      </c>
      <c r="D96" s="250" t="str">
        <f>'1. All Data'!H97</f>
        <v>On Track to be Achieved</v>
      </c>
      <c r="E96" s="219"/>
      <c r="F96" s="251" t="str">
        <f>'1. All Data'!M97</f>
        <v>On Track to be Achieved</v>
      </c>
      <c r="G96" s="219"/>
      <c r="H96" s="252" t="str">
        <f>'1. All Data'!R97</f>
        <v>Update Not Provided</v>
      </c>
      <c r="I96" s="219"/>
      <c r="J96" s="252" t="str">
        <f>'1. All Data'!V97</f>
        <v>Update not provided</v>
      </c>
    </row>
    <row r="97" spans="1:10" ht="99.75" customHeight="1">
      <c r="A97" s="217" t="str">
        <f>'1. All Data'!B98</f>
        <v>EHW10</v>
      </c>
      <c r="B97" s="253" t="str">
        <f>'1. All Data'!C98</f>
        <v>Delivering Better Services to Support Homelessness</v>
      </c>
      <c r="C97" s="254" t="str">
        <f>'1. All Data'!D98</f>
        <v>Average time from appointment to initial decision for homeless applicants of 10 days</v>
      </c>
      <c r="D97" s="250" t="str">
        <f>'1. All Data'!H98</f>
        <v>On Track to be Achieved</v>
      </c>
      <c r="E97" s="219"/>
      <c r="F97" s="251" t="str">
        <f>'1. All Data'!M98</f>
        <v>On Track to be Achieved</v>
      </c>
      <c r="G97" s="219"/>
      <c r="H97" s="252" t="str">
        <f>'1. All Data'!R98</f>
        <v>Update Not Provided</v>
      </c>
      <c r="I97" s="219"/>
      <c r="J97" s="252" t="str">
        <f>'1. All Data'!V98</f>
        <v>Update not provided</v>
      </c>
    </row>
    <row r="98" spans="1:10" ht="99.75" customHeight="1">
      <c r="A98" s="217" t="str">
        <f>'1. All Data'!B99</f>
        <v>EHW11</v>
      </c>
      <c r="B98" s="253" t="str">
        <f>'1. All Data'!C99</f>
        <v>Continue to Maximise Utilisation of Self Contained Temporary Accommodation for Homeless Applicants</v>
      </c>
      <c r="C98" s="254" t="str">
        <f>'1. All Data'!D99</f>
        <v>Reduce ‘Key to Key’ Void Turnaround to an average of 6 working days</v>
      </c>
      <c r="D98" s="250" t="str">
        <f>'1. All Data'!H99</f>
        <v>In Danger of Falling Behind Target</v>
      </c>
      <c r="E98" s="218"/>
      <c r="F98" s="251" t="str">
        <f>'1. All Data'!M99</f>
        <v>On Track to be Achieved</v>
      </c>
      <c r="G98" s="227"/>
      <c r="H98" s="252" t="str">
        <f>'1. All Data'!R99</f>
        <v>Update Not Provided</v>
      </c>
      <c r="I98" s="219"/>
      <c r="J98" s="252" t="str">
        <f>'1. All Data'!V99</f>
        <v>Update not provided</v>
      </c>
    </row>
    <row r="99" spans="1:10" ht="99.75" customHeight="1">
      <c r="A99" s="217" t="str">
        <f>'1. All Data'!B100</f>
        <v>EHW12</v>
      </c>
      <c r="B99" s="253" t="str">
        <f>'1. All Data'!C100</f>
        <v>Review options for continuing outreach services to Rough Sleepers</v>
      </c>
      <c r="C99" s="254" t="str">
        <f>'1. All Data'!D100</f>
        <v xml:space="preserve">Report completed </v>
      </c>
      <c r="D99" s="250" t="str">
        <f>'1. All Data'!H100</f>
        <v>On Track to be Achieved</v>
      </c>
      <c r="E99" s="219"/>
      <c r="F99" s="251" t="str">
        <f>'1. All Data'!M100</f>
        <v>Fully Achieved</v>
      </c>
      <c r="G99" s="226"/>
      <c r="H99" s="252" t="str">
        <f>'1. All Data'!R100</f>
        <v>Update Not Provided</v>
      </c>
      <c r="I99" s="219"/>
      <c r="J99" s="252" t="str">
        <f>'1. All Data'!V100</f>
        <v>Update not provided</v>
      </c>
    </row>
    <row r="100" spans="1:10" ht="99.75" customHeight="1">
      <c r="A100" s="217" t="str">
        <f>'1. All Data'!B101</f>
        <v>EHW13</v>
      </c>
      <c r="B100" s="253" t="str">
        <f>'1. All Data'!C101</f>
        <v>Delivering Better Services to Support Homelessness</v>
      </c>
      <c r="C100" s="254" t="str">
        <f>'1. All Data'!D101</f>
        <v>Launch Campaign to raise awareness of rough sleeping, street living and street begging</v>
      </c>
      <c r="D100" s="250" t="str">
        <f>'1. All Data'!H101</f>
        <v>Fully Achieved</v>
      </c>
      <c r="E100" s="219"/>
      <c r="F100" s="251" t="str">
        <f>'1. All Data'!M101</f>
        <v>Fully Achieved</v>
      </c>
      <c r="G100" s="219"/>
      <c r="H100" s="252" t="str">
        <f>'1. All Data'!R101</f>
        <v>Update Not Provided</v>
      </c>
      <c r="I100" s="219"/>
      <c r="J100" s="252" t="str">
        <f>'1. All Data'!V101</f>
        <v>Update not provided</v>
      </c>
    </row>
    <row r="101" spans="1:10" ht="99.75" customHeight="1">
      <c r="A101" s="217" t="str">
        <f>'1. All Data'!B102</f>
        <v>EHW14</v>
      </c>
      <c r="B101" s="253" t="str">
        <f>'1. All Data'!C102</f>
        <v>Produce a Business Plan to tackle selected empty homes</v>
      </c>
      <c r="C101" s="254" t="str">
        <f>'1. All Data'!D102</f>
        <v>Business Plan Produced</v>
      </c>
      <c r="D101" s="250" t="str">
        <f>'1. All Data'!H102</f>
        <v>Fully Achieved</v>
      </c>
      <c r="E101" s="219"/>
      <c r="F101" s="251" t="str">
        <f>'1. All Data'!M102</f>
        <v>Fully Achieved</v>
      </c>
      <c r="G101" s="219"/>
      <c r="H101" s="252" t="str">
        <f>'1. All Data'!R102</f>
        <v>Update Not Provided</v>
      </c>
      <c r="I101" s="219"/>
      <c r="J101" s="252" t="str">
        <f>'1. All Data'!V102</f>
        <v>Update not provided</v>
      </c>
    </row>
    <row r="102" spans="1:10" ht="99.75" customHeight="1">
      <c r="A102" s="217" t="str">
        <f>'1. All Data'!B103</f>
        <v>EHW15</v>
      </c>
      <c r="B102" s="253" t="str">
        <f>'1. All Data'!C103</f>
        <v>Deliver Focussed Environmental Health Initiatives</v>
      </c>
      <c r="C102" s="254" t="str">
        <f>'1. All Data'!D103</f>
        <v xml:space="preserve">Provide a six monthly report on Regulatory Services activity including initiatives covering licensed gambling premises, Civil Enforcement, Scrap metal compliance etc. </v>
      </c>
      <c r="D102" s="250" t="str">
        <f>'1. All Data'!H103</f>
        <v>On Track to be Achieved</v>
      </c>
      <c r="E102" s="218"/>
      <c r="F102" s="251" t="str">
        <f>'1. All Data'!M103</f>
        <v>On Track to be Achieved</v>
      </c>
      <c r="G102" s="219"/>
      <c r="H102" s="252" t="str">
        <f>'1. All Data'!R103</f>
        <v>Update Not Provided</v>
      </c>
      <c r="I102" s="219"/>
      <c r="J102" s="252" t="str">
        <f>'1. All Data'!V103</f>
        <v>Update not provided</v>
      </c>
    </row>
    <row r="103" spans="1:10" ht="99.75" customHeight="1">
      <c r="A103" s="217" t="str">
        <f>'1. All Data'!B104</f>
        <v>EHW16</v>
      </c>
      <c r="B103" s="253" t="str">
        <f>'1. All Data'!C104</f>
        <v>Deliver Focussed Environmental Health Initiatives</v>
      </c>
      <c r="C103" s="254" t="str">
        <f>'1. All Data'!D104</f>
        <v>Undertake a targeted initiative to identify Unlicensed Houses in Multiple Occupation</v>
      </c>
      <c r="D103" s="250" t="str">
        <f>'1. All Data'!H104</f>
        <v>On Track to be Achieved</v>
      </c>
      <c r="E103" s="218"/>
      <c r="F103" s="251" t="str">
        <f>'1. All Data'!M104</f>
        <v>On Track to be Achieved</v>
      </c>
      <c r="G103" s="219"/>
      <c r="H103" s="252" t="str">
        <f>'1. All Data'!R104</f>
        <v>Update Not Provided</v>
      </c>
      <c r="I103" s="219"/>
      <c r="J103" s="252" t="str">
        <f>'1. All Data'!V104</f>
        <v>Update not provided</v>
      </c>
    </row>
    <row r="104" spans="1:10" ht="99.75" customHeight="1">
      <c r="A104" s="217" t="str">
        <f>'1. All Data'!B105</f>
        <v>EHW17</v>
      </c>
      <c r="B104" s="253" t="str">
        <f>'1. All Data'!C105</f>
        <v>Deliver Focussed Environmental Health Initiatives</v>
      </c>
      <c r="C104" s="254" t="str">
        <f>'1. All Data'!D105</f>
        <v>Complete an evaluation of all Licensable Animal Activities and report to DEFRA</v>
      </c>
      <c r="D104" s="250" t="str">
        <f>'1. All Data'!H105</f>
        <v>On Track to be Achieved</v>
      </c>
      <c r="E104" s="219"/>
      <c r="F104" s="251" t="str">
        <f>'1. All Data'!M105</f>
        <v>On Track to be Achieved</v>
      </c>
      <c r="G104" s="219"/>
      <c r="H104" s="252" t="str">
        <f>'1. All Data'!R105</f>
        <v>Update Not Provided</v>
      </c>
      <c r="I104" s="219"/>
      <c r="J104" s="252" t="str">
        <f>'1. All Data'!V105</f>
        <v>Update not provided</v>
      </c>
    </row>
    <row r="105" spans="1:10" ht="99.75" customHeight="1">
      <c r="A105" s="217" t="str">
        <f>'1. All Data'!B106</f>
        <v>EHW18</v>
      </c>
      <c r="B105" s="253" t="str">
        <f>'1. All Data'!C106</f>
        <v>Improve active links: easy in and easy out of Burton</v>
      </c>
      <c r="C105" s="254" t="str">
        <f>'1. All Data'!D106</f>
        <v xml:space="preserve">Working with SCC, audit the existing walking and cycling network and propose the upgrade and improvement of the network to ensure Burton is well connected to and from its town centre </v>
      </c>
      <c r="D105" s="250" t="str">
        <f>'1. All Data'!H106</f>
        <v>On Track to be Achieved</v>
      </c>
      <c r="E105" s="219"/>
      <c r="F105" s="251" t="str">
        <f>'1. All Data'!M106</f>
        <v>On Track to be Achieved</v>
      </c>
      <c r="G105" s="219"/>
      <c r="H105" s="252" t="str">
        <f>'1. All Data'!R106</f>
        <v>Update Not Provided</v>
      </c>
      <c r="I105" s="219"/>
      <c r="J105" s="252" t="str">
        <f>'1. All Data'!V106</f>
        <v>Update not provided</v>
      </c>
    </row>
    <row r="106" spans="1:10" ht="99.75" customHeight="1">
      <c r="A106" s="217" t="str">
        <f>'1. All Data'!B107</f>
        <v>EHW19</v>
      </c>
      <c r="B106" s="253" t="str">
        <f>'1. All Data'!C107</f>
        <v>Improve active and green links: easy in and easy out of Burton</v>
      </c>
      <c r="C106" s="254" t="str">
        <f>'1. All Data'!D107</f>
        <v xml:space="preserve">Begin scoping works for a bus interchange and active travel hubs in the Burton Place area </v>
      </c>
      <c r="D106" s="250" t="str">
        <f>'1. All Data'!H107</f>
        <v>On Track to be Achieved</v>
      </c>
      <c r="E106" s="219"/>
      <c r="F106" s="251" t="str">
        <f>'1. All Data'!M107</f>
        <v>On Track to be Achieved</v>
      </c>
      <c r="G106" s="219"/>
      <c r="H106" s="252" t="str">
        <f>'1. All Data'!R107</f>
        <v>Update Not Provided</v>
      </c>
      <c r="I106" s="219"/>
      <c r="J106" s="252" t="str">
        <f>'1. All Data'!V107</f>
        <v>Update not provided</v>
      </c>
    </row>
    <row r="107" spans="1:10" ht="99.75" customHeight="1">
      <c r="A107" s="217" t="str">
        <f>'1. All Data'!B108</f>
        <v>EHW20</v>
      </c>
      <c r="B107" s="253" t="str">
        <f>'1. All Data'!C108</f>
        <v>Upgrade Burton Railway Station in terms of functionality and aesthetics</v>
      </c>
      <c r="C107" s="254" t="str">
        <f>'1. All Data'!D108</f>
        <v xml:space="preserve">Continue to work with the relevant rail authorities and partners to invest in and improve  the fabric of Burton Railway Station building </v>
      </c>
      <c r="D107" s="250" t="str">
        <f>'1. All Data'!H108</f>
        <v>On Track to be Achieved</v>
      </c>
      <c r="E107" s="219"/>
      <c r="F107" s="251" t="str">
        <f>'1. All Data'!M108</f>
        <v>On Track to be Achieved</v>
      </c>
      <c r="G107" s="219"/>
      <c r="H107" s="252" t="str">
        <f>'1. All Data'!R108</f>
        <v>Update Not Provided</v>
      </c>
      <c r="I107" s="219"/>
      <c r="J107" s="252" t="str">
        <f>'1. All Data'!V108</f>
        <v>Update not provided</v>
      </c>
    </row>
    <row r="108" spans="1:10" ht="99.75" customHeight="1">
      <c r="A108" s="217" t="str">
        <f>'1. All Data'!B109</f>
        <v>EHW21</v>
      </c>
      <c r="B108" s="253" t="str">
        <f>'1. All Data'!C109</f>
        <v>Upgrade Burton Railway Station in terms of functionality and aesthetics</v>
      </c>
      <c r="C108" s="254" t="str">
        <f>'1. All Data'!D109</f>
        <v xml:space="preserve">Work with partners to lobby for the opening of the Burton to Lichfield and Ivanhoe rail links </v>
      </c>
      <c r="D108" s="250" t="str">
        <f>'1. All Data'!H109</f>
        <v>Not Yet Due</v>
      </c>
      <c r="E108" s="219"/>
      <c r="F108" s="251" t="str">
        <f>'1. All Data'!M109</f>
        <v>On Track to be Achieved</v>
      </c>
      <c r="G108" s="219"/>
      <c r="H108" s="252" t="str">
        <f>'1. All Data'!R109</f>
        <v>Update Not Provided</v>
      </c>
      <c r="I108" s="219"/>
      <c r="J108" s="252" t="str">
        <f>'1. All Data'!V109</f>
        <v>Update not provided</v>
      </c>
    </row>
    <row r="109" spans="1:10" ht="99.75" customHeight="1">
      <c r="A109" s="217" t="str">
        <f>'1. All Data'!B110</f>
        <v>EHW22</v>
      </c>
      <c r="B109" s="253" t="str">
        <f>'1. All Data'!C110</f>
        <v>Achieve optimum working in economic partnership</v>
      </c>
      <c r="C109" s="254" t="str">
        <f>'1. All Data'!D110</f>
        <v xml:space="preserve">Continue to work with strategic tourism partners to facilitate the promotion of tourism </v>
      </c>
      <c r="D109" s="250" t="str">
        <f>'1. All Data'!H110</f>
        <v>Not Yet Due</v>
      </c>
      <c r="E109" s="219"/>
      <c r="F109" s="251" t="str">
        <f>'1. All Data'!M110</f>
        <v>Not Yet Due</v>
      </c>
      <c r="G109" s="219"/>
      <c r="H109" s="252" t="str">
        <f>'1. All Data'!R110</f>
        <v>Update Not Provided</v>
      </c>
      <c r="I109" s="219"/>
      <c r="J109" s="252" t="str">
        <f>'1. All Data'!V110</f>
        <v>Update not provided</v>
      </c>
    </row>
    <row r="110" spans="1:10" ht="99.75" customHeight="1">
      <c r="A110" s="217" t="str">
        <f>'1. All Data'!B111</f>
        <v>EHW23</v>
      </c>
      <c r="B110" s="253" t="str">
        <f>'1. All Data'!C111</f>
        <v>Achieve optimum working in economic partnership</v>
      </c>
      <c r="C110" s="254" t="str">
        <f>'1. All Data'!D111</f>
        <v xml:space="preserve">Support partners such as the National Forest and Transforming The Trent Valley in delivering environmental enhancement projects, such as the Brook Hollows project </v>
      </c>
      <c r="D110" s="250" t="str">
        <f>'1. All Data'!H111</f>
        <v>On Track to be Achieved</v>
      </c>
      <c r="E110" s="218"/>
      <c r="F110" s="251" t="str">
        <f>'1. All Data'!M111</f>
        <v>On Track to be Achieved</v>
      </c>
      <c r="G110" s="219"/>
      <c r="H110" s="252" t="str">
        <f>'1. All Data'!R111</f>
        <v>Update Not Provided</v>
      </c>
      <c r="I110" s="226"/>
      <c r="J110" s="252" t="str">
        <f>'1. All Data'!V111</f>
        <v>Update not provided</v>
      </c>
    </row>
    <row r="111" spans="1:10" s="220" customFormat="1">
      <c r="C111" s="248"/>
    </row>
    <row r="112" spans="1:10" s="220" customFormat="1">
      <c r="C112" s="248"/>
    </row>
    <row r="113" spans="3:3" s="220" customFormat="1">
      <c r="C113" s="248"/>
    </row>
    <row r="114" spans="3:3" s="220" customFormat="1">
      <c r="C114" s="248"/>
    </row>
    <row r="115" spans="3:3" s="220" customFormat="1">
      <c r="C115" s="248"/>
    </row>
    <row r="116" spans="3:3" s="220" customFormat="1">
      <c r="C116" s="248"/>
    </row>
    <row r="117" spans="3:3" s="220" customFormat="1">
      <c r="C117" s="248"/>
    </row>
    <row r="118" spans="3:3" s="220" customFormat="1">
      <c r="C118" s="248"/>
    </row>
    <row r="119" spans="3:3" s="220" customFormat="1">
      <c r="C119" s="248"/>
    </row>
    <row r="120" spans="3:3" s="220" customFormat="1">
      <c r="C120" s="248"/>
    </row>
    <row r="121" spans="3:3" s="220" customFormat="1">
      <c r="C121" s="248"/>
    </row>
    <row r="122" spans="3:3" s="220" customFormat="1">
      <c r="C122" s="248"/>
    </row>
    <row r="123" spans="3:3" s="220" customFormat="1">
      <c r="C123" s="248"/>
    </row>
    <row r="124" spans="3:3" s="220" customFormat="1">
      <c r="C124" s="248"/>
    </row>
    <row r="125" spans="3:3" s="220" customFormat="1">
      <c r="C125" s="248"/>
    </row>
    <row r="126" spans="3:3" s="220" customFormat="1">
      <c r="C126" s="248"/>
    </row>
    <row r="127" spans="3:3" s="220" customFormat="1">
      <c r="C127" s="248"/>
    </row>
    <row r="128" spans="3:3" s="220" customFormat="1">
      <c r="C128" s="248"/>
    </row>
    <row r="129" spans="3:3">
      <c r="C129" s="248"/>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1. All Data</vt:lpstr>
      <vt:lpstr>Q1 Summary</vt:lpstr>
      <vt:lpstr>Q2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2019-11-12T14:21:27Z</dcterms:modified>
</cp:coreProperties>
</file>