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1\AGENDAS\AGENDA 23 SEPTEMBER 2021\pdfs\"/>
    </mc:Choice>
  </mc:AlternateContent>
  <bookViews>
    <workbookView xWindow="0" yWindow="0" windowWidth="20508" windowHeight="7752" tabRatio="884"/>
  </bookViews>
  <sheets>
    <sheet name="1. All Data" sheetId="1" r:id="rId1"/>
    <sheet name="Q1 Summary" sheetId="9" r:id="rId2"/>
    <sheet name="Q2 Summary" sheetId="14" state="hidden" r:id="rId3"/>
    <sheet name="Q3 Summary" sheetId="15" state="hidden" r:id="rId4"/>
    <sheet name="Q4 Summary" sheetId="16" state="hidden" r:id="rId5"/>
    <sheet name="2a. % By Priority" sheetId="5" r:id="rId6"/>
    <sheet name="2b. Charts by Priority" sheetId="6" state="hidden" r:id="rId7"/>
    <sheet name="3a. % by Portfolio" sheetId="7" state="hidden" r:id="rId8"/>
    <sheet name="3b. Charts by Portfolio" sheetId="8" state="hidden" r:id="rId9"/>
    <sheet name="4. Status Tracking" sheetId="10" state="hidden" r:id="rId10"/>
    <sheet name="Custom Pivot" sheetId="17" state="hidden"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33" i="5"/>
  <c r="X32" i="5"/>
  <c r="X31" i="5"/>
  <c r="X30" i="5"/>
  <c r="X29" i="5"/>
  <c r="X28" i="5"/>
  <c r="X27" i="5"/>
  <c r="X26" i="5"/>
  <c r="X25" i="5"/>
  <c r="X24" i="5"/>
  <c r="X23" i="5"/>
  <c r="X9" i="5"/>
  <c r="X8" i="5"/>
  <c r="X7" i="5"/>
  <c r="X6" i="5"/>
  <c r="X5" i="5"/>
  <c r="Q33" i="5"/>
  <c r="Q32" i="5"/>
  <c r="Q31" i="5"/>
  <c r="Q30" i="5"/>
  <c r="Q29" i="5"/>
  <c r="Q28" i="5"/>
  <c r="Q25" i="5"/>
  <c r="Q24" i="5"/>
  <c r="Q23" i="5"/>
  <c r="Q7" i="5"/>
  <c r="Q6" i="5"/>
  <c r="Q5" i="5"/>
  <c r="J33" i="5"/>
  <c r="J32" i="5"/>
  <c r="J31" i="5"/>
  <c r="J30" i="5"/>
  <c r="J29" i="5"/>
  <c r="J28" i="5"/>
  <c r="J25" i="5"/>
  <c r="J24" i="5"/>
  <c r="J23" i="5"/>
  <c r="J6" i="5"/>
  <c r="J5" i="5"/>
  <c r="J13"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C9" i="16"/>
  <c r="Z5" i="7" l="1"/>
  <c r="Z47" i="7"/>
  <c r="AA79" i="7"/>
  <c r="AA81" i="7"/>
  <c r="AA82" i="7"/>
  <c r="AA83" i="7"/>
  <c r="AA84" i="7"/>
  <c r="AA80" i="7"/>
  <c r="AA43" i="7"/>
  <c r="AA44" i="7"/>
  <c r="AA45" i="7"/>
  <c r="AA46" i="7"/>
  <c r="X17" i="5"/>
  <c r="AA5" i="5" s="1"/>
  <c r="Y6" i="5"/>
  <c r="Y5" i="5"/>
  <c r="AA30" i="7"/>
  <c r="AA26" i="7"/>
  <c r="AA28" i="7"/>
  <c r="AA27" i="7"/>
  <c r="AA60" i="7"/>
  <c r="AA65" i="7"/>
  <c r="AA62" i="7"/>
  <c r="AA63" i="7"/>
  <c r="AA64" i="7"/>
  <c r="AA66" i="7"/>
  <c r="Z42" i="7"/>
  <c r="AA47" i="7"/>
  <c r="AA24" i="7"/>
  <c r="Z83" i="7"/>
  <c r="AA25" i="7"/>
  <c r="AA29" i="7"/>
  <c r="AA61" i="7"/>
  <c r="AA48" i="7"/>
  <c r="AA42" i="7"/>
  <c r="Z10" i="7"/>
  <c r="Z60" i="7"/>
  <c r="Z62" i="7"/>
  <c r="AA78" i="7"/>
  <c r="Z29" i="7"/>
  <c r="Z24" i="7"/>
  <c r="Z78" i="7"/>
  <c r="Z65" i="7"/>
  <c r="Y9" i="5"/>
  <c r="Z26" i="7"/>
  <c r="Z80" i="7"/>
  <c r="Z7" i="7"/>
  <c r="AA5" i="7"/>
  <c r="AB5" i="7" s="1"/>
  <c r="AA11" i="7"/>
  <c r="AA9" i="7"/>
  <c r="AA10" i="7"/>
  <c r="AA8" i="7"/>
  <c r="AA7" i="7"/>
  <c r="Y10" i="5"/>
  <c r="Z44" i="7"/>
  <c r="Y31" i="5"/>
  <c r="Z31" i="5" s="1"/>
  <c r="X35" i="5"/>
  <c r="AA23" i="5" s="1"/>
  <c r="Y33" i="5"/>
  <c r="Z33" i="5" s="1"/>
  <c r="Y23" i="5"/>
  <c r="Y25" i="5"/>
  <c r="Y14" i="5"/>
  <c r="Z14" i="5" s="1"/>
  <c r="Y29" i="5"/>
  <c r="Y32" i="5"/>
  <c r="Z32" i="5" s="1"/>
  <c r="Y27" i="5"/>
  <c r="Y28" i="5"/>
  <c r="Y24" i="5"/>
  <c r="Y26" i="5"/>
  <c r="Y8" i="5"/>
  <c r="Y7" i="5"/>
  <c r="Y11" i="5"/>
  <c r="Y15" i="5"/>
  <c r="Z15" i="5" s="1"/>
  <c r="Y13" i="5"/>
  <c r="Z13" i="5" s="1"/>
  <c r="Q12" i="5"/>
  <c r="Q10" i="5"/>
  <c r="Q11" i="5"/>
  <c r="E5" i="15"/>
  <c r="AB42" i="7" l="1"/>
  <c r="D13" i="16" s="1"/>
  <c r="AB62" i="7"/>
  <c r="AB80" i="7"/>
  <c r="AB44" i="7"/>
  <c r="F13" i="16" s="1"/>
  <c r="AB26" i="7"/>
  <c r="AB7" i="7"/>
  <c r="Z10" i="5"/>
  <c r="AB10" i="7"/>
  <c r="AB47" i="7"/>
  <c r="H13" i="16" s="1"/>
  <c r="Z28" i="5"/>
  <c r="Z7" i="5"/>
  <c r="Z23" i="5"/>
  <c r="Z5" i="5"/>
  <c r="Z25" i="5"/>
  <c r="AA24" i="5"/>
  <c r="AA29" i="5"/>
  <c r="AA27" i="5"/>
  <c r="AA25" i="5"/>
  <c r="AA26" i="5"/>
  <c r="AA28" i="5"/>
  <c r="AA11" i="5"/>
  <c r="AA8" i="5"/>
  <c r="AA7" i="5"/>
  <c r="AA10" i="5"/>
  <c r="AA6" i="5"/>
  <c r="AA9" i="5"/>
  <c r="G5" i="15"/>
  <c r="C5" i="15"/>
  <c r="E8" i="14"/>
  <c r="E5" i="14"/>
  <c r="E7" i="14"/>
  <c r="AB25" i="5" l="1"/>
  <c r="F9" i="16"/>
  <c r="AB10" i="5"/>
  <c r="AB7" i="5"/>
  <c r="D9" i="16"/>
  <c r="D8" i="16"/>
  <c r="F8" i="16"/>
  <c r="H9" i="16"/>
  <c r="AB23" i="5"/>
  <c r="D7" i="16" s="1"/>
  <c r="H8" i="16"/>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J11" i="5"/>
  <c r="J10" i="5"/>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J15" i="5"/>
  <c r="J14" i="5"/>
  <c r="J12" i="5"/>
  <c r="E5" i="9"/>
  <c r="T6" i="7" l="1"/>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BC8" i="6"/>
  <c r="Q16" i="5"/>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N78" i="7"/>
  <c r="U83" i="7"/>
  <c r="U47" i="7"/>
  <c r="U29" i="7"/>
  <c r="N65" i="7"/>
  <c r="F14" i="9"/>
  <c r="AZ56" i="8"/>
  <c r="D15" i="9"/>
  <c r="AZ71" i="8"/>
  <c r="D14" i="9"/>
  <c r="AZ55" i="8"/>
  <c r="D13" i="9"/>
  <c r="AZ41" i="8"/>
  <c r="N29" i="7"/>
  <c r="G24" i="7"/>
  <c r="N10" i="7"/>
  <c r="F12" i="9"/>
  <c r="AZ24" i="8"/>
  <c r="H12" i="9"/>
  <c r="AZ25" i="8"/>
  <c r="N42" i="7"/>
  <c r="U60" i="7"/>
  <c r="U42" i="7"/>
  <c r="N47" i="7"/>
  <c r="G65" i="7"/>
  <c r="K13" i="5"/>
  <c r="L13" i="5" s="1"/>
  <c r="E10" i="7"/>
  <c r="F11" i="9"/>
  <c r="R5" i="5"/>
  <c r="R6" i="5"/>
  <c r="R7" i="5"/>
  <c r="S7" i="5" s="1"/>
  <c r="R10" i="5"/>
  <c r="R14" i="5"/>
  <c r="S14" i="5" s="1"/>
  <c r="R13" i="5"/>
  <c r="S13" i="5" s="1"/>
  <c r="J17" i="5"/>
  <c r="L7" i="5"/>
  <c r="K5" i="5"/>
  <c r="K15" i="5"/>
  <c r="L15" i="5" s="1"/>
  <c r="BC7" i="6"/>
  <c r="BC9" i="6"/>
  <c r="K11" i="5"/>
  <c r="K10" i="5"/>
  <c r="K6" i="5"/>
  <c r="K14" i="5"/>
  <c r="L14" i="5" s="1"/>
  <c r="K30" i="5"/>
  <c r="L30" i="5" s="1"/>
  <c r="K29" i="5"/>
  <c r="K23" i="5"/>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BA9" i="8"/>
  <c r="H11" i="14"/>
  <c r="BA57" i="8"/>
  <c r="H14" i="14"/>
  <c r="BA71" i="8"/>
  <c r="D15" i="14"/>
  <c r="BA56" i="6"/>
  <c r="F9" i="14"/>
  <c r="BA41" i="8"/>
  <c r="H13" i="14"/>
  <c r="BA39" i="8"/>
  <c r="D13" i="14"/>
  <c r="BA25" i="8"/>
  <c r="H12" i="14"/>
  <c r="M10" i="5"/>
  <c r="M7" i="5"/>
  <c r="N7" i="5" s="1"/>
  <c r="H14" i="9"/>
  <c r="AZ57" i="8"/>
  <c r="AZ23" i="8"/>
  <c r="G23" i="5"/>
  <c r="E23" i="5"/>
  <c r="T11" i="5"/>
  <c r="T10" i="5"/>
  <c r="F5" i="5"/>
  <c r="F6" i="5"/>
  <c r="AZ24" i="6"/>
  <c r="F7" i="9"/>
  <c r="H11" i="9"/>
  <c r="D11" i="9"/>
  <c r="M11" i="5"/>
  <c r="M5" i="5"/>
  <c r="M6" i="5"/>
  <c r="L5" i="5"/>
  <c r="S10" i="5"/>
  <c r="G28" i="5"/>
  <c r="L10" i="5"/>
  <c r="L23" i="5"/>
  <c r="L28" i="5"/>
  <c r="E28" i="5"/>
  <c r="S28" i="5"/>
  <c r="T29" i="5"/>
  <c r="T28" i="5"/>
  <c r="T23" i="5"/>
  <c r="T24" i="5"/>
  <c r="T25" i="5"/>
  <c r="U25" i="5" s="1"/>
  <c r="S23" i="5"/>
  <c r="N25" i="5"/>
  <c r="M24" i="5"/>
  <c r="M23" i="5"/>
  <c r="M28" i="5"/>
  <c r="M29" i="5"/>
  <c r="E10" i="5"/>
  <c r="F10" i="5"/>
  <c r="F11" i="5"/>
  <c r="F7" i="5"/>
  <c r="G7" i="5" s="1"/>
  <c r="G5" i="5" l="1"/>
  <c r="D9" i="9"/>
  <c r="BB24" i="6"/>
  <c r="F7" i="15"/>
  <c r="BB56" i="6"/>
  <c r="F9" i="15"/>
  <c r="BB40" i="6"/>
  <c r="F8" i="15"/>
  <c r="BB8" i="6"/>
  <c r="F5" i="15"/>
  <c r="U5" i="5"/>
  <c r="U10" i="5"/>
  <c r="H8" i="9"/>
  <c r="AZ40" i="6"/>
  <c r="BA24" i="6"/>
  <c r="F7" i="14"/>
  <c r="BA8" i="6"/>
  <c r="F5" i="14"/>
  <c r="BA40" i="6"/>
  <c r="F8" i="14"/>
  <c r="N10" i="5"/>
  <c r="AZ23" i="6"/>
  <c r="D7" i="9"/>
  <c r="F8" i="9"/>
  <c r="AZ41" i="6"/>
  <c r="AZ57" i="6"/>
  <c r="H9" i="9"/>
  <c r="AZ8" i="6"/>
  <c r="F5" i="9"/>
  <c r="AZ25" i="6"/>
  <c r="H7" i="9"/>
  <c r="AZ56" i="6"/>
  <c r="F9" i="9"/>
  <c r="N5" i="5"/>
  <c r="U28" i="5"/>
  <c r="N23"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<sst xmlns="http://schemas.openxmlformats.org/spreadsheetml/2006/main" count="2364" uniqueCount="855">
  <si>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</si>
  <si>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</si>
  <si>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</si>
  <si>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</si>
  <si>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</si>
  <si>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</si>
  <si>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</si>
  <si>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</si>
  <si>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</si>
  <si>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</si>
  <si>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</si>
  <si>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</si>
  <si>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</si>
  <si>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</si>
  <si>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</si>
  <si>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</si>
  <si>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</si>
  <si>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</si>
  <si>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</si>
  <si>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</si>
  <si>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</si>
  <si>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</si>
  <si>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</si>
  <si>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</si>
  <si>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</si>
  <si>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</si>
  <si>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</si>
  <si>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</si>
  <si>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</si>
  <si>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</si>
  <si>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</si>
  <si>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</si>
  <si>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</si>
  <si>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</si>
  <si>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</si>
  <si>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</si>
  <si>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</si>
  <si>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</si>
  <si>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</si>
  <si>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</si>
  <si>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</si>
  <si>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</si>
  <si>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</si>
  <si>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</si>
  <si>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</si>
  <si>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</si>
  <si>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</si>
  <si>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</si>
  <si>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</si>
  <si>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</si>
  <si>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</si>
  <si>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</si>
  <si>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</si>
  <si>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</si>
  <si>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</si>
  <si>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</si>
  <si>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</si>
  <si>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</si>
  <si>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</si>
  <si>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</si>
  <si>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</si>
  <si>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</si>
  <si>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</si>
  <si>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</si>
  <si>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</si>
  <si>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</si>
  <si>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</si>
  <si>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</si>
  <si>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</si>
  <si>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</si>
  <si>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</si>
  <si>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</si>
  <si>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</si>
  <si>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</si>
  <si>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</si>
  <si>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</si>
  <si>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</si>
  <si>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</si>
  <si>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</si>
  <si>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</si>
  <si>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</si>
  <si>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</si>
  <si>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</si>
  <si>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</si>
  <si>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</si>
  <si>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</si>
  <si>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</si>
  <si>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</si>
  <si>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</si>
  <si>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</si>
  <si>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</si>
  <si>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</si>
  <si>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</si>
  <si>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</si>
  <si>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</si>
  <si>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</si>
  <si>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</si>
  <si>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</si>
  <si>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</si>
  <si>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</si>
  <si>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</si>
  <si>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</si>
  <si>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</si>
  <si>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</si>
  <si>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</si>
  <si>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</si>
  <si>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</si>
  <si>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</si>
  <si>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</si>
  <si>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</si>
  <si>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</si>
  <si>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</si>
  <si>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</si>
  <si>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</si>
  <si>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</si>
  <si>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</si>
  <si>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</si>
  <si>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</si>
  <si>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</si>
  <si>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</si>
  <si>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</si>
  <si>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</si>
  <si>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</si>
  <si>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</si>
  <si>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</si>
  <si>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</si>
  <si>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</si>
  <si>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</si>
  <si>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</si>
  <si>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</si>
  <si>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</si>
  <si>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</si>
  <si>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</si>
  <si>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</si>
  <si>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</si>
  <si>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</si>
  <si>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</si>
  <si>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</si>
  <si>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</si>
  <si>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</si>
  <si>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</si>
  <si>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</si>
  <si>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</si>
  <si>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</si>
  <si>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</si>
  <si>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</si>
  <si>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</si>
  <si>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</si>
  <si>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</si>
  <si>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</si>
  <si>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</si>
  <si>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</si>
  <si>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</si>
  <si>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</si>
  <si>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</si>
  <si>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</si>
  <si>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</si>
  <si>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</si>
  <si>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</si>
  <si>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</si>
  <si>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</si>
  <si>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</si>
  <si>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</si>
  <si>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</si>
  <si>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</si>
  <si>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</si>
  <si>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</si>
  <si>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</si>
  <si>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</si>
  <si>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</si>
  <si>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</si>
  <si>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</si>
  <si>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</si>
  <si>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</si>
  <si>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</si>
  <si>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</si>
  <si>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</si>
  <si>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</si>
  <si>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</si>
  <si>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</si>
  <si>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</si>
  <si>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</si>
  <si>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</si>
  <si>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</si>
  <si>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</si>
  <si>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</si>
  <si>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</si>
  <si>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</si>
  <si>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</si>
  <si>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</si>
  <si>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</si>
  <si>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</si>
  <si>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</si>
  <si>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</si>
  <si>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</si>
  <si>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</si>
  <si>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</si>
  <si>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</si>
  <si>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</si>
  <si>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</si>
  <si>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</si>
  <si>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</si>
  <si>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</si>
  <si>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</si>
  <si>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</si>
  <si>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</si>
  <si>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</si>
  <si>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</si>
  <si>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</si>
  <si>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</si>
  <si>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</si>
  <si>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</si>
  <si>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</si>
  <si>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</si>
  <si>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</si>
  <si>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</si>
  <si>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</si>
  <si>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</si>
  <si>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</si>
  <si>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</si>
  <si>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</si>
  <si>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</si>
  <si>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</si>
  <si>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</si>
  <si>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</si>
  <si>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</si>
  <si>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</si>
  <si>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</si>
  <si>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</si>
  <si>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</si>
  <si>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</si>
  <si>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</si>
  <si>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</si>
  <si>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</si>
  <si>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</si>
  <si>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</si>
  <si>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</si>
  <si>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</si>
  <si>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</si>
  <si>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</si>
  <si>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</si>
  <si>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</si>
  <si>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Quarter Two (2020/21)</t>
  </si>
  <si>
    <t>Quarter Three (2020/21)</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</si>
  <si>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</si>
  <si>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</si>
  <si>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</si>
  <si>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</si>
  <si>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</si>
  <si>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</si>
  <si>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</si>
  <si>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</si>
  <si>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</si>
  <si>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</si>
  <si>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</si>
  <si>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</si>
  <si>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</si>
  <si>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</si>
  <si>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</si>
  <si>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</si>
  <si>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</si>
  <si>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</si>
  <si>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</si>
  <si>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</si>
  <si>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</si>
  <si>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</si>
  <si>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</si>
  <si>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</si>
  <si>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</si>
  <si>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</si>
  <si>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</si>
  <si>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</si>
  <si>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</si>
  <si>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</si>
  <si>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</si>
  <si>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</si>
  <si>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</si>
  <si>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</si>
  <si>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</si>
  <si>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</si>
  <si>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</si>
  <si>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</si>
  <si>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</si>
  <si>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</si>
  <si>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</si>
  <si>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</si>
  <si>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</si>
  <si>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</si>
  <si>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</si>
  <si>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</si>
  <si>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</si>
  <si>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</si>
  <si>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</si>
  <si>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</si>
  <si>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</si>
  <si>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</si>
  <si>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</si>
  <si>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</si>
  <si>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</si>
  <si>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</si>
  <si>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</si>
  <si>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</si>
  <si>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</si>
  <si>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</si>
  <si>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</si>
  <si>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</si>
  <si>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</si>
  <si>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</si>
  <si>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</si>
  <si>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</si>
  <si>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</si>
  <si>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</si>
  <si>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</si>
  <si>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</si>
  <si>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</si>
  <si>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</si>
  <si>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</si>
  <si>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</si>
  <si>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</si>
  <si>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</si>
  <si>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</si>
  <si>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</si>
  <si>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</si>
  <si>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</si>
  <si>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</si>
  <si>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</si>
  <si>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</si>
  <si>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</si>
  <si>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</si>
  <si>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</si>
  <si>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</si>
  <si>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</si>
  <si>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</si>
  <si>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</si>
  <si>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</si>
  <si>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</si>
  <si>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</si>
  <si>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</si>
  <si>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</si>
  <si>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</si>
  <si>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</si>
  <si>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</si>
  <si>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</si>
  <si>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</si>
  <si>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</si>
  <si>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</si>
  <si>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</si>
  <si>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</si>
  <si>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</si>
  <si>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</si>
  <si>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</si>
  <si>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</si>
  <si>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</si>
  <si>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</si>
  <si>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</si>
  <si>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</si>
  <si>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</si>
  <si>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</si>
  <si>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</si>
  <si>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</si>
  <si>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</si>
  <si>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</si>
  <si>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</si>
  <si>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</si>
  <si>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</si>
  <si>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</si>
  <si>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</si>
  <si>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</si>
  <si>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</si>
  <si>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</si>
  <si>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</si>
  <si>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</si>
  <si>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</si>
  <si>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</si>
  <si>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</si>
  <si>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</si>
  <si>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</si>
  <si>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</si>
  <si>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</si>
  <si>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TBA post award</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</si>
  <si>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</si>
  <si>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</si>
  <si>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</si>
  <si>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</si>
  <si>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</si>
  <si>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</si>
  <si>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</si>
  <si>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</si>
  <si>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</si>
  <si>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</si>
  <si>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</si>
  <si>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</si>
  <si>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</si>
  <si>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</si>
  <si>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</si>
  <si>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</si>
  <si>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</si>
  <si>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</si>
  <si>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</si>
  <si>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 xml:space="preserve">Undertake a review of CCTV provision, including a survey  of the existing fixed camera provision </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</si>
  <si>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</si>
  <si>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</si>
  <si>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</si>
  <si>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</si>
  <si>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</si>
  <si>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</si>
  <si>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</si>
  <si>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</si>
  <si>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</si>
  <si>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</si>
  <si>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</si>
  <si>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</si>
  <si>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</si>
  <si>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</si>
  <si>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</si>
  <si>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</si>
  <si>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</si>
  <si>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</si>
  <si>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</si>
  <si>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</si>
  <si>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</si>
  <si>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</si>
  <si>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</si>
  <si>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</si>
  <si>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</si>
  <si>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</si>
  <si>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</si>
  <si>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</si>
  <si>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</si>
  <si>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</si>
  <si>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</si>
  <si>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</si>
  <si>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</si>
  <si>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</si>
  <si>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</si>
  <si>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</si>
  <si>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</si>
  <si>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</si>
  <si>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</si>
  <si>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</si>
  <si>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</si>
  <si>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</si>
  <si>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</si>
  <si>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</si>
  <si>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</si>
  <si>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</si>
  <si>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</si>
  <si>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</si>
  <si>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</si>
  <si>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</si>
  <si>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</si>
  <si>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</si>
  <si>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</si>
  <si>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</si>
  <si>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</si>
  <si>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</si>
  <si>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</si>
  <si>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</si>
  <si>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</si>
  <si>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</si>
  <si>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</si>
  <si>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</si>
  <si>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</si>
  <si>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</si>
  <si>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</si>
  <si>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</si>
  <si>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</si>
  <si>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</si>
  <si>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</si>
  <si>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</si>
  <si>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</si>
  <si>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</si>
  <si>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</si>
  <si>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</si>
  <si>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</si>
  <si>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</si>
  <si>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</si>
  <si>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</si>
  <si>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</si>
  <si>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</si>
  <si>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</si>
  <si>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</si>
  <si>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</si>
  <si>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</si>
  <si>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</si>
  <si>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</si>
  <si>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</si>
  <si>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</si>
  <si>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</si>
  <si>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</si>
  <si>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</si>
  <si>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</si>
  <si>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</si>
  <si>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</si>
  <si>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</si>
  <si>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</si>
  <si>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</si>
  <si>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</si>
  <si>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</si>
  <si>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</si>
  <si>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</si>
  <si>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</si>
  <si>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</si>
  <si>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</si>
  <si>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</si>
  <si>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</si>
  <si>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</si>
  <si>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</si>
  <si>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</si>
  <si>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</si>
  <si>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</si>
  <si>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</si>
  <si>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</si>
  <si>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</si>
  <si>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</si>
  <si>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</si>
  <si>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</si>
  <si>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</si>
  <si>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</si>
  <si>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</si>
  <si>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</si>
  <si>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</si>
  <si>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</si>
  <si>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</si>
  <si>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</si>
  <si>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</si>
  <si>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</si>
  <si>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</si>
  <si>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</si>
  <si>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</si>
  <si>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</si>
  <si>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</si>
  <si>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</si>
  <si>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</si>
  <si>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</si>
  <si>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</si>
  <si>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</si>
  <si>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</si>
  <si>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</si>
  <si>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</si>
  <si>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</si>
  <si>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</si>
  <si>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</si>
  <si>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</si>
  <si>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</si>
  <si>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</si>
  <si>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</si>
  <si>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</si>
  <si>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</si>
  <si>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</si>
  <si>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</si>
  <si>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</si>
  <si>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</si>
  <si>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</si>
  <si>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</si>
  <si>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</si>
  <si>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</si>
  <si>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</si>
  <si>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</si>
  <si>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</si>
  <si>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</si>
  <si>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</si>
  <si>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</si>
  <si>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</si>
  <si>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</si>
  <si>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</si>
  <si>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</si>
  <si>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</si>
  <si>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</si>
  <si>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</si>
  <si>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</si>
  <si>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</si>
  <si>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</si>
  <si>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</si>
  <si>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</si>
  <si>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</si>
  <si>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</si>
  <si>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</si>
  <si>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</si>
  <si>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</si>
  <si>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</si>
  <si>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</si>
  <si>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</si>
  <si>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</si>
  <si>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</si>
  <si>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</si>
  <si>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</si>
  <si>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</si>
  <si>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</si>
  <si>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</si>
  <si>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</si>
  <si>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</si>
  <si>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</si>
  <si>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</si>
  <si>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</si>
  <si>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</si>
  <si>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</si>
  <si>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</si>
  <si>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</si>
  <si>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</si>
  <si>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</si>
  <si>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</si>
  <si>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</si>
  <si>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</si>
  <si>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</si>
  <si>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</si>
  <si>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</si>
  <si>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</si>
  <si>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</si>
  <si>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</si>
  <si>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</si>
  <si>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</si>
  <si>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</si>
  <si>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</si>
  <si>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</si>
  <si>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</si>
  <si>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</si>
  <si>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</si>
  <si>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</si>
  <si>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</si>
  <si>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</si>
  <si>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</si>
  <si>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</si>
  <si>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</si>
  <si>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</si>
  <si>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</si>
  <si>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</si>
  <si>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</si>
  <si>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</si>
  <si>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</si>
  <si>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</si>
  <si>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</si>
  <si>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</si>
  <si>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</si>
  <si>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</si>
  <si>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</si>
  <si>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</si>
  <si>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</si>
  <si>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</si>
  <si>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</si>
  <si>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</si>
  <si>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</si>
  <si>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</si>
  <si>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</si>
  <si>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</si>
  <si>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</si>
  <si>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</si>
  <si>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</si>
  <si>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</si>
  <si>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</si>
  <si>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</si>
  <si>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</si>
  <si>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</si>
  <si>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</si>
  <si>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</si>
  <si>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</si>
  <si>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</si>
  <si>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</si>
  <si>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</si>
  <si>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</si>
  <si>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</si>
  <si>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</si>
  <si>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</si>
  <si>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</si>
  <si>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</si>
  <si>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</si>
  <si>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</si>
  <si>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</si>
  <si>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</si>
  <si>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</si>
  <si>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</si>
  <si>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</si>
  <si>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</si>
  <si>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</si>
  <si>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</si>
  <si>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</si>
  <si>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</si>
  <si>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</si>
  <si>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</si>
  <si>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</si>
  <si>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</si>
  <si>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</si>
  <si>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</si>
  <si>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</si>
  <si>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</si>
  <si>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</si>
  <si>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</si>
  <si>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</si>
  <si>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</si>
  <si>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</si>
  <si>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</si>
  <si>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</si>
  <si>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</si>
  <si>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</si>
  <si>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</si>
  <si>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</si>
  <si>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</si>
  <si>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</si>
  <si>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</si>
  <si>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</si>
  <si>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</si>
  <si>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</si>
  <si>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</si>
  <si>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</si>
  <si>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</si>
  <si>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</si>
  <si>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</si>
  <si>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</si>
  <si>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</si>
  <si>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</si>
  <si>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</si>
  <si>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</si>
  <si>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</si>
  <si>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</si>
  <si>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</si>
  <si>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</si>
  <si>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</si>
  <si>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</si>
  <si>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</si>
  <si>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</si>
  <si>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</si>
  <si>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</si>
  <si>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</si>
  <si>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</si>
  <si>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</si>
  <si>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</si>
  <si>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</si>
  <si>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</si>
  <si>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</si>
  <si>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</si>
  <si>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</si>
  <si>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</si>
  <si>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</si>
  <si>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</si>
  <si>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</si>
  <si>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</si>
  <si>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</si>
  <si>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</si>
  <si>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</si>
  <si>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</si>
  <si>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</si>
  <si>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</si>
  <si>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</si>
  <si>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</si>
  <si>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</si>
  <si>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</si>
  <si>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</si>
  <si>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</si>
  <si>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</si>
  <si>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</si>
  <si>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</si>
  <si>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</si>
  <si>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</si>
  <si>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</si>
  <si>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</si>
  <si>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</si>
  <si>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</si>
  <si>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</si>
  <si>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</si>
  <si>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</si>
  <si>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</si>
  <si>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</si>
  <si>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</si>
  <si>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</si>
  <si>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</si>
  <si>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</si>
  <si>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</si>
  <si>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</si>
  <si>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</si>
  <si>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</si>
  <si>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</si>
  <si>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</si>
  <si>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</si>
  <si>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</si>
  <si>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</si>
  <si>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</si>
  <si>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</si>
  <si>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</si>
  <si>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</si>
  <si>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</si>
  <si>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</si>
  <si>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</si>
  <si>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</si>
  <si>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</si>
  <si>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</si>
  <si>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</si>
  <si>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</si>
  <si>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</si>
  <si>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</si>
  <si>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</si>
  <si>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</si>
  <si>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</si>
  <si>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</si>
  <si>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</si>
  <si>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</si>
  <si>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</si>
  <si>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</si>
  <si>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</si>
  <si>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</si>
  <si>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</si>
  <si>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</si>
  <si>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</si>
  <si>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</si>
  <si>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</si>
  <si>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</si>
  <si>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</si>
  <si>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 xml:space="preserve">Work on the contract delivered by Grafton is onging, assisted by a verification exercise to ensure the owners of empty homes understand that Grafton are acting on behalf of the Council. Initial enquiries have been undertaken to identify empty homes which may be suitable for enforced sale.  </t>
  </si>
  <si>
    <t>Over 5 'key to key' instances, there was a void turnaroound of 31 working days, or 6.2 days on average.</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</si>
  <si>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</si>
  <si>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</si>
  <si>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</si>
  <si>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</si>
  <si>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</si>
  <si>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</si>
  <si>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</si>
  <si>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There were 63 initial decisions taken in the quarter, with an avergae of 0.22 days from appointment to initial decision.</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</si>
  <si>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</si>
  <si>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</si>
  <si>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</si>
  <si>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</si>
  <si>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</si>
  <si>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</si>
  <si>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</si>
  <si>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</si>
  <si>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</si>
  <si>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</si>
  <si>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</si>
  <si>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</si>
  <si>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</si>
  <si>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</si>
  <si>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</si>
  <si>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</si>
  <si>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</si>
  <si>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</si>
  <si>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</si>
  <si>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</si>
  <si>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</si>
  <si>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</si>
  <si>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</si>
  <si>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</si>
  <si>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</si>
  <si>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</si>
  <si>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</si>
  <si>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</si>
  <si>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</si>
  <si>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</si>
  <si>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</si>
  <si>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</si>
  <si>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</si>
  <si>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</si>
  <si>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</si>
  <si>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</si>
  <si>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(to October 2021)</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</si>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</sst>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mmm\ yyyy"/>
    <numFmt numFmtId="165" formatCode="mmmm\ yyyy"/>
  </numFmts>
  <fonts count="61">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s>
  <borders count="7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3">
    <xf numFmtId="0" fontId="0" fillId="0" borderId="0"/>
    <xf numFmtId="0" fontId="19" fillId="0" borderId="0" applyNumberFormat="0" applyFill="0" applyBorder="0" applyAlignment="0" applyProtection="0">
      <alignment vertical="top"/>
      <protection locked="0"/>
    </xf>
    <xf numFmtId="0" fontId="40" fillId="0" borderId="0"/>
  </cellStyleXfs>
  <cellXfs count="431">
    <xf numFmtId="0" fontId="0" fillId="0" borderId="0" xfId="0"/>
    <xf numFmtId="0" fontId="8" fillId="6" borderId="0" xfId="0" applyFont="1" applyFill="1" applyAlignment="1" applyProtection="1">
      <alignment horizontal="left" vertical="top"/>
    </xf>
    <xf numFmtId="0" fontId="7" fillId="6" borderId="0" xfId="0" applyFont="1" applyFill="1" applyAlignment="1" applyProtection="1">
      <alignment horizontal="left" wrapText="1"/>
    </xf>
    <xf numFmtId="0" fontId="1" fillId="6" borderId="0" xfId="0" applyFont="1" applyFill="1" applyAlignment="1" applyProtection="1">
      <alignment horizontal="left" wrapText="1"/>
    </xf>
    <xf numFmtId="0" fontId="8" fillId="6" borderId="0" xfId="0" applyFont="1" applyFill="1" applyAlignment="1" applyProtection="1">
      <alignment wrapText="1"/>
    </xf>
    <xf numFmtId="0" fontId="8" fillId="6" borderId="0" xfId="0" applyFont="1" applyFill="1" applyAlignment="1" applyProtection="1"/>
    <xf numFmtId="1" fontId="8" fillId="6" borderId="0" xfId="0" applyNumberFormat="1" applyFont="1" applyFill="1" applyAlignment="1" applyProtection="1">
      <alignment vertical="center"/>
    </xf>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2" xfId="0" applyFont="1" applyFill="1" applyBorder="1" applyAlignment="1">
      <alignment horizontal="center" vertical="center" wrapText="1"/>
    </xf>
    <xf numFmtId="9" fontId="33" fillId="6" borderId="32" xfId="0" applyNumberFormat="1" applyFont="1" applyFill="1" applyBorder="1" applyAlignment="1">
      <alignment horizontal="center" vertical="center" wrapText="1"/>
    </xf>
    <xf numFmtId="0" fontId="33" fillId="6" borderId="33" xfId="0" applyFont="1" applyFill="1" applyBorder="1" applyAlignment="1">
      <alignment horizontal="center" vertical="center" wrapText="1"/>
    </xf>
    <xf numFmtId="10" fontId="33" fillId="6" borderId="34"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5"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6"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37" xfId="0" applyFont="1" applyFill="1" applyBorder="1" applyAlignment="1">
      <alignment horizontal="right" vertical="center" wrapText="1"/>
    </xf>
    <xf numFmtId="0" fontId="35" fillId="6" borderId="32" xfId="0" applyFont="1" applyFill="1" applyBorder="1" applyAlignment="1">
      <alignment horizontal="center" vertical="center" wrapText="1"/>
    </xf>
    <xf numFmtId="10" fontId="33" fillId="6" borderId="32" xfId="0" applyNumberFormat="1" applyFont="1" applyFill="1" applyBorder="1" applyAlignment="1">
      <alignment horizontal="center" vertical="center" wrapText="1"/>
    </xf>
    <xf numFmtId="0" fontId="35" fillId="6" borderId="33" xfId="0" applyFont="1" applyFill="1" applyBorder="1" applyAlignment="1">
      <alignment horizontal="center" vertical="center" wrapText="1"/>
    </xf>
    <xf numFmtId="0" fontId="7" fillId="0" borderId="0" xfId="0" applyFont="1" applyAlignment="1">
      <alignment vertical="center"/>
    </xf>
    <xf numFmtId="0" fontId="12" fillId="5" borderId="35"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6" xfId="0" applyNumberFormat="1" applyFont="1" applyFill="1" applyBorder="1" applyAlignment="1">
      <alignment vertical="center" wrapText="1"/>
    </xf>
    <xf numFmtId="1" fontId="35" fillId="6" borderId="38" xfId="0" applyNumberFormat="1" applyFont="1" applyFill="1" applyBorder="1" applyAlignment="1">
      <alignment horizontal="center" vertical="center" wrapText="1"/>
    </xf>
    <xf numFmtId="9" fontId="0" fillId="0" borderId="0" xfId="0" applyNumberFormat="1" applyAlignment="1">
      <alignment vertical="center"/>
    </xf>
    <xf numFmtId="0" fontId="33" fillId="6" borderId="40" xfId="0" applyFont="1" applyFill="1" applyBorder="1" applyAlignment="1">
      <alignment horizontal="center" vertical="center" wrapText="1"/>
    </xf>
    <xf numFmtId="10" fontId="33" fillId="6" borderId="40" xfId="0" applyNumberFormat="1" applyFont="1" applyFill="1" applyBorder="1" applyAlignment="1">
      <alignment horizontal="center" vertical="center" wrapText="1"/>
    </xf>
    <xf numFmtId="0" fontId="35" fillId="6" borderId="41" xfId="0" applyFont="1" applyFill="1" applyBorder="1" applyAlignment="1">
      <alignment horizontal="center" vertical="center" wrapText="1"/>
    </xf>
    <xf numFmtId="10" fontId="33" fillId="6" borderId="41"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39" xfId="0" applyFont="1" applyFill="1" applyBorder="1" applyAlignment="1">
      <alignment horizontal="right" vertical="center" wrapText="1"/>
    </xf>
    <xf numFmtId="0" fontId="35" fillId="0" borderId="32" xfId="0" applyFont="1" applyFill="1" applyBorder="1" applyAlignment="1">
      <alignment horizontal="center" vertical="center" wrapText="1"/>
    </xf>
    <xf numFmtId="10" fontId="33" fillId="0" borderId="32" xfId="0" applyNumberFormat="1" applyFont="1" applyFill="1" applyBorder="1" applyAlignment="1">
      <alignment horizontal="center" vertical="center" wrapText="1"/>
    </xf>
    <xf numFmtId="1" fontId="35" fillId="0" borderId="38" xfId="0" applyNumberFormat="1" applyFont="1" applyFill="1" applyBorder="1" applyAlignment="1">
      <alignment horizontal="center" vertical="center" wrapText="1"/>
    </xf>
    <xf numFmtId="10" fontId="33" fillId="0" borderId="3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10" fontId="33" fillId="0" borderId="41" xfId="0" applyNumberFormat="1" applyFont="1" applyFill="1" applyBorder="1" applyAlignment="1">
      <alignment horizontal="center" vertical="center" wrapText="1"/>
    </xf>
    <xf numFmtId="0" fontId="35" fillId="0" borderId="38"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48"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48"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6"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8" xfId="0" applyFont="1" applyFill="1" applyBorder="1" applyAlignment="1" applyProtection="1">
      <alignment horizontal="center" vertical="center"/>
    </xf>
    <xf numFmtId="1" fontId="4" fillId="14" borderId="46" xfId="0" applyNumberFormat="1" applyFont="1" applyFill="1" applyBorder="1" applyAlignment="1" applyProtection="1">
      <alignment horizontal="center" vertical="center" wrapText="1"/>
    </xf>
    <xf numFmtId="0" fontId="49" fillId="0" borderId="49"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6" xfId="0" applyNumberFormat="1" applyFont="1" applyFill="1" applyBorder="1" applyAlignment="1" applyProtection="1">
      <alignment horizontal="center" vertical="center" wrapText="1"/>
    </xf>
    <xf numFmtId="17" fontId="42" fillId="19" borderId="47"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6"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6" xfId="0" applyFont="1" applyFill="1" applyBorder="1" applyAlignment="1" applyProtection="1">
      <alignment horizontal="left" vertical="center" wrapText="1"/>
    </xf>
    <xf numFmtId="0" fontId="43" fillId="6" borderId="46" xfId="0" applyFont="1" applyFill="1" applyBorder="1" applyAlignment="1" applyProtection="1">
      <alignment horizontal="center" vertical="center" wrapText="1"/>
    </xf>
    <xf numFmtId="0" fontId="44" fillId="6" borderId="46"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4" borderId="1" xfId="0" applyFont="1" applyFill="1" applyBorder="1" applyAlignment="1" applyProtection="1">
      <alignment horizontal="left" vertical="center" wrapText="1" indent="1"/>
    </xf>
    <xf numFmtId="49" fontId="4" fillId="4"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49" fontId="3" fillId="2" borderId="1" xfId="0" applyNumberFormat="1" applyFont="1" applyFill="1" applyBorder="1" applyAlignment="1" applyProtection="1">
      <alignment horizontal="center" vertical="center" wrapText="1"/>
    </xf>
    <xf numFmtId="0" fontId="0" fillId="0" borderId="59"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35" fillId="6" borderId="38" xfId="0" applyFont="1" applyFill="1" applyBorder="1" applyAlignment="1">
      <alignment horizontal="center" vertical="center" wrapText="1"/>
    </xf>
    <xf numFmtId="0" fontId="2" fillId="3" borderId="68" xfId="0" applyFont="1" applyFill="1" applyBorder="1" applyAlignment="1" applyProtection="1">
      <alignment horizontal="left" vertical="center" wrapText="1"/>
    </xf>
    <xf numFmtId="0" fontId="2" fillId="20" borderId="68"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8" xfId="0" applyFont="1" applyFill="1" applyBorder="1" applyAlignment="1" applyProtection="1">
      <alignment vertical="center" wrapText="1"/>
    </xf>
    <xf numFmtId="0" fontId="10" fillId="5" borderId="9" xfId="0" applyFont="1" applyFill="1" applyBorder="1" applyAlignment="1" applyProtection="1">
      <alignment horizontal="center" vertical="center"/>
    </xf>
    <xf numFmtId="0" fontId="10" fillId="5" borderId="15"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1"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1" xfId="0" applyFont="1" applyFill="1" applyBorder="1" applyAlignment="1" applyProtection="1">
      <alignment horizontal="center" vertical="center" wrapText="1"/>
    </xf>
    <xf numFmtId="10" fontId="2" fillId="0" borderId="11" xfId="0" applyNumberFormat="1" applyFont="1" applyFill="1" applyBorder="1" applyAlignment="1" applyProtection="1">
      <alignment horizontal="center" vertical="center" wrapText="1"/>
    </xf>
    <xf numFmtId="0" fontId="5" fillId="8" borderId="11" xfId="0" applyFont="1" applyFill="1" applyBorder="1" applyAlignment="1" applyProtection="1">
      <alignment horizontal="left" vertical="center"/>
    </xf>
    <xf numFmtId="0" fontId="5" fillId="0" borderId="11" xfId="0" applyFont="1" applyFill="1" applyBorder="1" applyAlignment="1" applyProtection="1">
      <alignment horizontal="center" vertical="center" wrapText="1"/>
    </xf>
    <xf numFmtId="0" fontId="4" fillId="9" borderId="11" xfId="0" applyFont="1" applyFill="1" applyBorder="1" applyAlignment="1" applyProtection="1">
      <alignment vertical="center" wrapText="1"/>
    </xf>
    <xf numFmtId="0" fontId="5" fillId="0" borderId="11" xfId="0" applyFont="1" applyFill="1" applyBorder="1" applyAlignment="1" applyProtection="1">
      <alignment vertical="center" wrapText="1"/>
    </xf>
    <xf numFmtId="10" fontId="2" fillId="0" borderId="11"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1" xfId="0" applyFont="1" applyFill="1" applyBorder="1" applyAlignment="1" applyProtection="1">
      <alignment vertical="center" wrapText="1"/>
    </xf>
    <xf numFmtId="10" fontId="10" fillId="6" borderId="11"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1" xfId="0" applyFont="1" applyFill="1" applyBorder="1" applyAlignment="1" applyProtection="1">
      <alignment vertical="center" wrapText="1"/>
    </xf>
    <xf numFmtId="0" fontId="2" fillId="6" borderId="11"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4" fillId="5" borderId="10"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2" xfId="0" applyFont="1" applyFill="1" applyBorder="1" applyAlignment="1" applyProtection="1">
      <alignment vertical="center" wrapText="1"/>
    </xf>
    <xf numFmtId="0" fontId="10" fillId="12" borderId="42" xfId="0" applyFont="1" applyFill="1" applyBorder="1" applyAlignment="1" applyProtection="1">
      <alignment horizontal="center" vertical="center"/>
    </xf>
    <xf numFmtId="0" fontId="10" fillId="12" borderId="42" xfId="0" applyFont="1" applyFill="1" applyBorder="1" applyAlignment="1" applyProtection="1">
      <alignment vertical="center"/>
    </xf>
    <xf numFmtId="0" fontId="5" fillId="7" borderId="42" xfId="0" applyFont="1" applyFill="1" applyBorder="1" applyAlignment="1" applyProtection="1">
      <alignment vertical="center" wrapText="1"/>
    </xf>
    <xf numFmtId="0" fontId="5" fillId="7"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10" fontId="2" fillId="0" borderId="42" xfId="0" applyNumberFormat="1" applyFont="1" applyFill="1" applyBorder="1" applyAlignment="1" applyProtection="1">
      <alignment horizontal="center" vertical="center" wrapText="1"/>
    </xf>
    <xf numFmtId="10" fontId="2" fillId="0" borderId="42" xfId="0" applyNumberFormat="1" applyFont="1" applyFill="1" applyBorder="1" applyAlignment="1" applyProtection="1">
      <alignment vertical="center" wrapText="1"/>
    </xf>
    <xf numFmtId="0" fontId="4" fillId="9" borderId="42" xfId="0" applyFont="1" applyFill="1" applyBorder="1" applyAlignment="1" applyProtection="1">
      <alignment vertical="center" wrapText="1"/>
    </xf>
    <xf numFmtId="0" fontId="5" fillId="0" borderId="42" xfId="0" applyFont="1" applyFill="1" applyBorder="1" applyAlignment="1" applyProtection="1">
      <alignment vertical="center" wrapText="1"/>
    </xf>
    <xf numFmtId="10" fontId="2" fillId="0" borderId="42"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2" xfId="0" applyFont="1" applyFill="1" applyBorder="1" applyAlignment="1" applyProtection="1">
      <alignment vertical="center" wrapText="1"/>
    </xf>
    <xf numFmtId="10" fontId="10" fillId="6" borderId="42"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2" xfId="0" applyFont="1" applyFill="1" applyBorder="1" applyAlignment="1" applyProtection="1">
      <alignment vertical="center" wrapText="1"/>
    </xf>
    <xf numFmtId="0" fontId="2" fillId="6" borderId="42"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2" xfId="0" applyFont="1" applyFill="1" applyBorder="1" applyAlignment="1" applyProtection="1">
      <alignment vertical="center"/>
    </xf>
    <xf numFmtId="10" fontId="7" fillId="6" borderId="0" xfId="0" applyNumberFormat="1" applyFont="1" applyFill="1" applyAlignment="1">
      <alignment vertical="center"/>
    </xf>
    <xf numFmtId="164" fontId="4" fillId="22" borderId="5" xfId="0" applyNumberFormat="1" applyFont="1" applyFill="1" applyBorder="1" applyAlignment="1" applyProtection="1">
      <alignment horizontal="center" vertical="center" wrapText="1"/>
    </xf>
    <xf numFmtId="164" fontId="4" fillId="5" borderId="5" xfId="0" applyNumberFormat="1" applyFont="1" applyFill="1" applyBorder="1" applyAlignment="1" applyProtection="1">
      <alignment horizontal="center" vertical="center" wrapText="1"/>
    </xf>
    <xf numFmtId="0" fontId="2" fillId="21" borderId="68" xfId="0" applyFont="1" applyFill="1" applyBorder="1" applyAlignment="1" applyProtection="1">
      <alignment horizontal="center" vertical="center" wrapText="1"/>
    </xf>
    <xf numFmtId="17" fontId="10" fillId="6" borderId="4" xfId="0" applyNumberFormat="1" applyFont="1" applyFill="1" applyBorder="1" applyAlignment="1" applyProtection="1">
      <alignment horizontal="left" vertical="center" wrapText="1"/>
    </xf>
    <xf numFmtId="17" fontId="10" fillId="6" borderId="51" xfId="0" applyNumberFormat="1" applyFont="1" applyFill="1" applyBorder="1" applyAlignment="1" applyProtection="1">
      <alignment horizontal="left" vertical="center" wrapText="1"/>
    </xf>
    <xf numFmtId="17" fontId="9" fillId="6" borderId="4" xfId="0" applyNumberFormat="1" applyFont="1" applyFill="1" applyBorder="1" applyAlignment="1" applyProtection="1">
      <alignment horizontal="center" vertical="center" wrapText="1"/>
    </xf>
    <xf numFmtId="0" fontId="10" fillId="6" borderId="4" xfId="0" applyFont="1" applyFill="1" applyBorder="1" applyAlignment="1" applyProtection="1">
      <alignment horizontal="left" vertical="center" wrapText="1"/>
    </xf>
    <xf numFmtId="0" fontId="10" fillId="6" borderId="51" xfId="0" applyFont="1" applyFill="1" applyBorder="1" applyAlignment="1" applyProtection="1">
      <alignment horizontal="left" vertical="center" wrapText="1"/>
    </xf>
    <xf numFmtId="10" fontId="10" fillId="6" borderId="4"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10" fillId="6" borderId="50" xfId="0" applyNumberFormat="1" applyFont="1" applyFill="1" applyBorder="1" applyAlignment="1" applyProtection="1">
      <alignment horizontal="center" vertical="center" wrapText="1"/>
    </xf>
    <xf numFmtId="17" fontId="10" fillId="6" borderId="4" xfId="0" applyNumberFormat="1"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2" fillId="3" borderId="68" xfId="0" applyFont="1" applyFill="1" applyBorder="1" applyAlignment="1" applyProtection="1">
      <alignment horizontal="center" vertical="center" wrapText="1"/>
    </xf>
    <xf numFmtId="0" fontId="58" fillId="26" borderId="76" xfId="0" applyFont="1" applyFill="1" applyBorder="1" applyAlignment="1" applyProtection="1">
      <alignment horizontal="center" vertical="center" wrapText="1"/>
    </xf>
    <xf numFmtId="17" fontId="10" fillId="6" borderId="50" xfId="0" applyNumberFormat="1" applyFont="1" applyFill="1" applyBorder="1" applyAlignment="1" applyProtection="1">
      <alignment horizontal="left" vertical="center" wrapText="1"/>
    </xf>
    <xf numFmtId="17" fontId="9" fillId="6" borderId="50" xfId="0" applyNumberFormat="1" applyFont="1" applyFill="1" applyBorder="1" applyAlignment="1" applyProtection="1">
      <alignment horizontal="left" vertical="center" wrapText="1"/>
    </xf>
    <xf numFmtId="17" fontId="9" fillId="6" borderId="4" xfId="0" applyNumberFormat="1" applyFont="1" applyFill="1" applyBorder="1" applyAlignment="1" applyProtection="1">
      <alignment horizontal="left" vertical="center" wrapText="1"/>
    </xf>
    <xf numFmtId="17" fontId="9" fillId="6" borderId="51" xfId="0" applyNumberFormat="1" applyFont="1" applyFill="1" applyBorder="1" applyAlignment="1" applyProtection="1">
      <alignment horizontal="left" vertical="center" wrapText="1"/>
    </xf>
    <xf numFmtId="17" fontId="10" fillId="6" borderId="51" xfId="0" applyNumberFormat="1" applyFont="1" applyFill="1" applyBorder="1" applyAlignment="1" applyProtection="1">
      <alignment horizontal="left" vertical="center" wrapText="1"/>
      <protection locked="0"/>
    </xf>
    <xf numFmtId="17" fontId="9" fillId="6" borderId="4" xfId="0" quotePrefix="1" applyNumberFormat="1" applyFont="1" applyFill="1" applyBorder="1" applyAlignment="1" applyProtection="1">
      <alignment horizontal="left" vertical="center" wrapText="1"/>
    </xf>
    <xf numFmtId="17" fontId="9" fillId="6" borderId="50" xfId="0" quotePrefix="1" applyNumberFormat="1" applyFont="1" applyFill="1" applyBorder="1" applyAlignment="1" applyProtection="1">
      <alignment horizontal="left" vertical="center" wrapText="1"/>
    </xf>
    <xf numFmtId="9" fontId="55" fillId="6" borderId="50" xfId="0" applyNumberFormat="1" applyFont="1" applyFill="1" applyBorder="1" applyAlignment="1" applyProtection="1">
      <alignment horizontal="left" vertical="center" wrapText="1"/>
    </xf>
    <xf numFmtId="9" fontId="10" fillId="6" borderId="50" xfId="0" applyNumberFormat="1" applyFont="1" applyFill="1" applyBorder="1" applyAlignment="1" applyProtection="1">
      <alignment horizontal="left" vertical="center" wrapText="1"/>
    </xf>
    <xf numFmtId="2" fontId="9" fillId="6" borderId="50" xfId="0" applyNumberFormat="1" applyFont="1" applyFill="1" applyBorder="1" applyAlignment="1" applyProtection="1">
      <alignment horizontal="left" vertical="center" wrapText="1"/>
    </xf>
    <xf numFmtId="9" fontId="9" fillId="6" borderId="50" xfId="0" applyNumberFormat="1" applyFont="1" applyFill="1" applyBorder="1" applyAlignment="1" applyProtection="1">
      <alignment horizontal="left" vertical="center" wrapText="1"/>
    </xf>
    <xf numFmtId="9" fontId="9" fillId="6" borderId="4" xfId="0" applyNumberFormat="1" applyFont="1" applyFill="1" applyBorder="1" applyAlignment="1" applyProtection="1">
      <alignment horizontal="left" vertical="center" wrapText="1"/>
    </xf>
    <xf numFmtId="0" fontId="9" fillId="6" borderId="50" xfId="0" applyFont="1" applyFill="1" applyBorder="1" applyAlignment="1" applyProtection="1">
      <alignment horizontal="left" vertical="center" wrapText="1"/>
    </xf>
    <xf numFmtId="0" fontId="9" fillId="6" borderId="4" xfId="0" applyFont="1" applyFill="1" applyBorder="1" applyAlignment="1" applyProtection="1">
      <alignment horizontal="left" vertical="center" wrapText="1"/>
    </xf>
    <xf numFmtId="0" fontId="9" fillId="6" borderId="51" xfId="0" applyFont="1" applyFill="1" applyBorder="1" applyAlignment="1" applyProtection="1">
      <alignment horizontal="left" vertical="center" wrapText="1"/>
    </xf>
    <xf numFmtId="17" fontId="8" fillId="6" borderId="50" xfId="0" applyNumberFormat="1" applyFont="1" applyFill="1" applyBorder="1" applyAlignment="1" applyProtection="1">
      <alignment horizontal="left" vertical="center" wrapText="1"/>
    </xf>
    <xf numFmtId="17" fontId="56" fillId="6" borderId="51" xfId="0" applyNumberFormat="1" applyFont="1" applyFill="1" applyBorder="1" applyAlignment="1" applyProtection="1">
      <alignment horizontal="left" vertical="center" wrapText="1"/>
    </xf>
    <xf numFmtId="0" fontId="10" fillId="6" borderId="50" xfId="0" applyNumberFormat="1" applyFont="1" applyFill="1" applyBorder="1" applyAlignment="1" applyProtection="1">
      <alignment horizontal="left" vertical="center" wrapText="1"/>
    </xf>
    <xf numFmtId="17" fontId="19" fillId="6" borderId="51" xfId="1" applyNumberFormat="1" applyFill="1" applyBorder="1" applyAlignment="1" applyProtection="1">
      <alignment horizontal="left" vertical="center" wrapText="1"/>
    </xf>
    <xf numFmtId="10" fontId="9" fillId="6" borderId="50" xfId="0" applyNumberFormat="1" applyFont="1" applyFill="1" applyBorder="1" applyAlignment="1" applyProtection="1">
      <alignment horizontal="left" vertical="center" wrapText="1"/>
    </xf>
    <xf numFmtId="8" fontId="9" fillId="6" borderId="50" xfId="0" applyNumberFormat="1" applyFont="1" applyFill="1" applyBorder="1" applyAlignment="1" applyProtection="1">
      <alignment horizontal="left" vertical="center" wrapText="1"/>
    </xf>
    <xf numFmtId="6" fontId="9" fillId="6" borderId="4" xfId="0" applyNumberFormat="1" applyFont="1" applyFill="1" applyBorder="1" applyAlignment="1" applyProtection="1">
      <alignment horizontal="left" vertical="center" wrapText="1"/>
    </xf>
    <xf numFmtId="0" fontId="8" fillId="6" borderId="51" xfId="0" applyFont="1" applyFill="1" applyBorder="1" applyAlignment="1" applyProtection="1">
      <alignment horizontal="left" vertical="center" wrapText="1"/>
    </xf>
    <xf numFmtId="0" fontId="11" fillId="6" borderId="50" xfId="0" applyFont="1"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51" xfId="0" applyFont="1" applyFill="1" applyBorder="1" applyAlignment="1" applyProtection="1">
      <alignment horizontal="left" vertical="center" wrapText="1"/>
    </xf>
    <xf numFmtId="0" fontId="8" fillId="6" borderId="4" xfId="0" applyFont="1" applyFill="1" applyBorder="1" applyAlignment="1" applyProtection="1">
      <alignment horizontal="left" vertical="center" wrapText="1"/>
      <protection locked="0"/>
    </xf>
    <xf numFmtId="0" fontId="9" fillId="6" borderId="58" xfId="0" applyFont="1" applyFill="1" applyBorder="1" applyAlignment="1" applyProtection="1">
      <alignment horizontal="left" vertical="center" wrapText="1"/>
    </xf>
    <xf numFmtId="1" fontId="10" fillId="6" borderId="4" xfId="0" applyNumberFormat="1" applyFont="1" applyFill="1" applyBorder="1" applyAlignment="1" applyProtection="1">
      <alignment horizontal="left" vertical="center" wrapText="1"/>
    </xf>
    <xf numFmtId="1" fontId="10" fillId="6" borderId="50" xfId="0" applyNumberFormat="1" applyFont="1" applyFill="1" applyBorder="1" applyAlignment="1" applyProtection="1">
      <alignment horizontal="left" vertical="center" wrapText="1"/>
    </xf>
    <xf numFmtId="10" fontId="10" fillId="6" borderId="50" xfId="0" applyNumberFormat="1" applyFont="1" applyFill="1" applyBorder="1" applyAlignment="1" applyProtection="1">
      <alignment horizontal="left" vertical="center" wrapText="1"/>
    </xf>
    <xf numFmtId="8" fontId="10" fillId="6" borderId="50" xfId="0" applyNumberFormat="1" applyFont="1" applyFill="1" applyBorder="1" applyAlignment="1" applyProtection="1">
      <alignment horizontal="left" vertical="center" wrapText="1"/>
    </xf>
    <xf numFmtId="6" fontId="9" fillId="6" borderId="50" xfId="0" applyNumberFormat="1" applyFont="1" applyFill="1" applyBorder="1" applyAlignment="1" applyProtection="1">
      <alignment horizontal="left" vertical="center" wrapText="1"/>
    </xf>
    <xf numFmtId="0" fontId="10" fillId="6" borderId="50" xfId="0" applyFont="1" applyFill="1" applyBorder="1" applyAlignment="1" applyProtection="1">
      <alignment horizontal="left" vertical="center" wrapText="1"/>
    </xf>
    <xf numFmtId="0" fontId="10" fillId="6" borderId="51" xfId="0" applyFont="1" applyFill="1" applyBorder="1" applyAlignment="1" applyProtection="1">
      <alignment horizontal="left" vertical="center" wrapText="1"/>
      <protection locked="0"/>
    </xf>
    <xf numFmtId="0" fontId="4" fillId="10" borderId="1" xfId="0" applyFont="1" applyFill="1" applyBorder="1" applyAlignment="1" applyProtection="1">
      <alignment horizontal="center" vertical="center" wrapText="1"/>
    </xf>
    <xf numFmtId="0" fontId="4" fillId="10" borderId="1" xfId="0" applyFont="1" applyFill="1" applyBorder="1" applyAlignment="1" applyProtection="1">
      <alignment horizontal="left" vertical="center" wrapText="1" indent="1"/>
    </xf>
    <xf numFmtId="0" fontId="4" fillId="10" borderId="1" xfId="0" applyFont="1" applyFill="1" applyBorder="1" applyAlignment="1" applyProtection="1">
      <alignment horizontal="left" vertical="center" wrapText="1"/>
    </xf>
    <xf numFmtId="0" fontId="4" fillId="10" borderId="2" xfId="0" applyFont="1" applyFill="1" applyBorder="1" applyAlignment="1" applyProtection="1">
      <alignment horizontal="center" vertical="center" wrapText="1"/>
    </xf>
    <xf numFmtId="0" fontId="59" fillId="0" borderId="1" xfId="0" applyFont="1" applyBorder="1" applyAlignment="1" applyProtection="1">
      <alignment horizontal="left" vertical="center" indent="1"/>
    </xf>
    <xf numFmtId="0" fontId="5" fillId="3" borderId="68" xfId="0" applyFont="1" applyFill="1" applyBorder="1" applyAlignment="1" applyProtection="1">
      <alignment horizontal="center" vertical="center" wrapText="1"/>
    </xf>
    <xf numFmtId="1" fontId="0" fillId="0" borderId="3" xfId="0" applyNumberFormat="1" applyBorder="1" applyAlignment="1" applyProtection="1">
      <alignment horizontal="center" vertical="center" wrapText="1"/>
    </xf>
    <xf numFmtId="1" fontId="4" fillId="4" borderId="3" xfId="0" applyNumberFormat="1" applyFont="1" applyFill="1" applyBorder="1" applyAlignment="1" applyProtection="1">
      <alignment horizontal="center" vertical="center" wrapText="1"/>
    </xf>
    <xf numFmtId="1" fontId="3" fillId="2" borderId="3" xfId="0" applyNumberFormat="1" applyFont="1" applyFill="1" applyBorder="1" applyAlignment="1" applyProtection="1">
      <alignment horizontal="center" vertical="center" wrapText="1"/>
    </xf>
    <xf numFmtId="1" fontId="2"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1" fontId="0" fillId="0" borderId="1" xfId="0" applyNumberFormat="1" applyBorder="1" applyAlignment="1" applyProtection="1">
      <alignment horizontal="center" vertical="center" wrapText="1"/>
    </xf>
    <xf numFmtId="2" fontId="7" fillId="0" borderId="1" xfId="0" applyNumberFormat="1" applyFont="1" applyBorder="1" applyAlignment="1" applyProtection="1">
      <alignment horizontal="left" vertical="center" wrapText="1"/>
    </xf>
    <xf numFmtId="0" fontId="8" fillId="6" borderId="4"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3" fillId="24" borderId="69" xfId="0" applyFont="1" applyFill="1" applyBorder="1" applyAlignment="1" applyProtection="1">
      <alignment vertical="center" wrapText="1"/>
    </xf>
    <xf numFmtId="0" fontId="3" fillId="25" borderId="69" xfId="0" applyFont="1" applyFill="1" applyBorder="1" applyAlignment="1" applyProtection="1">
      <alignment vertical="center" wrapText="1"/>
    </xf>
    <xf numFmtId="165" fontId="3" fillId="25" borderId="69" xfId="0" applyNumberFormat="1" applyFont="1" applyFill="1" applyBorder="1" applyAlignment="1" applyProtection="1">
      <alignment horizontal="center" vertical="center" wrapText="1"/>
    </xf>
    <xf numFmtId="0" fontId="3" fillId="20" borderId="77" xfId="0" applyFont="1" applyFill="1" applyBorder="1" applyAlignment="1" applyProtection="1">
      <alignment horizontal="center" vertical="center" wrapText="1"/>
    </xf>
    <xf numFmtId="0" fontId="3" fillId="24" borderId="70" xfId="0" applyFont="1" applyFill="1" applyBorder="1" applyAlignment="1" applyProtection="1">
      <alignment vertical="center" wrapText="1"/>
    </xf>
    <xf numFmtId="165" fontId="3" fillId="25" borderId="70" xfId="0" applyNumberFormat="1" applyFont="1" applyFill="1" applyBorder="1" applyAlignment="1" applyProtection="1">
      <alignment horizontal="center" vertical="center" wrapText="1"/>
    </xf>
    <xf numFmtId="10" fontId="9" fillId="6" borderId="4" xfId="0" applyNumberFormat="1" applyFont="1" applyFill="1" applyBorder="1" applyAlignment="1" applyProtection="1">
      <alignment horizontal="left" vertical="center" wrapText="1"/>
    </xf>
    <xf numFmtId="165" fontId="3" fillId="25" borderId="71" xfId="0" applyNumberFormat="1" applyFont="1" applyFill="1" applyBorder="1" applyAlignment="1" applyProtection="1">
      <alignment horizontal="center" vertical="center" wrapText="1"/>
    </xf>
    <xf numFmtId="3" fontId="9" fillId="6" borderId="4" xfId="0" applyNumberFormat="1" applyFont="1" applyFill="1" applyBorder="1" applyAlignment="1" applyProtection="1">
      <alignment horizontal="left" vertical="center" wrapText="1"/>
    </xf>
    <xf numFmtId="0" fontId="3" fillId="25" borderId="69" xfId="0" applyFont="1" applyFill="1" applyBorder="1" applyAlignment="1" applyProtection="1">
      <alignment horizontal="center" vertical="center" wrapText="1"/>
    </xf>
    <xf numFmtId="0" fontId="3" fillId="25" borderId="73" xfId="0" applyFont="1" applyFill="1" applyBorder="1" applyAlignment="1" applyProtection="1">
      <alignment vertical="center" wrapText="1"/>
    </xf>
    <xf numFmtId="0" fontId="3" fillId="24" borderId="75" xfId="0" applyFont="1" applyFill="1" applyBorder="1" applyAlignment="1" applyProtection="1">
      <alignment vertical="center" wrapText="1"/>
    </xf>
    <xf numFmtId="0" fontId="3" fillId="25" borderId="75" xfId="0" applyFont="1" applyFill="1" applyBorder="1" applyAlignment="1" applyProtection="1">
      <alignment vertical="center" wrapText="1"/>
    </xf>
    <xf numFmtId="0" fontId="3" fillId="20" borderId="73" xfId="0" applyFont="1" applyFill="1" applyBorder="1" applyAlignment="1" applyProtection="1">
      <alignment horizontal="center" vertical="center" wrapText="1"/>
    </xf>
    <xf numFmtId="165" fontId="54" fillId="25" borderId="69" xfId="0" applyNumberFormat="1" applyFont="1" applyFill="1" applyBorder="1" applyAlignment="1" applyProtection="1">
      <alignment horizontal="center" vertical="center" wrapText="1"/>
    </xf>
    <xf numFmtId="17" fontId="54" fillId="25" borderId="69" xfId="0" applyNumberFormat="1" applyFont="1" applyFill="1" applyBorder="1" applyAlignment="1" applyProtection="1">
      <alignment horizontal="center" vertical="center" wrapText="1"/>
    </xf>
    <xf numFmtId="17" fontId="8" fillId="6" borderId="51"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protection locked="0"/>
    </xf>
    <xf numFmtId="2" fontId="8" fillId="6" borderId="4" xfId="0" applyNumberFormat="1" applyFont="1" applyFill="1" applyBorder="1" applyAlignment="1" applyProtection="1">
      <alignment horizontal="left" vertical="center" wrapText="1"/>
      <protection locked="0"/>
    </xf>
    <xf numFmtId="17" fontId="8" fillId="0" borderId="4" xfId="0" applyNumberFormat="1" applyFont="1" applyFill="1" applyBorder="1" applyAlignment="1" applyProtection="1">
      <alignment horizontal="left" vertical="center" wrapText="1"/>
      <protection locked="0"/>
    </xf>
    <xf numFmtId="17" fontId="10" fillId="0" borderId="51"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left" vertical="center" wrapText="1"/>
      <protection locked="0"/>
    </xf>
    <xf numFmtId="8" fontId="8" fillId="6" borderId="4" xfId="0" applyNumberFormat="1" applyFont="1" applyFill="1" applyBorder="1" applyAlignment="1" applyProtection="1">
      <alignment horizontal="left" vertical="center" wrapText="1"/>
      <protection locked="0"/>
    </xf>
    <xf numFmtId="6" fontId="8" fillId="6" borderId="4" xfId="0" applyNumberFormat="1" applyFont="1" applyFill="1" applyBorder="1" applyAlignment="1" applyProtection="1">
      <alignment horizontal="left" vertical="center" wrapText="1"/>
      <protection locked="0"/>
    </xf>
    <xf numFmtId="9" fontId="8" fillId="6" borderId="4" xfId="0" applyNumberFormat="1" applyFont="1" applyFill="1" applyBorder="1" applyAlignment="1" applyProtection="1">
      <alignment horizontal="left" vertical="center" wrapText="1"/>
      <protection locked="0"/>
    </xf>
    <xf numFmtId="0" fontId="10" fillId="0" borderId="51" xfId="0" applyFont="1" applyFill="1" applyBorder="1" applyAlignment="1" applyProtection="1">
      <alignment horizontal="left" vertical="center" wrapText="1"/>
      <protection locked="0"/>
    </xf>
    <xf numFmtId="2" fontId="60" fillId="6" borderId="4" xfId="0" applyNumberFormat="1" applyFont="1" applyFill="1" applyBorder="1" applyAlignment="1" applyProtection="1">
      <alignment horizontal="left" vertical="center" wrapText="1"/>
      <protection locked="0"/>
    </xf>
    <xf numFmtId="17" fontId="10" fillId="6" borderId="4" xfId="0" applyNumberFormat="1" applyFont="1" applyFill="1" applyBorder="1" applyAlignment="1" applyProtection="1">
      <alignment horizontal="center" vertical="center" wrapText="1"/>
      <protection locked="0"/>
    </xf>
    <xf numFmtId="0" fontId="4" fillId="10" borderId="11" xfId="0" applyFont="1" applyFill="1" applyBorder="1" applyAlignment="1" applyProtection="1">
      <alignment vertical="center" wrapText="1"/>
    </xf>
    <xf numFmtId="0" fontId="4" fillId="15" borderId="42" xfId="0" applyFont="1" applyFill="1" applyBorder="1" applyAlignment="1" applyProtection="1">
      <alignment vertical="center" wrapText="1"/>
    </xf>
    <xf numFmtId="0" fontId="3" fillId="25" borderId="72" xfId="0" applyFont="1" applyFill="1" applyBorder="1" applyAlignment="1" applyProtection="1">
      <alignment horizontal="center" vertical="center" wrapText="1"/>
    </xf>
    <xf numFmtId="0" fontId="3" fillId="25" borderId="74" xfId="0" applyFont="1" applyFill="1" applyBorder="1" applyAlignment="1" applyProtection="1">
      <alignment horizontal="center" vertical="center" wrapText="1"/>
    </xf>
    <xf numFmtId="0" fontId="10" fillId="6" borderId="4" xfId="0" applyFont="1" applyFill="1" applyBorder="1" applyAlignment="1" applyProtection="1">
      <alignment horizontal="left" vertical="center" wrapText="1"/>
      <protection locked="0"/>
    </xf>
    <xf numFmtId="0" fontId="8" fillId="6" borderId="51" xfId="0" applyNumberFormat="1" applyFont="1" applyFill="1" applyBorder="1" applyAlignment="1" applyProtection="1">
      <alignment horizontal="left" vertical="center" wrapText="1"/>
      <protection locked="0"/>
    </xf>
    <xf numFmtId="17" fontId="10" fillId="6" borderId="4" xfId="0" applyNumberFormat="1" applyFont="1" applyFill="1" applyBorder="1" applyAlignment="1" applyProtection="1">
      <alignment horizontal="left" vertical="center" wrapText="1"/>
      <protection locked="0"/>
    </xf>
    <xf numFmtId="17" fontId="8" fillId="6" borderId="51" xfId="0" applyNumberFormat="1" applyFont="1" applyFill="1" applyBorder="1" applyAlignment="1" applyProtection="1">
      <alignment horizontal="left" vertical="center" wrapText="1"/>
      <protection locked="0"/>
    </xf>
    <xf numFmtId="0" fontId="8" fillId="6" borderId="51" xfId="0" applyFont="1" applyFill="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17" fontId="10" fillId="0" borderId="4" xfId="0" applyNumberFormat="1" applyFont="1" applyFill="1" applyBorder="1" applyAlignment="1" applyProtection="1">
      <alignment horizontal="left" vertical="center" wrapText="1"/>
    </xf>
    <xf numFmtId="0" fontId="9" fillId="6" borderId="57" xfId="0" applyFont="1" applyFill="1" applyBorder="1" applyAlignment="1" applyProtection="1">
      <alignment horizontal="left" vertical="center" wrapText="1"/>
    </xf>
    <xf numFmtId="0" fontId="11" fillId="6" borderId="50" xfId="0" applyFont="1" applyFill="1" applyBorder="1" applyAlignment="1" applyProtection="1">
      <alignment horizontal="center" vertical="center" wrapText="1"/>
    </xf>
    <xf numFmtId="0" fontId="4" fillId="6" borderId="0" xfId="0" applyFont="1" applyFill="1" applyBorder="1" applyAlignment="1" applyProtection="1">
      <alignment vertical="center"/>
    </xf>
    <xf numFmtId="0" fontId="5"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2" fillId="6" borderId="0" xfId="0" applyFont="1" applyFill="1" applyBorder="1" applyAlignment="1" applyProtection="1">
      <alignment horizontal="center" vertical="center" wrapText="1"/>
    </xf>
    <xf numFmtId="10" fontId="2" fillId="6" borderId="0" xfId="0" applyNumberFormat="1" applyFont="1" applyFill="1" applyBorder="1" applyAlignment="1" applyProtection="1">
      <alignment horizontal="center" vertical="center" wrapText="1"/>
    </xf>
    <xf numFmtId="0" fontId="5" fillId="6" borderId="0" xfId="0" applyFont="1" applyFill="1" applyBorder="1" applyAlignment="1" applyProtection="1">
      <alignment horizontal="left" vertical="center"/>
    </xf>
    <xf numFmtId="0" fontId="5" fillId="6" borderId="0" xfId="0" applyFont="1" applyFill="1" applyBorder="1" applyAlignment="1" applyProtection="1">
      <alignment vertical="center" wrapText="1"/>
    </xf>
    <xf numFmtId="0" fontId="10" fillId="6" borderId="0" xfId="0" applyFont="1" applyFill="1" applyBorder="1" applyAlignment="1" applyProtection="1">
      <alignment vertical="center" wrapText="1"/>
    </xf>
    <xf numFmtId="0" fontId="2" fillId="6" borderId="0" xfId="0" applyFont="1" applyFill="1" applyBorder="1" applyAlignment="1" applyProtection="1">
      <alignment horizontal="center" vertical="center"/>
    </xf>
    <xf numFmtId="0" fontId="4" fillId="2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22" fillId="6" borderId="26" xfId="0" applyFont="1" applyFill="1" applyBorder="1" applyAlignment="1">
      <alignment horizontal="center" vertical="center" wrapText="1"/>
    </xf>
    <xf numFmtId="0" fontId="22" fillId="6" borderId="31" xfId="0" applyFont="1" applyFill="1" applyBorder="1" applyAlignment="1">
      <alignment horizontal="center" vertical="center" wrapText="1"/>
    </xf>
    <xf numFmtId="0" fontId="31" fillId="14" borderId="27"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32" fillId="8" borderId="29" xfId="0" applyFont="1" applyFill="1" applyBorder="1" applyAlignment="1">
      <alignment horizontal="center" vertical="center" wrapText="1"/>
    </xf>
    <xf numFmtId="0" fontId="32" fillId="8" borderId="30" xfId="0" applyFont="1" applyFill="1" applyBorder="1" applyAlignment="1">
      <alignment horizontal="center" vertical="center" wrapText="1"/>
    </xf>
    <xf numFmtId="0" fontId="31" fillId="9" borderId="40" xfId="0" applyFont="1" applyFill="1" applyBorder="1" applyAlignment="1">
      <alignment horizontal="center" vertical="center" wrapText="1"/>
    </xf>
    <xf numFmtId="10" fontId="2" fillId="6" borderId="0" xfId="0" applyNumberFormat="1" applyFont="1" applyFill="1" applyBorder="1" applyAlignment="1" applyProtection="1">
      <alignment horizontal="center" vertical="center" wrapText="1"/>
    </xf>
    <xf numFmtId="10" fontId="17" fillId="6" borderId="0" xfId="0" applyNumberFormat="1" applyFont="1" applyFill="1" applyBorder="1" applyAlignment="1" applyProtection="1">
      <alignment horizontal="center" vertical="center" wrapText="1"/>
    </xf>
    <xf numFmtId="10" fontId="18" fillId="6" borderId="0" xfId="0" applyNumberFormat="1" applyFont="1" applyFill="1" applyBorder="1" applyAlignment="1" applyProtection="1">
      <alignment horizontal="center" vertical="center" wrapText="1"/>
    </xf>
    <xf numFmtId="0" fontId="5" fillId="6" borderId="0" xfId="0" applyFont="1" applyFill="1" applyBorder="1" applyAlignment="1" applyProtection="1">
      <alignment vertical="center" wrapText="1"/>
    </xf>
    <xf numFmtId="0" fontId="5" fillId="6" borderId="0" xfId="0" applyFont="1" applyFill="1" applyBorder="1" applyAlignment="1" applyProtection="1">
      <alignment horizontal="center" vertical="center" wrapText="1"/>
    </xf>
    <xf numFmtId="10" fontId="2" fillId="0" borderId="11" xfId="0" applyNumberFormat="1" applyFont="1" applyFill="1" applyBorder="1" applyAlignment="1" applyProtection="1">
      <alignment horizontal="center" vertical="center" wrapText="1"/>
    </xf>
    <xf numFmtId="10" fontId="17" fillId="8" borderId="11" xfId="0" applyNumberFormat="1" applyFont="1" applyFill="1" applyBorder="1" applyAlignment="1" applyProtection="1">
      <alignment horizontal="center" vertical="center" wrapText="1"/>
    </xf>
    <xf numFmtId="10" fontId="18" fillId="9" borderId="11" xfId="0" applyNumberFormat="1" applyFont="1" applyFill="1" applyBorder="1" applyAlignment="1" applyProtection="1">
      <alignment horizontal="center" vertical="center" wrapText="1"/>
    </xf>
    <xf numFmtId="0" fontId="5" fillId="11" borderId="12" xfId="0" applyFont="1" applyFill="1" applyBorder="1" applyAlignment="1" applyProtection="1">
      <alignment vertical="center" wrapText="1"/>
    </xf>
    <xf numFmtId="0" fontId="5" fillId="11" borderId="13" xfId="0" applyFont="1" applyFill="1" applyBorder="1" applyAlignment="1" applyProtection="1">
      <alignment vertical="center" wrapText="1"/>
    </xf>
    <xf numFmtId="0" fontId="5" fillId="11" borderId="14"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10" fontId="2" fillId="0" borderId="12"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17" fillId="8" borderId="12"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8" fillId="10" borderId="17" xfId="0" applyNumberFormat="1" applyFont="1" applyFill="1" applyBorder="1" applyAlignment="1" applyProtection="1">
      <alignment horizontal="center" vertical="center" wrapText="1"/>
    </xf>
    <xf numFmtId="10" fontId="18" fillId="10" borderId="53" xfId="0" applyNumberFormat="1" applyFont="1" applyFill="1" applyBorder="1" applyAlignment="1" applyProtection="1">
      <alignment horizontal="center" vertical="center" wrapText="1"/>
    </xf>
    <xf numFmtId="10" fontId="18" fillId="10" borderId="11" xfId="0" applyNumberFormat="1" applyFont="1" applyFill="1" applyBorder="1" applyAlignment="1" applyProtection="1">
      <alignment horizontal="center" vertical="center" wrapText="1"/>
    </xf>
    <xf numFmtId="10" fontId="24" fillId="23" borderId="0" xfId="0" applyNumberFormat="1" applyFont="1" applyFill="1" applyAlignment="1" applyProtection="1">
      <alignment horizontal="center" vertical="center"/>
    </xf>
    <xf numFmtId="0" fontId="24" fillId="23" borderId="0" xfId="0" applyFont="1" applyFill="1" applyAlignment="1" applyProtection="1">
      <alignment horizontal="center" vertical="center"/>
    </xf>
    <xf numFmtId="0" fontId="22" fillId="13" borderId="18" xfId="0" applyFont="1" applyFill="1" applyBorder="1" applyAlignment="1">
      <alignment horizontal="left" vertical="center" wrapText="1"/>
    </xf>
    <xf numFmtId="0" fontId="22" fillId="13" borderId="19" xfId="0" applyFont="1" applyFill="1" applyBorder="1" applyAlignment="1">
      <alignment horizontal="left" vertical="center" wrapText="1"/>
    </xf>
    <xf numFmtId="0" fontId="22" fillId="13" borderId="20" xfId="0" applyFont="1" applyFill="1" applyBorder="1" applyAlignment="1">
      <alignment horizontal="left" vertical="center" wrapText="1"/>
    </xf>
    <xf numFmtId="0" fontId="22" fillId="13" borderId="21"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25" xfId="0" applyFont="1" applyFill="1" applyBorder="1" applyAlignment="1">
      <alignment horizontal="left" vertical="center" wrapText="1"/>
    </xf>
    <xf numFmtId="10" fontId="2" fillId="0" borderId="43" xfId="0" applyNumberFormat="1" applyFont="1" applyFill="1" applyBorder="1" applyAlignment="1" applyProtection="1">
      <alignment vertical="center" wrapText="1"/>
    </xf>
    <xf numFmtId="10" fontId="2" fillId="0" borderId="44" xfId="0" applyNumberFormat="1" applyFont="1" applyFill="1" applyBorder="1" applyAlignment="1" applyProtection="1">
      <alignment vertical="center" wrapText="1"/>
    </xf>
    <xf numFmtId="10" fontId="2" fillId="0" borderId="45" xfId="0" applyNumberFormat="1" applyFont="1" applyFill="1" applyBorder="1" applyAlignment="1" applyProtection="1">
      <alignment vertical="center" wrapText="1"/>
    </xf>
    <xf numFmtId="10" fontId="17" fillId="8" borderId="43" xfId="0" applyNumberFormat="1" applyFont="1" applyFill="1" applyBorder="1" applyAlignment="1" applyProtection="1">
      <alignment horizontal="center" vertical="center" wrapText="1"/>
    </xf>
    <xf numFmtId="10" fontId="17" fillId="8" borderId="44" xfId="0" applyNumberFormat="1" applyFont="1" applyFill="1" applyBorder="1" applyAlignment="1" applyProtection="1">
      <alignment horizontal="center" vertical="center" wrapText="1"/>
    </xf>
    <xf numFmtId="10" fontId="17" fillId="8" borderId="45" xfId="0" applyNumberFormat="1" applyFont="1" applyFill="1" applyBorder="1" applyAlignment="1" applyProtection="1">
      <alignment horizontal="center" vertical="center" wrapText="1"/>
    </xf>
    <xf numFmtId="0" fontId="5" fillId="8" borderId="43" xfId="0" applyFont="1" applyFill="1" applyBorder="1" applyAlignment="1" applyProtection="1">
      <alignment vertical="center" wrapText="1"/>
    </xf>
    <xf numFmtId="0" fontId="5" fillId="8" borderId="44" xfId="0" applyFont="1" applyFill="1" applyBorder="1" applyAlignment="1" applyProtection="1">
      <alignment vertical="center" wrapText="1"/>
    </xf>
    <xf numFmtId="0" fontId="5" fillId="8" borderId="45" xfId="0" applyFont="1" applyFill="1" applyBorder="1" applyAlignment="1" applyProtection="1">
      <alignment vertical="center" wrapText="1"/>
    </xf>
    <xf numFmtId="0" fontId="5" fillId="0" borderId="54"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42" xfId="0" applyNumberFormat="1" applyFont="1" applyFill="1" applyBorder="1" applyAlignment="1" applyProtection="1">
      <alignment horizontal="center" vertical="center" wrapText="1"/>
    </xf>
    <xf numFmtId="10" fontId="18" fillId="9" borderId="42" xfId="0" applyNumberFormat="1" applyFont="1" applyFill="1" applyBorder="1" applyAlignment="1" applyProtection="1">
      <alignment horizontal="center" vertical="center" wrapText="1"/>
    </xf>
    <xf numFmtId="10" fontId="2" fillId="0" borderId="43" xfId="0" applyNumberFormat="1" applyFont="1" applyFill="1" applyBorder="1" applyAlignment="1" applyProtection="1">
      <alignment horizontal="center" vertical="center" wrapText="1"/>
    </xf>
    <xf numFmtId="10" fontId="2" fillId="0" borderId="44"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8" fillId="15" borderId="42" xfId="0" applyNumberFormat="1" applyFont="1" applyFill="1" applyBorder="1" applyAlignment="1" applyProtection="1">
      <alignment horizontal="center" vertical="center" wrapText="1"/>
    </xf>
    <xf numFmtId="0" fontId="22" fillId="16" borderId="18" xfId="0" applyFont="1" applyFill="1" applyBorder="1" applyAlignment="1">
      <alignment horizontal="left" vertical="center" wrapText="1"/>
    </xf>
    <xf numFmtId="0" fontId="22" fillId="16" borderId="19" xfId="0" applyFont="1" applyFill="1" applyBorder="1" applyAlignment="1">
      <alignment horizontal="left" vertical="center" wrapText="1"/>
    </xf>
    <xf numFmtId="0" fontId="22" fillId="16" borderId="20" xfId="0" applyFont="1" applyFill="1" applyBorder="1" applyAlignment="1">
      <alignment horizontal="left" vertical="center" wrapText="1"/>
    </xf>
    <xf numFmtId="0" fontId="22" fillId="16" borderId="21"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25" xfId="0" applyFont="1" applyFill="1" applyBorder="1" applyAlignment="1">
      <alignment horizontal="left" vertical="center" wrapText="1"/>
    </xf>
  </cellXfs>
  <cellStyles count="3">
    <cellStyle name="Hyperlink" xfId="1" builtinId="8"/>
    <cellStyle name="Normal" xfId="0" builtinId="0"/>
    <cellStyle name="Normal 2 2" xfId="2"/>
  </cellStyles>
  <dxfs count="420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0</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7198960"/>
        <c:axId val="349632608"/>
      </c:lineChart>
      <c:catAx>
        <c:axId val="347198960"/>
        <c:scaling>
          <c:orientation val="minMax"/>
        </c:scaling>
        <c:delete val="0"/>
        <c:axPos val="b"/>
        <c:numFmt formatCode="General" sourceLinked="0"/>
        <c:majorTickMark val="out"/>
        <c:minorTickMark val="none"/>
        <c:tickLblPos val="nextTo"/>
        <c:txPr>
          <a:bodyPr/>
          <a:lstStyle/>
          <a:p>
            <a:pPr>
              <a:defRPr lang="en-US"/>
            </a:pPr>
            <a:endParaRPr lang="en-US"/>
          </a:p>
        </c:txPr>
        <c:crossAx val="349632608"/>
        <c:crosses val="autoZero"/>
        <c:auto val="1"/>
        <c:lblAlgn val="ctr"/>
        <c:lblOffset val="100"/>
        <c:noMultiLvlLbl val="0"/>
      </c:catAx>
      <c:valAx>
        <c:axId val="3496326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71989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49824440"/>
        <c:axId val="349824824"/>
      </c:lineChart>
      <c:catAx>
        <c:axId val="349824440"/>
        <c:scaling>
          <c:orientation val="minMax"/>
        </c:scaling>
        <c:delete val="0"/>
        <c:axPos val="b"/>
        <c:numFmt formatCode="General" sourceLinked="0"/>
        <c:majorTickMark val="out"/>
        <c:minorTickMark val="none"/>
        <c:tickLblPos val="nextTo"/>
        <c:txPr>
          <a:bodyPr/>
          <a:lstStyle/>
          <a:p>
            <a:pPr>
              <a:defRPr lang="en-US"/>
            </a:pPr>
            <a:endParaRPr lang="en-US"/>
          </a:p>
        </c:txPr>
        <c:crossAx val="349824824"/>
        <c:crosses val="autoZero"/>
        <c:auto val="1"/>
        <c:lblAlgn val="ctr"/>
        <c:lblOffset val="100"/>
        <c:noMultiLvlLbl val="0"/>
      </c:catAx>
      <c:valAx>
        <c:axId val="3498248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98244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35959200"/>
        <c:axId val="335965080"/>
      </c:lineChart>
      <c:catAx>
        <c:axId val="335959200"/>
        <c:scaling>
          <c:orientation val="minMax"/>
        </c:scaling>
        <c:delete val="0"/>
        <c:axPos val="b"/>
        <c:numFmt formatCode="General" sourceLinked="1"/>
        <c:majorTickMark val="out"/>
        <c:minorTickMark val="none"/>
        <c:tickLblPos val="nextTo"/>
        <c:txPr>
          <a:bodyPr/>
          <a:lstStyle/>
          <a:p>
            <a:pPr>
              <a:defRPr lang="en-US"/>
            </a:pPr>
            <a:endParaRPr lang="en-US"/>
          </a:p>
        </c:txPr>
        <c:crossAx val="335965080"/>
        <c:crosses val="autoZero"/>
        <c:auto val="1"/>
        <c:lblAlgn val="ctr"/>
        <c:lblOffset val="100"/>
        <c:noMultiLvlLbl val="0"/>
      </c:catAx>
      <c:valAx>
        <c:axId val="3359650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5959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35957632"/>
        <c:axId val="335958024"/>
      </c:lineChart>
      <c:catAx>
        <c:axId val="335957632"/>
        <c:scaling>
          <c:orientation val="minMax"/>
        </c:scaling>
        <c:delete val="0"/>
        <c:axPos val="b"/>
        <c:numFmt formatCode="General" sourceLinked="0"/>
        <c:majorTickMark val="out"/>
        <c:minorTickMark val="none"/>
        <c:tickLblPos val="nextTo"/>
        <c:txPr>
          <a:bodyPr/>
          <a:lstStyle/>
          <a:p>
            <a:pPr>
              <a:defRPr lang="en-US"/>
            </a:pPr>
            <a:endParaRPr lang="en-US"/>
          </a:p>
        </c:txPr>
        <c:crossAx val="335958024"/>
        <c:crosses val="autoZero"/>
        <c:auto val="1"/>
        <c:lblAlgn val="ctr"/>
        <c:lblOffset val="100"/>
        <c:noMultiLvlLbl val="0"/>
      </c:catAx>
      <c:valAx>
        <c:axId val="3359580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59576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35958416"/>
        <c:axId val="335958808"/>
      </c:lineChart>
      <c:catAx>
        <c:axId val="335958416"/>
        <c:scaling>
          <c:orientation val="minMax"/>
        </c:scaling>
        <c:delete val="0"/>
        <c:axPos val="b"/>
        <c:numFmt formatCode="General" sourceLinked="0"/>
        <c:majorTickMark val="out"/>
        <c:minorTickMark val="none"/>
        <c:tickLblPos val="nextTo"/>
        <c:txPr>
          <a:bodyPr/>
          <a:lstStyle/>
          <a:p>
            <a:pPr>
              <a:defRPr lang="en-US"/>
            </a:pPr>
            <a:endParaRPr lang="en-US"/>
          </a:p>
        </c:txPr>
        <c:crossAx val="335958808"/>
        <c:crosses val="autoZero"/>
        <c:auto val="1"/>
        <c:lblAlgn val="ctr"/>
        <c:lblOffset val="100"/>
        <c:noMultiLvlLbl val="0"/>
      </c:catAx>
      <c:valAx>
        <c:axId val="3359588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5958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35959984"/>
        <c:axId val="335961160"/>
      </c:lineChart>
      <c:catAx>
        <c:axId val="335959984"/>
        <c:scaling>
          <c:orientation val="minMax"/>
        </c:scaling>
        <c:delete val="0"/>
        <c:axPos val="b"/>
        <c:numFmt formatCode="General" sourceLinked="0"/>
        <c:majorTickMark val="out"/>
        <c:minorTickMark val="none"/>
        <c:tickLblPos val="nextTo"/>
        <c:txPr>
          <a:bodyPr/>
          <a:lstStyle/>
          <a:p>
            <a:pPr>
              <a:defRPr lang="en-US"/>
            </a:pPr>
            <a:endParaRPr lang="en-US"/>
          </a:p>
        </c:txPr>
        <c:crossAx val="335961160"/>
        <c:crosses val="autoZero"/>
        <c:auto val="1"/>
        <c:lblAlgn val="ctr"/>
        <c:lblOffset val="100"/>
        <c:noMultiLvlLbl val="0"/>
      </c:catAx>
      <c:valAx>
        <c:axId val="33596116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35959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5299688"/>
        <c:axId val="335300072"/>
      </c:lineChart>
      <c:catAx>
        <c:axId val="335299688"/>
        <c:scaling>
          <c:orientation val="minMax"/>
        </c:scaling>
        <c:delete val="0"/>
        <c:axPos val="b"/>
        <c:numFmt formatCode="General" sourceLinked="0"/>
        <c:majorTickMark val="out"/>
        <c:minorTickMark val="none"/>
        <c:tickLblPos val="nextTo"/>
        <c:txPr>
          <a:bodyPr/>
          <a:lstStyle/>
          <a:p>
            <a:pPr>
              <a:defRPr lang="en-US"/>
            </a:pPr>
            <a:endParaRPr lang="en-US"/>
          </a:p>
        </c:txPr>
        <c:crossAx val="335300072"/>
        <c:crosses val="autoZero"/>
        <c:auto val="1"/>
        <c:lblAlgn val="ctr"/>
        <c:lblOffset val="100"/>
        <c:noMultiLvlLbl val="0"/>
      </c:catAx>
      <c:valAx>
        <c:axId val="335300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52996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115802352"/>
        <c:axId val="115805488"/>
      </c:lineChart>
      <c:catAx>
        <c:axId val="115802352"/>
        <c:scaling>
          <c:orientation val="minMax"/>
        </c:scaling>
        <c:delete val="0"/>
        <c:axPos val="b"/>
        <c:numFmt formatCode="General" sourceLinked="0"/>
        <c:majorTickMark val="out"/>
        <c:minorTickMark val="none"/>
        <c:tickLblPos val="nextTo"/>
        <c:txPr>
          <a:bodyPr/>
          <a:lstStyle/>
          <a:p>
            <a:pPr>
              <a:defRPr lang="en-US"/>
            </a:pPr>
            <a:endParaRPr lang="en-US"/>
          </a:p>
        </c:txPr>
        <c:crossAx val="115805488"/>
        <c:crosses val="autoZero"/>
        <c:auto val="1"/>
        <c:lblAlgn val="ctr"/>
        <c:lblOffset val="100"/>
        <c:noMultiLvlLbl val="0"/>
      </c:catAx>
      <c:valAx>
        <c:axId val="1158054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1158023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37005448"/>
        <c:axId val="336999568"/>
      </c:lineChart>
      <c:catAx>
        <c:axId val="337005448"/>
        <c:scaling>
          <c:orientation val="minMax"/>
        </c:scaling>
        <c:delete val="0"/>
        <c:axPos val="b"/>
        <c:numFmt formatCode="General" sourceLinked="0"/>
        <c:majorTickMark val="out"/>
        <c:minorTickMark val="none"/>
        <c:tickLblPos val="nextTo"/>
        <c:txPr>
          <a:bodyPr/>
          <a:lstStyle/>
          <a:p>
            <a:pPr>
              <a:defRPr lang="en-US"/>
            </a:pPr>
            <a:endParaRPr lang="en-US"/>
          </a:p>
        </c:txPr>
        <c:crossAx val="336999568"/>
        <c:crosses val="autoZero"/>
        <c:auto val="1"/>
        <c:lblAlgn val="ctr"/>
        <c:lblOffset val="100"/>
        <c:noMultiLvlLbl val="0"/>
      </c:catAx>
      <c:valAx>
        <c:axId val="3369995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3700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c:v>
                </c:pt>
                <c:pt idx="1">
                  <c:v>0</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76"/>
  <sheetViews>
    <sheetView tabSelected="1" zoomScale="70" zoomScaleNormal="70" zoomScaleSheetLayoutView="50" workbookViewId="0">
      <pane xSplit="5" ySplit="2" topLeftCell="F3" activePane="bottomRight" state="frozen"/>
      <selection pane="topRight" activeCell="F1" sqref="F1"/>
      <selection pane="bottomLeft" activeCell="A3" sqref="A3"/>
      <selection pane="bottomRight" activeCell="F3" sqref="F3"/>
    </sheetView>
  </sheetViews>
  <sheetFormatPr defaultColWidth="9.109375" defaultRowHeight="15.6"/>
  <cols>
    <col min="1" max="1" width="20.44140625" style="141" customWidth="1"/>
    <col min="2" max="2" width="14.88671875" style="142" customWidth="1"/>
    <col min="3" max="3" width="49.5546875" style="143" customWidth="1"/>
    <col min="4" max="4" width="50" style="251" customWidth="1"/>
    <col min="5" max="5" width="19.44140625" style="142" customWidth="1"/>
    <col min="6" max="6" width="51.109375" style="308" customWidth="1"/>
    <col min="7" max="7" width="18.5546875" style="306" customWidth="1"/>
    <col min="8" max="8" width="18.5546875" style="142" customWidth="1"/>
    <col min="9" max="9" width="22.5546875" style="251" customWidth="1"/>
    <col min="10" max="10" width="50.5546875" style="251" hidden="1" customWidth="1"/>
    <col min="11" max="12" width="18.44140625" style="251" hidden="1" customWidth="1"/>
    <col min="13" max="13" width="18.5546875" style="251" hidden="1" customWidth="1"/>
    <col min="14" max="14" width="50.44140625" style="251" hidden="1" customWidth="1"/>
    <col min="15" max="15" width="51" style="251" hidden="1" customWidth="1"/>
    <col min="16" max="16" width="18.44140625" style="251" hidden="1" customWidth="1"/>
    <col min="17" max="18" width="18.5546875" style="251" hidden="1" customWidth="1"/>
    <col min="19" max="19" width="62" style="251" hidden="1" customWidth="1"/>
    <col min="20" max="20" width="61.109375" style="251" hidden="1" customWidth="1"/>
    <col min="21" max="22" width="18.5546875" style="251" hidden="1" customWidth="1"/>
    <col min="23" max="23" width="40.5546875" style="251" hidden="1" customWidth="1"/>
    <col min="24" max="24" width="8.109375" style="305" customWidth="1"/>
    <col min="25" max="25" width="19.5546875" style="143" customWidth="1"/>
    <col min="26" max="27" width="20.44140625" style="141" customWidth="1"/>
    <col min="28" max="29" width="19.5546875" style="143" customWidth="1"/>
    <col min="30" max="30" width="9.109375" style="145" customWidth="1"/>
    <col min="31" max="31" width="18.109375" style="146" customWidth="1"/>
    <col min="32" max="16384" width="9.109375" style="146"/>
  </cols>
  <sheetData>
    <row r="1" spans="1:30" ht="27.75" customHeight="1">
      <c r="A1" s="298"/>
      <c r="B1" s="298" t="s">
        <v>594</v>
      </c>
      <c r="E1" s="144"/>
      <c r="F1" s="361" t="s">
        <v>251</v>
      </c>
      <c r="G1" s="361"/>
      <c r="H1" s="361"/>
      <c r="I1" s="361"/>
      <c r="J1" s="362" t="s">
        <v>254</v>
      </c>
      <c r="K1" s="362"/>
      <c r="L1" s="362"/>
      <c r="M1" s="362"/>
      <c r="N1" s="362"/>
      <c r="O1" s="362" t="s">
        <v>258</v>
      </c>
      <c r="P1" s="362"/>
      <c r="Q1" s="362"/>
      <c r="R1" s="362"/>
      <c r="S1" s="362"/>
      <c r="T1" s="362" t="s">
        <v>260</v>
      </c>
      <c r="U1" s="362"/>
      <c r="V1" s="362"/>
      <c r="W1" s="362"/>
      <c r="X1" s="300"/>
    </row>
    <row r="2" spans="1:30" s="149" customFormat="1" ht="103.5" customHeight="1" thickBot="1">
      <c r="A2" s="147" t="s">
        <v>37</v>
      </c>
      <c r="B2" s="294" t="s">
        <v>54</v>
      </c>
      <c r="C2" s="295" t="s">
        <v>0</v>
      </c>
      <c r="D2" s="296" t="s">
        <v>245</v>
      </c>
      <c r="E2" s="297" t="s">
        <v>50</v>
      </c>
      <c r="F2" s="240" t="s">
        <v>252</v>
      </c>
      <c r="G2" s="240" t="s">
        <v>51</v>
      </c>
      <c r="H2" s="240" t="s">
        <v>52</v>
      </c>
      <c r="I2" s="240" t="s">
        <v>53</v>
      </c>
      <c r="J2" s="241" t="s">
        <v>253</v>
      </c>
      <c r="K2" s="241" t="s">
        <v>255</v>
      </c>
      <c r="L2" s="241" t="s">
        <v>70</v>
      </c>
      <c r="M2" s="241" t="s">
        <v>71</v>
      </c>
      <c r="N2" s="241" t="s">
        <v>72</v>
      </c>
      <c r="O2" s="241" t="s">
        <v>256</v>
      </c>
      <c r="P2" s="241" t="s">
        <v>257</v>
      </c>
      <c r="Q2" s="241" t="s">
        <v>73</v>
      </c>
      <c r="R2" s="241" t="s">
        <v>74</v>
      </c>
      <c r="S2" s="241" t="s">
        <v>75</v>
      </c>
      <c r="T2" s="241" t="s">
        <v>259</v>
      </c>
      <c r="U2" s="241" t="s">
        <v>133</v>
      </c>
      <c r="V2" s="241" t="s">
        <v>134</v>
      </c>
      <c r="W2" s="241" t="s">
        <v>76</v>
      </c>
      <c r="X2" s="301" t="s">
        <v>31</v>
      </c>
      <c r="Y2" s="147" t="s">
        <v>25</v>
      </c>
      <c r="Z2" s="147" t="s">
        <v>36</v>
      </c>
      <c r="AA2" s="147" t="s">
        <v>110</v>
      </c>
      <c r="AB2" s="147" t="s">
        <v>22</v>
      </c>
      <c r="AC2" s="258" t="s">
        <v>528</v>
      </c>
      <c r="AD2" s="148" t="s">
        <v>49</v>
      </c>
    </row>
    <row r="3" spans="1:30" ht="98.1" customHeight="1" thickBot="1">
      <c r="A3" s="242" t="s">
        <v>42</v>
      </c>
      <c r="B3" s="162" t="s">
        <v>265</v>
      </c>
      <c r="C3" s="309" t="s">
        <v>266</v>
      </c>
      <c r="D3" s="310" t="s">
        <v>267</v>
      </c>
      <c r="E3" s="311">
        <v>44317</v>
      </c>
      <c r="F3" s="326" t="s">
        <v>779</v>
      </c>
      <c r="G3" s="327"/>
      <c r="H3" s="336" t="s">
        <v>56</v>
      </c>
      <c r="I3" s="263"/>
      <c r="J3" s="259"/>
      <c r="K3" s="260"/>
      <c r="L3" s="261"/>
      <c r="M3" s="245"/>
      <c r="N3" s="262"/>
      <c r="O3" s="260"/>
      <c r="P3" s="260"/>
      <c r="Q3" s="261"/>
      <c r="R3" s="245"/>
      <c r="S3" s="262"/>
      <c r="T3" s="260"/>
      <c r="U3" s="261"/>
      <c r="V3" s="245"/>
      <c r="W3" s="262"/>
      <c r="X3" s="302">
        <v>1</v>
      </c>
      <c r="Y3" s="257" t="s">
        <v>27</v>
      </c>
      <c r="Z3" s="161" t="s">
        <v>583</v>
      </c>
      <c r="AA3" s="257" t="s">
        <v>527</v>
      </c>
      <c r="AB3" s="257" t="s">
        <v>80</v>
      </c>
      <c r="AC3" s="312" t="s">
        <v>201</v>
      </c>
      <c r="AD3" s="150" t="s">
        <v>601</v>
      </c>
    </row>
    <row r="4" spans="1:30" ht="98.1" customHeight="1" thickBot="1">
      <c r="A4" s="242" t="s">
        <v>166</v>
      </c>
      <c r="B4" s="162" t="s">
        <v>268</v>
      </c>
      <c r="C4" s="309" t="s">
        <v>266</v>
      </c>
      <c r="D4" s="310" t="s">
        <v>269</v>
      </c>
      <c r="E4" s="311">
        <v>44317</v>
      </c>
      <c r="F4" s="326" t="s">
        <v>835</v>
      </c>
      <c r="G4" s="327"/>
      <c r="H4" s="336" t="s">
        <v>56</v>
      </c>
      <c r="I4" s="263"/>
      <c r="J4" s="259"/>
      <c r="K4" s="259"/>
      <c r="L4" s="243"/>
      <c r="M4" s="245"/>
      <c r="N4" s="262"/>
      <c r="O4" s="259"/>
      <c r="P4" s="259"/>
      <c r="Q4" s="243"/>
      <c r="R4" s="245"/>
      <c r="S4" s="244"/>
      <c r="T4" s="259"/>
      <c r="U4" s="243"/>
      <c r="V4" s="245"/>
      <c r="W4" s="244"/>
      <c r="X4" s="303">
        <v>1</v>
      </c>
      <c r="Y4" s="257" t="s">
        <v>27</v>
      </c>
      <c r="Z4" s="161" t="s">
        <v>584</v>
      </c>
      <c r="AA4" s="257" t="s">
        <v>527</v>
      </c>
      <c r="AB4" s="257" t="s">
        <v>80</v>
      </c>
      <c r="AC4" s="312" t="s">
        <v>202</v>
      </c>
      <c r="AD4" s="150" t="s">
        <v>602</v>
      </c>
    </row>
    <row r="5" spans="1:30" ht="98.1" customHeight="1" thickBot="1">
      <c r="A5" s="242" t="s">
        <v>166</v>
      </c>
      <c r="B5" s="162" t="s">
        <v>270</v>
      </c>
      <c r="C5" s="309" t="s">
        <v>271</v>
      </c>
      <c r="D5" s="310" t="s">
        <v>272</v>
      </c>
      <c r="E5" s="311">
        <v>44621</v>
      </c>
      <c r="F5" s="326" t="s">
        <v>758</v>
      </c>
      <c r="G5" s="327"/>
      <c r="H5" s="336" t="s">
        <v>65</v>
      </c>
      <c r="I5" s="263"/>
      <c r="J5" s="264"/>
      <c r="K5" s="265"/>
      <c r="L5" s="264"/>
      <c r="M5" s="245"/>
      <c r="N5" s="262"/>
      <c r="O5" s="260"/>
      <c r="P5" s="260"/>
      <c r="Q5" s="261"/>
      <c r="R5" s="245"/>
      <c r="S5" s="262"/>
      <c r="T5" s="260"/>
      <c r="U5" s="261"/>
      <c r="V5" s="245"/>
      <c r="W5" s="262"/>
      <c r="X5" s="303">
        <v>4</v>
      </c>
      <c r="Y5" s="257" t="s">
        <v>27</v>
      </c>
      <c r="Z5" s="161" t="s">
        <v>584</v>
      </c>
      <c r="AA5" s="257" t="s">
        <v>527</v>
      </c>
      <c r="AB5" s="257" t="s">
        <v>80</v>
      </c>
      <c r="AC5" s="312" t="s">
        <v>203</v>
      </c>
      <c r="AD5" s="150" t="s">
        <v>603</v>
      </c>
    </row>
    <row r="6" spans="1:30" ht="98.1" customHeight="1" thickBot="1">
      <c r="A6" s="242" t="s">
        <v>42</v>
      </c>
      <c r="B6" s="162" t="s">
        <v>273</v>
      </c>
      <c r="C6" s="309" t="s">
        <v>274</v>
      </c>
      <c r="D6" s="310" t="s">
        <v>275</v>
      </c>
      <c r="E6" s="311">
        <v>44621</v>
      </c>
      <c r="F6" s="326" t="s">
        <v>819</v>
      </c>
      <c r="G6" s="327"/>
      <c r="H6" s="336" t="s">
        <v>65</v>
      </c>
      <c r="I6" s="263"/>
      <c r="J6" s="259"/>
      <c r="K6" s="259"/>
      <c r="L6" s="243"/>
      <c r="M6" s="245"/>
      <c r="N6" s="244"/>
      <c r="O6" s="259"/>
      <c r="P6" s="259"/>
      <c r="Q6" s="243"/>
      <c r="R6" s="245"/>
      <c r="S6" s="244"/>
      <c r="T6" s="259"/>
      <c r="U6" s="243"/>
      <c r="V6" s="245"/>
      <c r="W6" s="244"/>
      <c r="X6" s="303">
        <v>4</v>
      </c>
      <c r="Y6" s="257" t="s">
        <v>26</v>
      </c>
      <c r="Z6" s="161" t="s">
        <v>165</v>
      </c>
      <c r="AA6" s="257" t="s">
        <v>527</v>
      </c>
      <c r="AB6" s="257" t="s">
        <v>80</v>
      </c>
      <c r="AC6" s="312" t="s">
        <v>204</v>
      </c>
      <c r="AD6" s="150" t="s">
        <v>604</v>
      </c>
    </row>
    <row r="7" spans="1:30" ht="98.1" customHeight="1" thickBot="1">
      <c r="A7" s="242" t="s">
        <v>42</v>
      </c>
      <c r="B7" s="162" t="s">
        <v>276</v>
      </c>
      <c r="C7" s="309" t="s">
        <v>274</v>
      </c>
      <c r="D7" s="310" t="s">
        <v>277</v>
      </c>
      <c r="E7" s="311">
        <v>44440</v>
      </c>
      <c r="F7" s="328" t="s">
        <v>820</v>
      </c>
      <c r="G7" s="327"/>
      <c r="H7" s="336" t="s">
        <v>65</v>
      </c>
      <c r="I7" s="329"/>
      <c r="J7" s="259"/>
      <c r="K7" s="259"/>
      <c r="L7" s="243"/>
      <c r="M7" s="245"/>
      <c r="N7" s="244"/>
      <c r="O7" s="259"/>
      <c r="P7" s="259"/>
      <c r="Q7" s="243"/>
      <c r="R7" s="245"/>
      <c r="S7" s="244"/>
      <c r="T7" s="259"/>
      <c r="U7" s="243"/>
      <c r="V7" s="245"/>
      <c r="W7" s="244"/>
      <c r="X7" s="303">
        <v>2</v>
      </c>
      <c r="Y7" s="257" t="s">
        <v>26</v>
      </c>
      <c r="Z7" s="161" t="s">
        <v>165</v>
      </c>
      <c r="AA7" s="257" t="s">
        <v>527</v>
      </c>
      <c r="AB7" s="257" t="s">
        <v>80</v>
      </c>
      <c r="AC7" s="312" t="s">
        <v>205</v>
      </c>
      <c r="AD7" s="150" t="s">
        <v>605</v>
      </c>
    </row>
    <row r="8" spans="1:30" ht="98.1" customHeight="1" thickBot="1">
      <c r="A8" s="242" t="s">
        <v>42</v>
      </c>
      <c r="B8" s="162" t="s">
        <v>278</v>
      </c>
      <c r="C8" s="309" t="s">
        <v>274</v>
      </c>
      <c r="D8" s="310" t="s">
        <v>279</v>
      </c>
      <c r="E8" s="311">
        <v>44621</v>
      </c>
      <c r="F8" s="326" t="s">
        <v>842</v>
      </c>
      <c r="G8" s="327"/>
      <c r="H8" s="336" t="s">
        <v>65</v>
      </c>
      <c r="I8" s="263"/>
      <c r="J8" s="259"/>
      <c r="K8" s="259"/>
      <c r="L8" s="243"/>
      <c r="M8" s="245"/>
      <c r="N8" s="244"/>
      <c r="O8" s="259"/>
      <c r="P8" s="259"/>
      <c r="Q8" s="243"/>
      <c r="R8" s="245"/>
      <c r="S8" s="244"/>
      <c r="T8" s="259"/>
      <c r="U8" s="243"/>
      <c r="V8" s="245"/>
      <c r="W8" s="244"/>
      <c r="X8" s="303">
        <v>4</v>
      </c>
      <c r="Y8" s="257" t="s">
        <v>26</v>
      </c>
      <c r="Z8" s="161" t="s">
        <v>165</v>
      </c>
      <c r="AA8" s="257" t="s">
        <v>527</v>
      </c>
      <c r="AB8" s="257" t="s">
        <v>80</v>
      </c>
      <c r="AC8" s="312" t="s">
        <v>206</v>
      </c>
      <c r="AD8" s="150" t="s">
        <v>606</v>
      </c>
    </row>
    <row r="9" spans="1:30" ht="115.95" customHeight="1" thickBot="1">
      <c r="A9" s="242" t="s">
        <v>42</v>
      </c>
      <c r="B9" s="162" t="s">
        <v>280</v>
      </c>
      <c r="C9" s="309" t="s">
        <v>274</v>
      </c>
      <c r="D9" s="310" t="s">
        <v>281</v>
      </c>
      <c r="E9" s="311">
        <v>44440</v>
      </c>
      <c r="F9" s="326" t="s">
        <v>830</v>
      </c>
      <c r="G9" s="327"/>
      <c r="H9" s="336" t="s">
        <v>65</v>
      </c>
      <c r="I9" s="263"/>
      <c r="J9" s="259"/>
      <c r="K9" s="259"/>
      <c r="L9" s="243"/>
      <c r="M9" s="245"/>
      <c r="N9" s="244"/>
      <c r="O9" s="259"/>
      <c r="P9" s="259"/>
      <c r="Q9" s="243"/>
      <c r="R9" s="245"/>
      <c r="S9" s="244"/>
      <c r="T9" s="259"/>
      <c r="U9" s="243"/>
      <c r="V9" s="245"/>
      <c r="W9" s="244"/>
      <c r="X9" s="303">
        <v>2</v>
      </c>
      <c r="Y9" s="257" t="s">
        <v>26</v>
      </c>
      <c r="Z9" s="161" t="s">
        <v>165</v>
      </c>
      <c r="AA9" s="257" t="s">
        <v>527</v>
      </c>
      <c r="AB9" s="257" t="s">
        <v>80</v>
      </c>
      <c r="AC9" s="312" t="s">
        <v>207</v>
      </c>
      <c r="AD9" s="150" t="s">
        <v>607</v>
      </c>
    </row>
    <row r="10" spans="1:30" ht="98.1" customHeight="1" thickBot="1">
      <c r="A10" s="242" t="s">
        <v>42</v>
      </c>
      <c r="B10" s="162" t="s">
        <v>282</v>
      </c>
      <c r="C10" s="309" t="s">
        <v>283</v>
      </c>
      <c r="D10" s="310" t="s">
        <v>284</v>
      </c>
      <c r="E10" s="311">
        <v>44378</v>
      </c>
      <c r="F10" s="326" t="s">
        <v>826</v>
      </c>
      <c r="G10" s="327"/>
      <c r="H10" s="336" t="s">
        <v>56</v>
      </c>
      <c r="I10" s="329"/>
      <c r="J10" s="266"/>
      <c r="K10" s="249"/>
      <c r="L10" s="249"/>
      <c r="M10" s="245"/>
      <c r="N10" s="244"/>
      <c r="O10" s="259"/>
      <c r="P10" s="267"/>
      <c r="Q10" s="249"/>
      <c r="R10" s="253"/>
      <c r="S10" s="244"/>
      <c r="T10" s="259"/>
      <c r="U10" s="249"/>
      <c r="V10" s="245"/>
      <c r="W10" s="244"/>
      <c r="X10" s="303">
        <v>2</v>
      </c>
      <c r="Y10" s="257" t="s">
        <v>26</v>
      </c>
      <c r="Z10" s="161" t="s">
        <v>165</v>
      </c>
      <c r="AA10" s="257" t="s">
        <v>527</v>
      </c>
      <c r="AB10" s="257" t="s">
        <v>80</v>
      </c>
      <c r="AC10" s="312" t="s">
        <v>208</v>
      </c>
      <c r="AD10" s="150" t="s">
        <v>608</v>
      </c>
    </row>
    <row r="11" spans="1:30" ht="98.1" customHeight="1" thickBot="1">
      <c r="A11" s="242" t="s">
        <v>42</v>
      </c>
      <c r="B11" s="162" t="s">
        <v>285</v>
      </c>
      <c r="C11" s="309" t="s">
        <v>283</v>
      </c>
      <c r="D11" s="310" t="s">
        <v>286</v>
      </c>
      <c r="E11" s="311">
        <v>44317</v>
      </c>
      <c r="F11" s="326" t="s">
        <v>817</v>
      </c>
      <c r="G11" s="327"/>
      <c r="H11" s="336" t="s">
        <v>56</v>
      </c>
      <c r="I11" s="263"/>
      <c r="J11" s="243"/>
      <c r="K11" s="259"/>
      <c r="L11" s="243"/>
      <c r="M11" s="245"/>
      <c r="N11" s="244"/>
      <c r="O11" s="259"/>
      <c r="P11" s="259"/>
      <c r="Q11" s="243"/>
      <c r="R11" s="253"/>
      <c r="S11" s="244"/>
      <c r="T11" s="259"/>
      <c r="U11" s="243"/>
      <c r="V11" s="245"/>
      <c r="W11" s="244"/>
      <c r="X11" s="303">
        <v>1</v>
      </c>
      <c r="Y11" s="257" t="s">
        <v>26</v>
      </c>
      <c r="Z11" s="161" t="s">
        <v>165</v>
      </c>
      <c r="AA11" s="257" t="s">
        <v>527</v>
      </c>
      <c r="AB11" s="257" t="s">
        <v>80</v>
      </c>
      <c r="AC11" s="312" t="s">
        <v>209</v>
      </c>
      <c r="AD11" s="150" t="s">
        <v>609</v>
      </c>
    </row>
    <row r="12" spans="1:30" ht="98.1" customHeight="1" thickBot="1">
      <c r="A12" s="242" t="s">
        <v>42</v>
      </c>
      <c r="B12" s="162" t="s">
        <v>287</v>
      </c>
      <c r="C12" s="309" t="s">
        <v>283</v>
      </c>
      <c r="D12" s="310" t="s">
        <v>288</v>
      </c>
      <c r="E12" s="311">
        <v>44317</v>
      </c>
      <c r="F12" s="326" t="s">
        <v>818</v>
      </c>
      <c r="G12" s="327"/>
      <c r="H12" s="336" t="s">
        <v>56</v>
      </c>
      <c r="I12" s="263"/>
      <c r="J12" s="260"/>
      <c r="K12" s="260"/>
      <c r="L12" s="261"/>
      <c r="M12" s="245"/>
      <c r="N12" s="262"/>
      <c r="O12" s="260"/>
      <c r="P12" s="260"/>
      <c r="Q12" s="261"/>
      <c r="R12" s="245"/>
      <c r="S12" s="262"/>
      <c r="T12" s="260"/>
      <c r="U12" s="261"/>
      <c r="V12" s="245"/>
      <c r="W12" s="262"/>
      <c r="X12" s="302">
        <v>1</v>
      </c>
      <c r="Y12" s="257" t="s">
        <v>26</v>
      </c>
      <c r="Z12" s="161" t="s">
        <v>165</v>
      </c>
      <c r="AA12" s="257" t="s">
        <v>527</v>
      </c>
      <c r="AB12" s="257" t="s">
        <v>80</v>
      </c>
      <c r="AC12" s="312" t="s">
        <v>210</v>
      </c>
      <c r="AD12" s="150" t="s">
        <v>610</v>
      </c>
    </row>
    <row r="13" spans="1:30" ht="98.1" customHeight="1" thickBot="1">
      <c r="A13" s="242" t="s">
        <v>42</v>
      </c>
      <c r="B13" s="162" t="s">
        <v>289</v>
      </c>
      <c r="C13" s="309" t="s">
        <v>283</v>
      </c>
      <c r="D13" s="310" t="s">
        <v>290</v>
      </c>
      <c r="E13" s="311">
        <v>44531</v>
      </c>
      <c r="F13" s="326"/>
      <c r="G13" s="327"/>
      <c r="H13" s="336" t="s">
        <v>69</v>
      </c>
      <c r="I13" s="263"/>
      <c r="J13" s="260"/>
      <c r="K13" s="268"/>
      <c r="L13" s="261"/>
      <c r="M13" s="245"/>
      <c r="N13" s="262"/>
      <c r="O13" s="260"/>
      <c r="P13" s="269"/>
      <c r="Q13" s="270"/>
      <c r="R13" s="245"/>
      <c r="S13" s="262"/>
      <c r="T13" s="260"/>
      <c r="U13" s="270"/>
      <c r="V13" s="245"/>
      <c r="W13" s="262"/>
      <c r="X13" s="302">
        <v>3</v>
      </c>
      <c r="Y13" s="257" t="s">
        <v>26</v>
      </c>
      <c r="Z13" s="161" t="s">
        <v>165</v>
      </c>
      <c r="AA13" s="257" t="s">
        <v>527</v>
      </c>
      <c r="AB13" s="257" t="s">
        <v>80</v>
      </c>
      <c r="AC13" s="312" t="s">
        <v>211</v>
      </c>
      <c r="AD13" s="150" t="s">
        <v>611</v>
      </c>
    </row>
    <row r="14" spans="1:30" ht="119.4" customHeight="1" thickBot="1">
      <c r="A14" s="242" t="s">
        <v>42</v>
      </c>
      <c r="B14" s="162" t="s">
        <v>291</v>
      </c>
      <c r="C14" s="309" t="s">
        <v>153</v>
      </c>
      <c r="D14" s="310" t="s">
        <v>292</v>
      </c>
      <c r="E14" s="311">
        <v>44621</v>
      </c>
      <c r="F14" s="326"/>
      <c r="G14" s="327"/>
      <c r="H14" s="336" t="s">
        <v>69</v>
      </c>
      <c r="I14" s="263"/>
      <c r="J14" s="260"/>
      <c r="K14" s="268"/>
      <c r="L14" s="261"/>
      <c r="M14" s="245"/>
      <c r="N14" s="262"/>
      <c r="O14" s="260"/>
      <c r="P14" s="269"/>
      <c r="Q14" s="270"/>
      <c r="R14" s="245"/>
      <c r="S14" s="262"/>
      <c r="T14" s="260"/>
      <c r="U14" s="270"/>
      <c r="V14" s="245"/>
      <c r="W14" s="262"/>
      <c r="X14" s="302">
        <v>4</v>
      </c>
      <c r="Y14" s="257" t="s">
        <v>27</v>
      </c>
      <c r="Z14" s="161" t="s">
        <v>583</v>
      </c>
      <c r="AA14" s="257" t="s">
        <v>527</v>
      </c>
      <c r="AB14" s="257" t="s">
        <v>80</v>
      </c>
      <c r="AC14" s="312" t="s">
        <v>212</v>
      </c>
      <c r="AD14" s="150" t="s">
        <v>612</v>
      </c>
    </row>
    <row r="15" spans="1:30" ht="98.1" customHeight="1" thickBot="1">
      <c r="A15" s="242" t="s">
        <v>42</v>
      </c>
      <c r="B15" s="162" t="s">
        <v>293</v>
      </c>
      <c r="C15" s="309" t="s">
        <v>152</v>
      </c>
      <c r="D15" s="310" t="s">
        <v>294</v>
      </c>
      <c r="E15" s="311">
        <v>44440</v>
      </c>
      <c r="F15" s="285" t="s">
        <v>785</v>
      </c>
      <c r="G15" s="327"/>
      <c r="H15" s="336" t="s">
        <v>65</v>
      </c>
      <c r="I15" s="293"/>
      <c r="J15" s="271"/>
      <c r="K15" s="268"/>
      <c r="L15" s="272"/>
      <c r="M15" s="245"/>
      <c r="N15" s="273"/>
      <c r="O15" s="271"/>
      <c r="P15" s="269"/>
      <c r="Q15" s="270"/>
      <c r="R15" s="254"/>
      <c r="S15" s="262"/>
      <c r="T15" s="271"/>
      <c r="U15" s="270"/>
      <c r="V15" s="245"/>
      <c r="W15" s="262"/>
      <c r="X15" s="302">
        <v>2</v>
      </c>
      <c r="Y15" s="257" t="s">
        <v>26</v>
      </c>
      <c r="Z15" s="161" t="s">
        <v>583</v>
      </c>
      <c r="AA15" s="257" t="s">
        <v>527</v>
      </c>
      <c r="AB15" s="257" t="s">
        <v>80</v>
      </c>
      <c r="AC15" s="312" t="s">
        <v>213</v>
      </c>
      <c r="AD15" s="150" t="s">
        <v>613</v>
      </c>
    </row>
    <row r="16" spans="1:30" ht="98.1" customHeight="1" thickBot="1">
      <c r="A16" s="242" t="s">
        <v>39</v>
      </c>
      <c r="B16" s="162" t="s">
        <v>295</v>
      </c>
      <c r="C16" s="309" t="s">
        <v>296</v>
      </c>
      <c r="D16" s="310" t="s">
        <v>297</v>
      </c>
      <c r="E16" s="311">
        <v>44531</v>
      </c>
      <c r="F16" s="285"/>
      <c r="G16" s="327"/>
      <c r="H16" s="336" t="s">
        <v>69</v>
      </c>
      <c r="I16" s="293"/>
      <c r="J16" s="266"/>
      <c r="K16" s="249"/>
      <c r="L16" s="249"/>
      <c r="M16" s="245"/>
      <c r="N16" s="273"/>
      <c r="O16" s="266"/>
      <c r="P16" s="271"/>
      <c r="Q16" s="272"/>
      <c r="R16" s="254"/>
      <c r="S16" s="273"/>
      <c r="T16" s="271"/>
      <c r="U16" s="272"/>
      <c r="V16" s="245"/>
      <c r="W16" s="273"/>
      <c r="X16" s="302">
        <v>3</v>
      </c>
      <c r="Y16" s="257" t="s">
        <v>26</v>
      </c>
      <c r="Z16" s="161" t="s">
        <v>38</v>
      </c>
      <c r="AA16" s="257" t="s">
        <v>527</v>
      </c>
      <c r="AB16" s="257" t="s">
        <v>80</v>
      </c>
      <c r="AC16" s="312" t="s">
        <v>214</v>
      </c>
      <c r="AD16" s="150" t="s">
        <v>614</v>
      </c>
    </row>
    <row r="17" spans="1:30" ht="98.1" customHeight="1" thickBot="1">
      <c r="A17" s="242" t="s">
        <v>39</v>
      </c>
      <c r="B17" s="162" t="s">
        <v>298</v>
      </c>
      <c r="C17" s="309" t="s">
        <v>299</v>
      </c>
      <c r="D17" s="310" t="s">
        <v>300</v>
      </c>
      <c r="E17" s="311">
        <v>44621</v>
      </c>
      <c r="F17" s="326" t="s">
        <v>773</v>
      </c>
      <c r="G17" s="327"/>
      <c r="H17" s="336" t="s">
        <v>65</v>
      </c>
      <c r="I17" s="263"/>
      <c r="J17" s="261"/>
      <c r="K17" s="260"/>
      <c r="L17" s="261"/>
      <c r="M17" s="245"/>
      <c r="N17" s="262"/>
      <c r="O17" s="274"/>
      <c r="P17" s="260"/>
      <c r="Q17" s="261"/>
      <c r="R17" s="245"/>
      <c r="S17" s="262"/>
      <c r="T17" s="274"/>
      <c r="U17" s="261"/>
      <c r="V17" s="245"/>
      <c r="W17" s="262"/>
      <c r="X17" s="304">
        <v>4</v>
      </c>
      <c r="Y17" s="257" t="s">
        <v>26</v>
      </c>
      <c r="Z17" s="161" t="s">
        <v>38</v>
      </c>
      <c r="AA17" s="257" t="s">
        <v>527</v>
      </c>
      <c r="AB17" s="257" t="s">
        <v>80</v>
      </c>
      <c r="AC17" s="312" t="s">
        <v>215</v>
      </c>
      <c r="AD17" s="150" t="s">
        <v>615</v>
      </c>
    </row>
    <row r="18" spans="1:30" ht="98.1" customHeight="1" thickBot="1">
      <c r="A18" s="242" t="s">
        <v>39</v>
      </c>
      <c r="B18" s="162" t="s">
        <v>301</v>
      </c>
      <c r="C18" s="313" t="s">
        <v>299</v>
      </c>
      <c r="D18" s="310" t="s">
        <v>302</v>
      </c>
      <c r="E18" s="314">
        <v>44621</v>
      </c>
      <c r="F18" s="326" t="s">
        <v>772</v>
      </c>
      <c r="G18" s="327"/>
      <c r="H18" s="336" t="s">
        <v>65</v>
      </c>
      <c r="I18" s="263"/>
      <c r="J18" s="261"/>
      <c r="K18" s="260"/>
      <c r="L18" s="261"/>
      <c r="M18" s="245"/>
      <c r="N18" s="262"/>
      <c r="O18" s="260"/>
      <c r="P18" s="260"/>
      <c r="Q18" s="261"/>
      <c r="R18" s="245"/>
      <c r="S18" s="262"/>
      <c r="T18" s="260"/>
      <c r="U18" s="261"/>
      <c r="V18" s="245"/>
      <c r="W18" s="262"/>
      <c r="X18" s="304">
        <v>4</v>
      </c>
      <c r="Y18" s="257" t="s">
        <v>26</v>
      </c>
      <c r="Z18" s="161" t="s">
        <v>38</v>
      </c>
      <c r="AA18" s="257" t="s">
        <v>527</v>
      </c>
      <c r="AB18" s="257" t="s">
        <v>80</v>
      </c>
      <c r="AC18" s="312" t="s">
        <v>216</v>
      </c>
      <c r="AD18" s="150" t="s">
        <v>616</v>
      </c>
    </row>
    <row r="19" spans="1:30" ht="98.1" customHeight="1" thickBot="1">
      <c r="A19" s="242" t="s">
        <v>42</v>
      </c>
      <c r="B19" s="162" t="s">
        <v>303</v>
      </c>
      <c r="C19" s="313" t="s">
        <v>304</v>
      </c>
      <c r="D19" s="310" t="s">
        <v>305</v>
      </c>
      <c r="E19" s="311">
        <v>44531</v>
      </c>
      <c r="F19" s="285" t="s">
        <v>780</v>
      </c>
      <c r="G19" s="327"/>
      <c r="H19" s="336" t="s">
        <v>65</v>
      </c>
      <c r="I19" s="293"/>
      <c r="J19" s="261"/>
      <c r="K19" s="271"/>
      <c r="L19" s="272"/>
      <c r="M19" s="245"/>
      <c r="N19" s="273"/>
      <c r="O19" s="272"/>
      <c r="P19" s="271"/>
      <c r="Q19" s="272"/>
      <c r="R19" s="254"/>
      <c r="S19" s="273"/>
      <c r="T19" s="272"/>
      <c r="U19" s="272"/>
      <c r="V19" s="245"/>
      <c r="W19" s="273"/>
      <c r="X19" s="302">
        <v>3</v>
      </c>
      <c r="Y19" s="257" t="s">
        <v>26</v>
      </c>
      <c r="Z19" s="161" t="s">
        <v>583</v>
      </c>
      <c r="AA19" s="257" t="s">
        <v>527</v>
      </c>
      <c r="AB19" s="257" t="s">
        <v>80</v>
      </c>
      <c r="AC19" s="312" t="s">
        <v>217</v>
      </c>
      <c r="AD19" s="150" t="s">
        <v>617</v>
      </c>
    </row>
    <row r="20" spans="1:30" ht="98.1" customHeight="1" thickBot="1">
      <c r="A20" s="242" t="s">
        <v>40</v>
      </c>
      <c r="B20" s="162" t="s">
        <v>306</v>
      </c>
      <c r="C20" s="313" t="s">
        <v>4</v>
      </c>
      <c r="D20" s="310" t="s">
        <v>5</v>
      </c>
      <c r="E20" s="314">
        <v>44621</v>
      </c>
      <c r="F20" s="326" t="s">
        <v>763</v>
      </c>
      <c r="G20" s="327" t="s">
        <v>126</v>
      </c>
      <c r="H20" s="336" t="s">
        <v>65</v>
      </c>
      <c r="I20" s="263"/>
      <c r="J20" s="261"/>
      <c r="K20" s="260"/>
      <c r="L20" s="261"/>
      <c r="M20" s="245"/>
      <c r="N20" s="275"/>
      <c r="O20" s="274"/>
      <c r="P20" s="260"/>
      <c r="Q20" s="261"/>
      <c r="R20" s="245"/>
      <c r="S20" s="262"/>
      <c r="T20" s="274"/>
      <c r="U20" s="261"/>
      <c r="V20" s="245"/>
      <c r="W20" s="262"/>
      <c r="X20" s="302">
        <v>4</v>
      </c>
      <c r="Y20" s="257" t="s">
        <v>26</v>
      </c>
      <c r="Z20" s="161" t="s">
        <v>164</v>
      </c>
      <c r="AA20" s="257" t="s">
        <v>527</v>
      </c>
      <c r="AB20" s="257" t="s">
        <v>80</v>
      </c>
      <c r="AC20" s="312" t="s">
        <v>529</v>
      </c>
      <c r="AD20" s="150" t="s">
        <v>618</v>
      </c>
    </row>
    <row r="21" spans="1:30" ht="98.1" customHeight="1" thickBot="1">
      <c r="A21" s="242" t="s">
        <v>40</v>
      </c>
      <c r="B21" s="162" t="s">
        <v>307</v>
      </c>
      <c r="C21" s="309" t="s">
        <v>308</v>
      </c>
      <c r="D21" s="310" t="s">
        <v>2</v>
      </c>
      <c r="E21" s="314">
        <v>44593</v>
      </c>
      <c r="F21" s="326"/>
      <c r="G21" s="327"/>
      <c r="H21" s="336" t="s">
        <v>69</v>
      </c>
      <c r="I21" s="263"/>
      <c r="J21" s="261"/>
      <c r="K21" s="260"/>
      <c r="L21" s="261"/>
      <c r="M21" s="245"/>
      <c r="N21" s="262"/>
      <c r="O21" s="260"/>
      <c r="P21" s="260"/>
      <c r="Q21" s="261"/>
      <c r="R21" s="245"/>
      <c r="S21" s="262"/>
      <c r="T21" s="260"/>
      <c r="U21" s="261"/>
      <c r="V21" s="245"/>
      <c r="W21" s="262"/>
      <c r="X21" s="303">
        <v>4</v>
      </c>
      <c r="Y21" s="257" t="s">
        <v>26</v>
      </c>
      <c r="Z21" s="161" t="s">
        <v>164</v>
      </c>
      <c r="AA21" s="257" t="s">
        <v>527</v>
      </c>
      <c r="AB21" s="257" t="s">
        <v>80</v>
      </c>
      <c r="AC21" s="312" t="s">
        <v>167</v>
      </c>
      <c r="AD21" s="150" t="s">
        <v>619</v>
      </c>
    </row>
    <row r="22" spans="1:30" ht="98.1" customHeight="1" thickBot="1">
      <c r="A22" s="242" t="s">
        <v>40</v>
      </c>
      <c r="B22" s="162" t="s">
        <v>309</v>
      </c>
      <c r="C22" s="309" t="s">
        <v>3</v>
      </c>
      <c r="D22" s="310" t="s">
        <v>151</v>
      </c>
      <c r="E22" s="314" t="s">
        <v>310</v>
      </c>
      <c r="F22" s="326" t="s">
        <v>764</v>
      </c>
      <c r="G22" s="327" t="s">
        <v>126</v>
      </c>
      <c r="H22" s="336" t="s">
        <v>65</v>
      </c>
      <c r="I22" s="263"/>
      <c r="J22" s="259"/>
      <c r="K22" s="259"/>
      <c r="L22" s="243"/>
      <c r="M22" s="245"/>
      <c r="N22" s="244"/>
      <c r="O22" s="259"/>
      <c r="P22" s="259"/>
      <c r="Q22" s="243"/>
      <c r="R22" s="253"/>
      <c r="S22" s="244"/>
      <c r="T22" s="259"/>
      <c r="U22" s="243"/>
      <c r="V22" s="245"/>
      <c r="W22" s="244"/>
      <c r="X22" s="303"/>
      <c r="Y22" s="257" t="s">
        <v>26</v>
      </c>
      <c r="Z22" s="161" t="s">
        <v>164</v>
      </c>
      <c r="AA22" s="257" t="s">
        <v>527</v>
      </c>
      <c r="AB22" s="257" t="s">
        <v>80</v>
      </c>
      <c r="AC22" s="312" t="s">
        <v>168</v>
      </c>
      <c r="AD22" s="150" t="s">
        <v>620</v>
      </c>
    </row>
    <row r="23" spans="1:30" ht="98.1" customHeight="1" thickBot="1">
      <c r="A23" s="242" t="s">
        <v>40</v>
      </c>
      <c r="B23" s="162" t="s">
        <v>311</v>
      </c>
      <c r="C23" s="309" t="s">
        <v>148</v>
      </c>
      <c r="D23" s="310" t="s">
        <v>149</v>
      </c>
      <c r="E23" s="314">
        <v>44621</v>
      </c>
      <c r="F23" s="328"/>
      <c r="G23" s="327"/>
      <c r="H23" s="336" t="s">
        <v>69</v>
      </c>
      <c r="I23" s="263"/>
      <c r="J23" s="349"/>
      <c r="K23" s="259"/>
      <c r="L23" s="243"/>
      <c r="M23" s="245"/>
      <c r="N23" s="244"/>
      <c r="O23" s="259"/>
      <c r="P23" s="259"/>
      <c r="Q23" s="243"/>
      <c r="R23" s="245"/>
      <c r="S23" s="244"/>
      <c r="T23" s="259"/>
      <c r="U23" s="243"/>
      <c r="V23" s="245"/>
      <c r="W23" s="244"/>
      <c r="X23" s="303">
        <v>4</v>
      </c>
      <c r="Y23" s="257" t="s">
        <v>26</v>
      </c>
      <c r="Z23" s="161" t="s">
        <v>164</v>
      </c>
      <c r="AA23" s="257" t="s">
        <v>527</v>
      </c>
      <c r="AB23" s="257" t="s">
        <v>80</v>
      </c>
      <c r="AC23" s="312" t="s">
        <v>169</v>
      </c>
      <c r="AD23" s="150" t="s">
        <v>621</v>
      </c>
    </row>
    <row r="24" spans="1:30" ht="98.1" customHeight="1" thickBot="1">
      <c r="A24" s="242" t="s">
        <v>40</v>
      </c>
      <c r="B24" s="162" t="s">
        <v>312</v>
      </c>
      <c r="C24" s="309" t="s">
        <v>148</v>
      </c>
      <c r="D24" s="310" t="s">
        <v>150</v>
      </c>
      <c r="E24" s="311">
        <v>44621</v>
      </c>
      <c r="F24" s="328"/>
      <c r="G24" s="327"/>
      <c r="H24" s="336" t="s">
        <v>69</v>
      </c>
      <c r="I24" s="329"/>
      <c r="J24" s="259"/>
      <c r="K24" s="259"/>
      <c r="L24" s="243"/>
      <c r="M24" s="245"/>
      <c r="N24" s="244"/>
      <c r="O24" s="259"/>
      <c r="P24" s="259"/>
      <c r="Q24" s="243"/>
      <c r="R24" s="245"/>
      <c r="S24" s="244"/>
      <c r="T24" s="259"/>
      <c r="U24" s="243"/>
      <c r="V24" s="245"/>
      <c r="W24" s="244"/>
      <c r="X24" s="303">
        <v>4</v>
      </c>
      <c r="Y24" s="257" t="s">
        <v>26</v>
      </c>
      <c r="Z24" s="161" t="s">
        <v>164</v>
      </c>
      <c r="AA24" s="257" t="s">
        <v>527</v>
      </c>
      <c r="AB24" s="257" t="s">
        <v>80</v>
      </c>
      <c r="AC24" s="312" t="s">
        <v>170</v>
      </c>
      <c r="AD24" s="150" t="s">
        <v>622</v>
      </c>
    </row>
    <row r="25" spans="1:30" ht="98.1" customHeight="1" thickBot="1">
      <c r="A25" s="242" t="s">
        <v>41</v>
      </c>
      <c r="B25" s="162" t="s">
        <v>313</v>
      </c>
      <c r="C25" s="309" t="s">
        <v>6</v>
      </c>
      <c r="D25" s="310" t="s">
        <v>742</v>
      </c>
      <c r="E25" s="311"/>
      <c r="F25" s="328" t="s">
        <v>799</v>
      </c>
      <c r="G25" s="327">
        <v>2.7</v>
      </c>
      <c r="H25" s="336" t="s">
        <v>65</v>
      </c>
      <c r="I25" s="263"/>
      <c r="J25" s="259"/>
      <c r="K25" s="259"/>
      <c r="L25" s="243"/>
      <c r="M25" s="245"/>
      <c r="N25" s="244"/>
      <c r="O25" s="259"/>
      <c r="P25" s="259"/>
      <c r="Q25" s="243"/>
      <c r="R25" s="245"/>
      <c r="S25" s="244"/>
      <c r="T25" s="259"/>
      <c r="U25" s="243"/>
      <c r="V25" s="245"/>
      <c r="W25" s="244"/>
      <c r="X25" s="302"/>
      <c r="Y25" s="257" t="s">
        <v>27</v>
      </c>
      <c r="Z25" s="161" t="s">
        <v>585</v>
      </c>
      <c r="AA25" s="257" t="s">
        <v>527</v>
      </c>
      <c r="AB25" s="257" t="s">
        <v>80</v>
      </c>
      <c r="AC25" s="312" t="s">
        <v>171</v>
      </c>
      <c r="AD25" s="150" t="s">
        <v>623</v>
      </c>
    </row>
    <row r="26" spans="1:30" ht="98.1" customHeight="1" thickBot="1">
      <c r="A26" s="242" t="s">
        <v>41</v>
      </c>
      <c r="B26" s="162" t="s">
        <v>314</v>
      </c>
      <c r="C26" s="309" t="s">
        <v>315</v>
      </c>
      <c r="D26" s="310" t="s">
        <v>316</v>
      </c>
      <c r="E26" s="311"/>
      <c r="F26" s="326" t="s">
        <v>770</v>
      </c>
      <c r="G26" s="327" t="s">
        <v>771</v>
      </c>
      <c r="H26" s="336" t="s">
        <v>65</v>
      </c>
      <c r="I26" s="263"/>
      <c r="J26" s="259"/>
      <c r="K26" s="252"/>
      <c r="L26" s="243"/>
      <c r="M26" s="245"/>
      <c r="N26" s="244"/>
      <c r="O26" s="259"/>
      <c r="P26" s="259"/>
      <c r="Q26" s="243"/>
      <c r="R26" s="253"/>
      <c r="S26" s="244"/>
      <c r="T26" s="259"/>
      <c r="U26" s="243"/>
      <c r="V26" s="245"/>
      <c r="W26" s="244"/>
      <c r="X26" s="303"/>
      <c r="Y26" s="257" t="s">
        <v>27</v>
      </c>
      <c r="Z26" s="161" t="s">
        <v>585</v>
      </c>
      <c r="AA26" s="257" t="s">
        <v>527</v>
      </c>
      <c r="AB26" s="257" t="s">
        <v>80</v>
      </c>
      <c r="AC26" s="312" t="s">
        <v>172</v>
      </c>
      <c r="AD26" s="150" t="s">
        <v>624</v>
      </c>
    </row>
    <row r="27" spans="1:30" ht="98.1" customHeight="1" thickBot="1">
      <c r="A27" s="242" t="s">
        <v>42</v>
      </c>
      <c r="B27" s="162" t="s">
        <v>317</v>
      </c>
      <c r="C27" s="309" t="s">
        <v>155</v>
      </c>
      <c r="D27" s="310" t="s">
        <v>156</v>
      </c>
      <c r="E27" s="311">
        <v>44621</v>
      </c>
      <c r="F27" s="326" t="s">
        <v>781</v>
      </c>
      <c r="G27" s="327"/>
      <c r="H27" s="336" t="s">
        <v>65</v>
      </c>
      <c r="I27" s="329"/>
      <c r="J27" s="259"/>
      <c r="K27" s="259"/>
      <c r="L27" s="243"/>
      <c r="M27" s="245"/>
      <c r="N27" s="244"/>
      <c r="O27" s="260"/>
      <c r="P27" s="259"/>
      <c r="Q27" s="243"/>
      <c r="R27" s="253"/>
      <c r="S27" s="244"/>
      <c r="T27" s="259"/>
      <c r="U27" s="243"/>
      <c r="V27" s="245"/>
      <c r="W27" s="244"/>
      <c r="X27" s="303">
        <v>4</v>
      </c>
      <c r="Y27" s="257" t="s">
        <v>28</v>
      </c>
      <c r="Z27" s="161" t="s">
        <v>583</v>
      </c>
      <c r="AA27" s="257" t="s">
        <v>527</v>
      </c>
      <c r="AB27" s="257" t="s">
        <v>247</v>
      </c>
      <c r="AC27" s="312" t="s">
        <v>530</v>
      </c>
      <c r="AD27" s="150" t="s">
        <v>625</v>
      </c>
    </row>
    <row r="28" spans="1:30" ht="98.1" customHeight="1" thickBot="1">
      <c r="A28" s="242" t="s">
        <v>42</v>
      </c>
      <c r="B28" s="162" t="s">
        <v>318</v>
      </c>
      <c r="C28" s="309" t="s">
        <v>157</v>
      </c>
      <c r="D28" s="310" t="s">
        <v>319</v>
      </c>
      <c r="E28" s="311">
        <v>44409</v>
      </c>
      <c r="F28" s="326" t="s">
        <v>782</v>
      </c>
      <c r="G28" s="327"/>
      <c r="H28" s="336" t="s">
        <v>66</v>
      </c>
      <c r="I28" s="263" t="s">
        <v>831</v>
      </c>
      <c r="J28" s="243"/>
      <c r="K28" s="259"/>
      <c r="L28" s="243"/>
      <c r="M28" s="245"/>
      <c r="N28" s="244"/>
      <c r="O28" s="259"/>
      <c r="P28" s="276"/>
      <c r="Q28" s="250"/>
      <c r="R28" s="253"/>
      <c r="S28" s="244"/>
      <c r="T28" s="259"/>
      <c r="U28" s="243"/>
      <c r="V28" s="245"/>
      <c r="W28" s="244"/>
      <c r="X28" s="302">
        <v>2</v>
      </c>
      <c r="Y28" s="257" t="s">
        <v>28</v>
      </c>
      <c r="Z28" s="161" t="s">
        <v>583</v>
      </c>
      <c r="AA28" s="257" t="s">
        <v>527</v>
      </c>
      <c r="AB28" s="257" t="s">
        <v>247</v>
      </c>
      <c r="AC28" s="312" t="s">
        <v>531</v>
      </c>
      <c r="AD28" s="150" t="s">
        <v>626</v>
      </c>
    </row>
    <row r="29" spans="1:30" ht="98.1" customHeight="1" thickBot="1">
      <c r="A29" s="242" t="s">
        <v>732</v>
      </c>
      <c r="B29" s="162" t="s">
        <v>320</v>
      </c>
      <c r="C29" s="309" t="s">
        <v>159</v>
      </c>
      <c r="D29" s="310" t="s">
        <v>321</v>
      </c>
      <c r="E29" s="311">
        <v>44621</v>
      </c>
      <c r="F29" s="326" t="s">
        <v>809</v>
      </c>
      <c r="G29" s="327"/>
      <c r="H29" s="336" t="s">
        <v>65</v>
      </c>
      <c r="I29" s="329"/>
      <c r="J29" s="243"/>
      <c r="K29" s="259"/>
      <c r="L29" s="243"/>
      <c r="M29" s="245"/>
      <c r="N29" s="244"/>
      <c r="O29" s="259"/>
      <c r="P29" s="259"/>
      <c r="Q29" s="243"/>
      <c r="R29" s="253"/>
      <c r="S29" s="244"/>
      <c r="T29" s="259"/>
      <c r="U29" s="243"/>
      <c r="V29" s="245"/>
      <c r="W29" s="244"/>
      <c r="X29" s="303">
        <v>4</v>
      </c>
      <c r="Y29" s="257" t="s">
        <v>28</v>
      </c>
      <c r="Z29" s="161" t="s">
        <v>738</v>
      </c>
      <c r="AA29" s="257" t="s">
        <v>527</v>
      </c>
      <c r="AB29" s="257" t="s">
        <v>247</v>
      </c>
      <c r="AC29" s="312" t="s">
        <v>532</v>
      </c>
      <c r="AD29" s="150" t="s">
        <v>627</v>
      </c>
    </row>
    <row r="30" spans="1:30" ht="98.1" customHeight="1" thickBot="1">
      <c r="A30" s="242" t="s">
        <v>732</v>
      </c>
      <c r="B30" s="162" t="s">
        <v>322</v>
      </c>
      <c r="C30" s="309" t="s">
        <v>323</v>
      </c>
      <c r="D30" s="310" t="s">
        <v>324</v>
      </c>
      <c r="E30" s="311">
        <v>44501</v>
      </c>
      <c r="F30" s="326"/>
      <c r="G30" s="327"/>
      <c r="H30" s="336" t="s">
        <v>69</v>
      </c>
      <c r="I30" s="263"/>
      <c r="J30" s="260"/>
      <c r="K30" s="260"/>
      <c r="L30" s="261"/>
      <c r="M30" s="245"/>
      <c r="N30" s="262"/>
      <c r="O30" s="260"/>
      <c r="P30" s="260"/>
      <c r="Q30" s="261"/>
      <c r="R30" s="245"/>
      <c r="S30" s="262"/>
      <c r="T30" s="260"/>
      <c r="U30" s="261"/>
      <c r="V30" s="245"/>
      <c r="W30" s="262"/>
      <c r="X30" s="303">
        <v>3</v>
      </c>
      <c r="Y30" s="257" t="s">
        <v>28</v>
      </c>
      <c r="Z30" s="161" t="s">
        <v>738</v>
      </c>
      <c r="AA30" s="257" t="s">
        <v>527</v>
      </c>
      <c r="AB30" s="257" t="s">
        <v>247</v>
      </c>
      <c r="AC30" s="312" t="s">
        <v>533</v>
      </c>
      <c r="AD30" s="150" t="s">
        <v>628</v>
      </c>
    </row>
    <row r="31" spans="1:30" ht="142.35" customHeight="1" thickBot="1">
      <c r="A31" s="242" t="s">
        <v>45</v>
      </c>
      <c r="B31" s="162" t="s">
        <v>325</v>
      </c>
      <c r="C31" s="309" t="s">
        <v>158</v>
      </c>
      <c r="D31" s="310" t="s">
        <v>326</v>
      </c>
      <c r="E31" s="311">
        <v>44621</v>
      </c>
      <c r="F31" s="326" t="s">
        <v>766</v>
      </c>
      <c r="G31" s="327"/>
      <c r="H31" s="336" t="s">
        <v>65</v>
      </c>
      <c r="I31" s="263"/>
      <c r="J31" s="260"/>
      <c r="K31" s="260"/>
      <c r="L31" s="261"/>
      <c r="M31" s="245"/>
      <c r="N31" s="262"/>
      <c r="O31" s="260"/>
      <c r="P31" s="260"/>
      <c r="Q31" s="261"/>
      <c r="R31" s="245"/>
      <c r="S31" s="262"/>
      <c r="T31" s="260"/>
      <c r="U31" s="261"/>
      <c r="V31" s="245"/>
      <c r="W31" s="262"/>
      <c r="X31" s="303">
        <v>4</v>
      </c>
      <c r="Y31" s="257" t="s">
        <v>28</v>
      </c>
      <c r="Z31" s="161" t="s">
        <v>44</v>
      </c>
      <c r="AA31" s="257" t="s">
        <v>527</v>
      </c>
      <c r="AB31" s="257" t="s">
        <v>247</v>
      </c>
      <c r="AC31" s="312" t="s">
        <v>534</v>
      </c>
      <c r="AD31" s="150" t="s">
        <v>629</v>
      </c>
    </row>
    <row r="32" spans="1:30" ht="75.599999999999994" thickBot="1">
      <c r="A32" s="242" t="s">
        <v>45</v>
      </c>
      <c r="B32" s="162" t="s">
        <v>327</v>
      </c>
      <c r="C32" s="309" t="s">
        <v>158</v>
      </c>
      <c r="D32" s="310" t="s">
        <v>328</v>
      </c>
      <c r="E32" s="311">
        <v>44621</v>
      </c>
      <c r="F32" s="326" t="s">
        <v>767</v>
      </c>
      <c r="G32" s="327"/>
      <c r="H32" s="336" t="s">
        <v>65</v>
      </c>
      <c r="I32" s="263"/>
      <c r="J32" s="260"/>
      <c r="K32" s="260"/>
      <c r="L32" s="261"/>
      <c r="M32" s="245"/>
      <c r="N32" s="262"/>
      <c r="O32" s="260"/>
      <c r="P32" s="260"/>
      <c r="Q32" s="261"/>
      <c r="R32" s="245"/>
      <c r="S32" s="262"/>
      <c r="T32" s="260"/>
      <c r="U32" s="261"/>
      <c r="V32" s="245"/>
      <c r="W32" s="262"/>
      <c r="X32" s="302">
        <v>4</v>
      </c>
      <c r="Y32" s="257" t="s">
        <v>28</v>
      </c>
      <c r="Z32" s="161" t="s">
        <v>44</v>
      </c>
      <c r="AA32" s="257" t="s">
        <v>527</v>
      </c>
      <c r="AB32" s="257" t="s">
        <v>247</v>
      </c>
      <c r="AC32" s="312" t="s">
        <v>535</v>
      </c>
      <c r="AD32" s="150" t="s">
        <v>630</v>
      </c>
    </row>
    <row r="33" spans="1:30" ht="98.1" customHeight="1" thickBot="1">
      <c r="A33" s="242" t="s">
        <v>45</v>
      </c>
      <c r="B33" s="162" t="s">
        <v>329</v>
      </c>
      <c r="C33" s="309" t="s">
        <v>158</v>
      </c>
      <c r="D33" s="310" t="s">
        <v>330</v>
      </c>
      <c r="E33" s="311">
        <v>44621</v>
      </c>
      <c r="F33" s="326" t="s">
        <v>768</v>
      </c>
      <c r="G33" s="327"/>
      <c r="H33" s="336" t="s">
        <v>65</v>
      </c>
      <c r="I33" s="263"/>
      <c r="J33" s="259"/>
      <c r="K33" s="259"/>
      <c r="L33" s="243"/>
      <c r="M33" s="245"/>
      <c r="N33" s="244"/>
      <c r="O33" s="259"/>
      <c r="P33" s="259"/>
      <c r="Q33" s="243"/>
      <c r="R33" s="253"/>
      <c r="S33" s="244"/>
      <c r="T33" s="259"/>
      <c r="U33" s="243"/>
      <c r="V33" s="245"/>
      <c r="W33" s="244"/>
      <c r="X33" s="303">
        <v>4</v>
      </c>
      <c r="Y33" s="257" t="s">
        <v>28</v>
      </c>
      <c r="Z33" s="161" t="s">
        <v>44</v>
      </c>
      <c r="AA33" s="257" t="s">
        <v>527</v>
      </c>
      <c r="AB33" s="257" t="s">
        <v>247</v>
      </c>
      <c r="AC33" s="312" t="s">
        <v>536</v>
      </c>
      <c r="AD33" s="150" t="s">
        <v>631</v>
      </c>
    </row>
    <row r="34" spans="1:30" ht="31.8" thickBot="1">
      <c r="A34" s="242" t="s">
        <v>246</v>
      </c>
      <c r="B34" s="162" t="s">
        <v>331</v>
      </c>
      <c r="C34" s="309" t="s">
        <v>15</v>
      </c>
      <c r="D34" s="310" t="s">
        <v>332</v>
      </c>
      <c r="E34" s="311">
        <v>44348</v>
      </c>
      <c r="F34" s="343" t="s">
        <v>845</v>
      </c>
      <c r="G34" s="327"/>
      <c r="H34" s="336" t="s">
        <v>56</v>
      </c>
      <c r="I34" s="263"/>
      <c r="J34" s="260"/>
      <c r="K34" s="260"/>
      <c r="L34" s="261"/>
      <c r="M34" s="245"/>
      <c r="N34" s="262"/>
      <c r="O34" s="260"/>
      <c r="P34" s="260"/>
      <c r="Q34" s="261"/>
      <c r="R34" s="245"/>
      <c r="S34" s="262"/>
      <c r="T34" s="260"/>
      <c r="U34" s="261"/>
      <c r="V34" s="245"/>
      <c r="W34" s="262"/>
      <c r="X34" s="303">
        <v>1</v>
      </c>
      <c r="Y34" s="257" t="s">
        <v>26</v>
      </c>
      <c r="Z34" s="161" t="s">
        <v>24</v>
      </c>
      <c r="AA34" s="257" t="s">
        <v>527</v>
      </c>
      <c r="AB34" s="257" t="s">
        <v>77</v>
      </c>
      <c r="AC34" s="312" t="s">
        <v>231</v>
      </c>
      <c r="AD34" s="150" t="s">
        <v>632</v>
      </c>
    </row>
    <row r="35" spans="1:30" ht="98.1" customHeight="1" thickBot="1">
      <c r="A35" s="242" t="s">
        <v>246</v>
      </c>
      <c r="B35" s="162" t="s">
        <v>333</v>
      </c>
      <c r="C35" s="309" t="s">
        <v>15</v>
      </c>
      <c r="D35" s="310" t="s">
        <v>334</v>
      </c>
      <c r="E35" s="311">
        <v>44621</v>
      </c>
      <c r="F35" s="343" t="s">
        <v>846</v>
      </c>
      <c r="G35" s="327"/>
      <c r="H35" s="336" t="s">
        <v>65</v>
      </c>
      <c r="I35" s="263"/>
      <c r="J35" s="260"/>
      <c r="K35" s="260"/>
      <c r="L35" s="261"/>
      <c r="M35" s="245"/>
      <c r="N35" s="277"/>
      <c r="O35" s="260"/>
      <c r="P35" s="260"/>
      <c r="Q35" s="261"/>
      <c r="R35" s="245"/>
      <c r="S35" s="262"/>
      <c r="T35" s="260"/>
      <c r="U35" s="261"/>
      <c r="V35" s="245"/>
      <c r="W35" s="262"/>
      <c r="X35" s="303">
        <v>4</v>
      </c>
      <c r="Y35" s="257" t="s">
        <v>26</v>
      </c>
      <c r="Z35" s="161" t="s">
        <v>24</v>
      </c>
      <c r="AA35" s="257" t="s">
        <v>527</v>
      </c>
      <c r="AB35" s="257" t="s">
        <v>77</v>
      </c>
      <c r="AC35" s="312" t="s">
        <v>232</v>
      </c>
      <c r="AD35" s="150" t="s">
        <v>633</v>
      </c>
    </row>
    <row r="36" spans="1:30" ht="98.1" customHeight="1" thickBot="1">
      <c r="A36" s="242" t="s">
        <v>246</v>
      </c>
      <c r="B36" s="162" t="s">
        <v>335</v>
      </c>
      <c r="C36" s="309" t="s">
        <v>12</v>
      </c>
      <c r="D36" s="310" t="s">
        <v>13</v>
      </c>
      <c r="E36" s="311" t="s">
        <v>336</v>
      </c>
      <c r="F36" s="341" t="s">
        <v>847</v>
      </c>
      <c r="G36" s="327"/>
      <c r="H36" s="336" t="s">
        <v>65</v>
      </c>
      <c r="I36" s="293"/>
      <c r="J36" s="271"/>
      <c r="K36" s="271"/>
      <c r="L36" s="272"/>
      <c r="M36" s="245"/>
      <c r="N36" s="273"/>
      <c r="O36" s="271"/>
      <c r="P36" s="271"/>
      <c r="Q36" s="272"/>
      <c r="R36" s="254"/>
      <c r="S36" s="273"/>
      <c r="T36" s="271"/>
      <c r="U36" s="272"/>
      <c r="V36" s="245"/>
      <c r="W36" s="273"/>
      <c r="X36" s="302">
        <v>4</v>
      </c>
      <c r="Y36" s="257" t="s">
        <v>26</v>
      </c>
      <c r="Z36" s="161" t="s">
        <v>24</v>
      </c>
      <c r="AA36" s="257" t="s">
        <v>527</v>
      </c>
      <c r="AB36" s="257" t="s">
        <v>77</v>
      </c>
      <c r="AC36" s="312" t="s">
        <v>233</v>
      </c>
      <c r="AD36" s="150" t="s">
        <v>634</v>
      </c>
    </row>
    <row r="37" spans="1:30" ht="98.1" customHeight="1" thickBot="1">
      <c r="A37" s="242" t="s">
        <v>246</v>
      </c>
      <c r="B37" s="162" t="s">
        <v>337</v>
      </c>
      <c r="C37" s="309" t="s">
        <v>12</v>
      </c>
      <c r="D37" s="310" t="s">
        <v>160</v>
      </c>
      <c r="E37" s="311" t="s">
        <v>338</v>
      </c>
      <c r="F37" s="341" t="s">
        <v>821</v>
      </c>
      <c r="G37" s="327"/>
      <c r="H37" s="336" t="s">
        <v>65</v>
      </c>
      <c r="I37" s="293"/>
      <c r="J37" s="278"/>
      <c r="K37" s="278"/>
      <c r="L37" s="270"/>
      <c r="M37" s="245"/>
      <c r="N37" s="273"/>
      <c r="O37" s="278"/>
      <c r="P37" s="278"/>
      <c r="Q37" s="270"/>
      <c r="R37" s="254"/>
      <c r="S37" s="273"/>
      <c r="T37" s="278"/>
      <c r="U37" s="315"/>
      <c r="V37" s="245"/>
      <c r="W37" s="273"/>
      <c r="X37" s="302">
        <v>4</v>
      </c>
      <c r="Y37" s="257" t="s">
        <v>26</v>
      </c>
      <c r="Z37" s="161" t="s">
        <v>24</v>
      </c>
      <c r="AA37" s="257" t="s">
        <v>527</v>
      </c>
      <c r="AB37" s="257" t="s">
        <v>77</v>
      </c>
      <c r="AC37" s="312" t="s">
        <v>234</v>
      </c>
      <c r="AD37" s="150" t="s">
        <v>635</v>
      </c>
    </row>
    <row r="38" spans="1:30" ht="98.1" customHeight="1" thickBot="1">
      <c r="A38" s="242" t="s">
        <v>246</v>
      </c>
      <c r="B38" s="162" t="s">
        <v>339</v>
      </c>
      <c r="C38" s="309" t="s">
        <v>14</v>
      </c>
      <c r="D38" s="310" t="s">
        <v>161</v>
      </c>
      <c r="E38" s="316">
        <v>44531</v>
      </c>
      <c r="F38" s="330"/>
      <c r="G38" s="327"/>
      <c r="H38" s="336" t="s">
        <v>65</v>
      </c>
      <c r="I38" s="293"/>
      <c r="J38" s="278"/>
      <c r="K38" s="278"/>
      <c r="L38" s="270"/>
      <c r="M38" s="245"/>
      <c r="N38" s="273"/>
      <c r="O38" s="278"/>
      <c r="P38" s="278"/>
      <c r="Q38" s="270"/>
      <c r="R38" s="254"/>
      <c r="S38" s="273"/>
      <c r="T38" s="278"/>
      <c r="U38" s="315"/>
      <c r="V38" s="245"/>
      <c r="W38" s="273"/>
      <c r="X38" s="302">
        <v>3</v>
      </c>
      <c r="Y38" s="257" t="s">
        <v>26</v>
      </c>
      <c r="Z38" s="161" t="s">
        <v>24</v>
      </c>
      <c r="AA38" s="257" t="s">
        <v>527</v>
      </c>
      <c r="AB38" s="257" t="s">
        <v>77</v>
      </c>
      <c r="AC38" s="312" t="s">
        <v>235</v>
      </c>
      <c r="AD38" s="150" t="s">
        <v>636</v>
      </c>
    </row>
    <row r="39" spans="1:30" ht="98.1" customHeight="1" thickBot="1">
      <c r="A39" s="242" t="s">
        <v>246</v>
      </c>
      <c r="B39" s="162" t="s">
        <v>340</v>
      </c>
      <c r="C39" s="309" t="s">
        <v>341</v>
      </c>
      <c r="D39" s="310" t="s">
        <v>342</v>
      </c>
      <c r="E39" s="311">
        <v>44440</v>
      </c>
      <c r="F39" s="331"/>
      <c r="G39" s="327"/>
      <c r="H39" s="336" t="s">
        <v>65</v>
      </c>
      <c r="I39" s="293"/>
      <c r="J39" s="279"/>
      <c r="K39" s="279"/>
      <c r="L39" s="280"/>
      <c r="M39" s="245"/>
      <c r="N39" s="273"/>
      <c r="O39" s="279"/>
      <c r="P39" s="279"/>
      <c r="Q39" s="280"/>
      <c r="R39" s="254"/>
      <c r="S39" s="273"/>
      <c r="T39" s="269"/>
      <c r="U39" s="315"/>
      <c r="V39" s="245"/>
      <c r="W39" s="273"/>
      <c r="X39" s="302">
        <v>2</v>
      </c>
      <c r="Y39" s="257" t="s">
        <v>26</v>
      </c>
      <c r="Z39" s="161" t="s">
        <v>24</v>
      </c>
      <c r="AA39" s="257" t="s">
        <v>527</v>
      </c>
      <c r="AB39" s="257" t="s">
        <v>77</v>
      </c>
      <c r="AC39" s="312" t="s">
        <v>236</v>
      </c>
      <c r="AD39" s="150" t="s">
        <v>637</v>
      </c>
    </row>
    <row r="40" spans="1:30" ht="98.1" customHeight="1" thickBot="1">
      <c r="A40" s="242" t="s">
        <v>246</v>
      </c>
      <c r="B40" s="162" t="s">
        <v>343</v>
      </c>
      <c r="C40" s="309" t="s">
        <v>14</v>
      </c>
      <c r="D40" s="310" t="s">
        <v>162</v>
      </c>
      <c r="E40" s="311">
        <v>44470</v>
      </c>
      <c r="F40" s="331"/>
      <c r="G40" s="327"/>
      <c r="H40" s="336" t="s">
        <v>65</v>
      </c>
      <c r="I40" s="293"/>
      <c r="J40" s="279"/>
      <c r="K40" s="279"/>
      <c r="L40" s="280"/>
      <c r="M40" s="245"/>
      <c r="N40" s="273"/>
      <c r="O40" s="279"/>
      <c r="P40" s="279"/>
      <c r="Q40" s="280"/>
      <c r="R40" s="254"/>
      <c r="S40" s="273"/>
      <c r="T40" s="269"/>
      <c r="U40" s="315"/>
      <c r="V40" s="245"/>
      <c r="W40" s="273"/>
      <c r="X40" s="302">
        <v>3</v>
      </c>
      <c r="Y40" s="257" t="s">
        <v>26</v>
      </c>
      <c r="Z40" s="161" t="s">
        <v>24</v>
      </c>
      <c r="AA40" s="257" t="s">
        <v>527</v>
      </c>
      <c r="AB40" s="257" t="s">
        <v>77</v>
      </c>
      <c r="AC40" s="312" t="s">
        <v>237</v>
      </c>
      <c r="AD40" s="150" t="s">
        <v>638</v>
      </c>
    </row>
    <row r="41" spans="1:30" ht="98.1" customHeight="1" thickBot="1">
      <c r="A41" s="242" t="s">
        <v>246</v>
      </c>
      <c r="B41" s="162" t="s">
        <v>344</v>
      </c>
      <c r="C41" s="309" t="s">
        <v>141</v>
      </c>
      <c r="D41" s="310" t="s">
        <v>345</v>
      </c>
      <c r="E41" s="311">
        <v>44562</v>
      </c>
      <c r="F41" s="346"/>
      <c r="G41" s="327"/>
      <c r="H41" s="336" t="s">
        <v>65</v>
      </c>
      <c r="I41" s="293"/>
      <c r="J41" s="279"/>
      <c r="K41" s="278"/>
      <c r="L41" s="280"/>
      <c r="M41" s="245"/>
      <c r="N41" s="273"/>
      <c r="O41" s="279"/>
      <c r="P41" s="279"/>
      <c r="Q41" s="280"/>
      <c r="R41" s="254"/>
      <c r="S41" s="273"/>
      <c r="T41" s="271"/>
      <c r="U41" s="317"/>
      <c r="V41" s="245"/>
      <c r="W41" s="273"/>
      <c r="X41" s="302">
        <v>4</v>
      </c>
      <c r="Y41" s="257" t="s">
        <v>26</v>
      </c>
      <c r="Z41" s="161" t="s">
        <v>24</v>
      </c>
      <c r="AA41" s="257" t="s">
        <v>527</v>
      </c>
      <c r="AB41" s="257" t="s">
        <v>77</v>
      </c>
      <c r="AC41" s="312" t="s">
        <v>173</v>
      </c>
      <c r="AD41" s="150" t="s">
        <v>639</v>
      </c>
    </row>
    <row r="42" spans="1:30" ht="98.1" customHeight="1" thickBot="1">
      <c r="A42" s="242" t="s">
        <v>246</v>
      </c>
      <c r="B42" s="162" t="s">
        <v>346</v>
      </c>
      <c r="C42" s="309" t="s">
        <v>141</v>
      </c>
      <c r="D42" s="310" t="s">
        <v>347</v>
      </c>
      <c r="E42" s="311">
        <v>44409</v>
      </c>
      <c r="F42" s="341" t="s">
        <v>822</v>
      </c>
      <c r="G42" s="327"/>
      <c r="H42" s="336" t="s">
        <v>65</v>
      </c>
      <c r="I42" s="293"/>
      <c r="J42" s="269"/>
      <c r="K42" s="269"/>
      <c r="L42" s="270"/>
      <c r="M42" s="245"/>
      <c r="N42" s="273"/>
      <c r="O42" s="269"/>
      <c r="P42" s="269"/>
      <c r="Q42" s="270"/>
      <c r="R42" s="254"/>
      <c r="S42" s="273"/>
      <c r="T42" s="269"/>
      <c r="U42" s="270"/>
      <c r="V42" s="245"/>
      <c r="W42" s="273"/>
      <c r="X42" s="302">
        <v>2</v>
      </c>
      <c r="Y42" s="257" t="s">
        <v>26</v>
      </c>
      <c r="Z42" s="161" t="s">
        <v>24</v>
      </c>
      <c r="AA42" s="257" t="s">
        <v>527</v>
      </c>
      <c r="AB42" s="257" t="s">
        <v>77</v>
      </c>
      <c r="AC42" s="312" t="s">
        <v>174</v>
      </c>
      <c r="AD42" s="150" t="s">
        <v>640</v>
      </c>
    </row>
    <row r="43" spans="1:30" ht="98.1" customHeight="1" thickBot="1">
      <c r="A43" s="242" t="s">
        <v>246</v>
      </c>
      <c r="B43" s="162" t="s">
        <v>348</v>
      </c>
      <c r="C43" s="309" t="s">
        <v>141</v>
      </c>
      <c r="D43" s="310" t="s">
        <v>349</v>
      </c>
      <c r="E43" s="311">
        <v>44409</v>
      </c>
      <c r="F43" s="348" t="s">
        <v>822</v>
      </c>
      <c r="G43" s="327"/>
      <c r="H43" s="336" t="s">
        <v>65</v>
      </c>
      <c r="I43" s="334"/>
      <c r="J43" s="269"/>
      <c r="K43" s="269"/>
      <c r="L43" s="270"/>
      <c r="M43" s="245"/>
      <c r="N43" s="273"/>
      <c r="O43" s="269"/>
      <c r="P43" s="269"/>
      <c r="Q43" s="270"/>
      <c r="R43" s="254"/>
      <c r="S43" s="273"/>
      <c r="T43" s="269"/>
      <c r="U43" s="270"/>
      <c r="V43" s="245"/>
      <c r="W43" s="273"/>
      <c r="X43" s="302">
        <v>2</v>
      </c>
      <c r="Y43" s="257" t="s">
        <v>26</v>
      </c>
      <c r="Z43" s="161" t="s">
        <v>24</v>
      </c>
      <c r="AA43" s="257" t="s">
        <v>527</v>
      </c>
      <c r="AB43" s="257" t="s">
        <v>77</v>
      </c>
      <c r="AC43" s="312" t="s">
        <v>175</v>
      </c>
      <c r="AD43" s="150" t="s">
        <v>641</v>
      </c>
    </row>
    <row r="44" spans="1:30" ht="98.1" customHeight="1" thickBot="1">
      <c r="A44" s="242" t="s">
        <v>46</v>
      </c>
      <c r="B44" s="162" t="s">
        <v>350</v>
      </c>
      <c r="C44" s="309" t="s">
        <v>351</v>
      </c>
      <c r="D44" s="310" t="s">
        <v>352</v>
      </c>
      <c r="E44" s="318"/>
      <c r="F44" s="333">
        <v>0.29649999999999999</v>
      </c>
      <c r="G44" s="335">
        <v>98</v>
      </c>
      <c r="H44" s="336" t="s">
        <v>65</v>
      </c>
      <c r="I44" s="293" t="s">
        <v>786</v>
      </c>
      <c r="J44" s="266"/>
      <c r="K44" s="249"/>
      <c r="L44" s="249"/>
      <c r="M44" s="245"/>
      <c r="N44" s="281"/>
      <c r="O44" s="266"/>
      <c r="P44" s="282"/>
      <c r="Q44" s="283"/>
      <c r="R44" s="245"/>
      <c r="S44" s="284"/>
      <c r="T44" s="266"/>
      <c r="U44" s="283"/>
      <c r="V44" s="245"/>
      <c r="W44" s="284"/>
      <c r="X44" s="302"/>
      <c r="Y44" s="257" t="s">
        <v>26</v>
      </c>
      <c r="Z44" s="161" t="s">
        <v>586</v>
      </c>
      <c r="AA44" s="257" t="s">
        <v>527</v>
      </c>
      <c r="AB44" s="257" t="s">
        <v>79</v>
      </c>
      <c r="AC44" s="312" t="s">
        <v>218</v>
      </c>
      <c r="AD44" s="150" t="s">
        <v>642</v>
      </c>
    </row>
    <row r="45" spans="1:30" ht="98.1" customHeight="1" thickBot="1">
      <c r="A45" s="242" t="s">
        <v>46</v>
      </c>
      <c r="B45" s="162" t="s">
        <v>353</v>
      </c>
      <c r="C45" s="309" t="s">
        <v>351</v>
      </c>
      <c r="D45" s="310" t="s">
        <v>354</v>
      </c>
      <c r="E45" s="318"/>
      <c r="F45" s="333">
        <v>0.33360000000000001</v>
      </c>
      <c r="G45" s="335">
        <v>99</v>
      </c>
      <c r="H45" s="336" t="s">
        <v>65</v>
      </c>
      <c r="I45" s="293" t="s">
        <v>787</v>
      </c>
      <c r="J45" s="266"/>
      <c r="K45" s="249"/>
      <c r="L45" s="249"/>
      <c r="M45" s="245"/>
      <c r="N45" s="281"/>
      <c r="O45" s="266"/>
      <c r="P45" s="283"/>
      <c r="Q45" s="283"/>
      <c r="R45" s="255"/>
      <c r="S45" s="273"/>
      <c r="T45" s="266"/>
      <c r="U45" s="307"/>
      <c r="V45" s="245"/>
      <c r="W45" s="281"/>
      <c r="X45" s="302"/>
      <c r="Y45" s="257" t="s">
        <v>26</v>
      </c>
      <c r="Z45" s="161" t="s">
        <v>586</v>
      </c>
      <c r="AA45" s="257" t="s">
        <v>527</v>
      </c>
      <c r="AB45" s="257" t="s">
        <v>79</v>
      </c>
      <c r="AC45" s="312" t="s">
        <v>219</v>
      </c>
      <c r="AD45" s="150" t="s">
        <v>643</v>
      </c>
    </row>
    <row r="46" spans="1:30" ht="98.1" customHeight="1" thickBot="1">
      <c r="A46" s="242" t="s">
        <v>46</v>
      </c>
      <c r="B46" s="162" t="s">
        <v>355</v>
      </c>
      <c r="C46" s="309" t="s">
        <v>356</v>
      </c>
      <c r="D46" s="310" t="s">
        <v>743</v>
      </c>
      <c r="E46" s="318"/>
      <c r="F46" s="331">
        <v>2262619.96</v>
      </c>
      <c r="G46" s="327">
        <v>2500000</v>
      </c>
      <c r="H46" s="336" t="s">
        <v>65</v>
      </c>
      <c r="I46" s="293" t="s">
        <v>787</v>
      </c>
      <c r="J46" s="266"/>
      <c r="K46" s="249"/>
      <c r="L46" s="249"/>
      <c r="M46" s="245"/>
      <c r="N46" s="284"/>
      <c r="O46" s="266"/>
      <c r="P46" s="350"/>
      <c r="Q46" s="286"/>
      <c r="R46" s="351"/>
      <c r="S46" s="284"/>
      <c r="T46" s="266"/>
      <c r="U46" s="307"/>
      <c r="V46" s="245"/>
      <c r="W46" s="284"/>
      <c r="X46" s="302"/>
      <c r="Y46" s="257" t="s">
        <v>26</v>
      </c>
      <c r="Z46" s="161" t="s">
        <v>586</v>
      </c>
      <c r="AA46" s="257" t="s">
        <v>527</v>
      </c>
      <c r="AB46" s="257" t="s">
        <v>79</v>
      </c>
      <c r="AC46" s="312" t="s">
        <v>220</v>
      </c>
      <c r="AD46" s="150" t="s">
        <v>644</v>
      </c>
    </row>
    <row r="47" spans="1:30" ht="98.1" customHeight="1" thickBot="1">
      <c r="A47" s="242" t="s">
        <v>46</v>
      </c>
      <c r="B47" s="162" t="s">
        <v>357</v>
      </c>
      <c r="C47" s="309" t="s">
        <v>356</v>
      </c>
      <c r="D47" s="310" t="s">
        <v>744</v>
      </c>
      <c r="E47" s="339"/>
      <c r="F47" s="331">
        <v>2088266.62</v>
      </c>
      <c r="G47" s="327">
        <v>1500000</v>
      </c>
      <c r="H47" s="336" t="s">
        <v>65</v>
      </c>
      <c r="I47" s="293" t="s">
        <v>788</v>
      </c>
      <c r="J47" s="278"/>
      <c r="K47" s="278"/>
      <c r="L47" s="270"/>
      <c r="M47" s="245"/>
      <c r="N47" s="273"/>
      <c r="O47" s="278"/>
      <c r="P47" s="278"/>
      <c r="Q47" s="270"/>
      <c r="R47" s="254"/>
      <c r="S47" s="273"/>
      <c r="T47" s="278"/>
      <c r="U47" s="315"/>
      <c r="V47" s="245"/>
      <c r="W47" s="273"/>
      <c r="X47" s="302"/>
      <c r="Y47" s="257" t="s">
        <v>26</v>
      </c>
      <c r="Z47" s="161" t="s">
        <v>586</v>
      </c>
      <c r="AA47" s="257" t="s">
        <v>527</v>
      </c>
      <c r="AB47" s="257" t="s">
        <v>79</v>
      </c>
      <c r="AC47" s="312" t="s">
        <v>221</v>
      </c>
      <c r="AD47" s="150" t="s">
        <v>645</v>
      </c>
    </row>
    <row r="48" spans="1:30" ht="98.1" customHeight="1" thickBot="1">
      <c r="A48" s="242" t="s">
        <v>46</v>
      </c>
      <c r="B48" s="162" t="s">
        <v>358</v>
      </c>
      <c r="C48" s="309" t="s">
        <v>356</v>
      </c>
      <c r="D48" s="319" t="s">
        <v>745</v>
      </c>
      <c r="E48" s="340"/>
      <c r="F48" s="331">
        <v>0</v>
      </c>
      <c r="G48" s="327">
        <v>80000</v>
      </c>
      <c r="H48" s="336" t="s">
        <v>65</v>
      </c>
      <c r="I48" s="293" t="s">
        <v>787</v>
      </c>
      <c r="J48" s="278"/>
      <c r="K48" s="278"/>
      <c r="L48" s="270"/>
      <c r="M48" s="245"/>
      <c r="N48" s="273"/>
      <c r="O48" s="278"/>
      <c r="P48" s="278"/>
      <c r="Q48" s="270"/>
      <c r="R48" s="254"/>
      <c r="S48" s="273"/>
      <c r="T48" s="269"/>
      <c r="U48" s="315"/>
      <c r="V48" s="245"/>
      <c r="W48" s="273"/>
      <c r="X48" s="302"/>
      <c r="Y48" s="257" t="s">
        <v>26</v>
      </c>
      <c r="Z48" s="161" t="s">
        <v>586</v>
      </c>
      <c r="AA48" s="257" t="s">
        <v>527</v>
      </c>
      <c r="AB48" s="257" t="s">
        <v>79</v>
      </c>
      <c r="AC48" s="312" t="s">
        <v>222</v>
      </c>
      <c r="AD48" s="150" t="s">
        <v>646</v>
      </c>
    </row>
    <row r="49" spans="1:30" ht="98.1" customHeight="1" thickBot="1">
      <c r="A49" s="242" t="s">
        <v>46</v>
      </c>
      <c r="B49" s="162" t="s">
        <v>359</v>
      </c>
      <c r="C49" s="309" t="s">
        <v>11</v>
      </c>
      <c r="D49" s="319" t="s">
        <v>238</v>
      </c>
      <c r="E49" s="318"/>
      <c r="F49" s="333">
        <v>0</v>
      </c>
      <c r="G49" s="327">
        <v>0</v>
      </c>
      <c r="H49" s="336" t="s">
        <v>69</v>
      </c>
      <c r="I49" s="263" t="s">
        <v>789</v>
      </c>
      <c r="J49" s="259"/>
      <c r="K49" s="259"/>
      <c r="L49" s="243"/>
      <c r="M49" s="245"/>
      <c r="N49" s="244"/>
      <c r="O49" s="259"/>
      <c r="P49" s="259"/>
      <c r="Q49" s="243"/>
      <c r="R49" s="245"/>
      <c r="S49" s="244"/>
      <c r="T49" s="259"/>
      <c r="U49" s="243"/>
      <c r="V49" s="245"/>
      <c r="W49" s="244"/>
      <c r="X49" s="302"/>
      <c r="Y49" s="257" t="s">
        <v>26</v>
      </c>
      <c r="Z49" s="161" t="s">
        <v>586</v>
      </c>
      <c r="AA49" s="257" t="s">
        <v>527</v>
      </c>
      <c r="AB49" s="257" t="s">
        <v>79</v>
      </c>
      <c r="AC49" s="312" t="s">
        <v>223</v>
      </c>
      <c r="AD49" s="150" t="s">
        <v>647</v>
      </c>
    </row>
    <row r="50" spans="1:30" ht="98.1" customHeight="1" thickBot="1">
      <c r="A50" s="242" t="s">
        <v>46</v>
      </c>
      <c r="B50" s="162" t="s">
        <v>360</v>
      </c>
      <c r="C50" s="309" t="s">
        <v>11</v>
      </c>
      <c r="D50" s="310" t="s">
        <v>239</v>
      </c>
      <c r="E50" s="318"/>
      <c r="F50" s="333">
        <v>0.81</v>
      </c>
      <c r="G50" s="327">
        <v>75</v>
      </c>
      <c r="H50" s="336" t="s">
        <v>65</v>
      </c>
      <c r="I50" s="263"/>
      <c r="J50" s="266"/>
      <c r="K50" s="249"/>
      <c r="L50" s="249"/>
      <c r="M50" s="245"/>
      <c r="N50" s="244"/>
      <c r="O50" s="266"/>
      <c r="P50" s="259"/>
      <c r="Q50" s="243"/>
      <c r="R50" s="253"/>
      <c r="S50" s="244"/>
      <c r="T50" s="266"/>
      <c r="U50" s="243"/>
      <c r="V50" s="245"/>
      <c r="W50" s="244"/>
      <c r="X50" s="303"/>
      <c r="Y50" s="257" t="s">
        <v>26</v>
      </c>
      <c r="Z50" s="161" t="s">
        <v>586</v>
      </c>
      <c r="AA50" s="257" t="s">
        <v>527</v>
      </c>
      <c r="AB50" s="257" t="s">
        <v>79</v>
      </c>
      <c r="AC50" s="312" t="s">
        <v>224</v>
      </c>
      <c r="AD50" s="150" t="s">
        <v>648</v>
      </c>
    </row>
    <row r="51" spans="1:30" ht="98.1" customHeight="1" thickBot="1">
      <c r="A51" s="242" t="s">
        <v>46</v>
      </c>
      <c r="B51" s="162" t="s">
        <v>361</v>
      </c>
      <c r="C51" s="309" t="s">
        <v>154</v>
      </c>
      <c r="D51" s="310" t="s">
        <v>746</v>
      </c>
      <c r="E51" s="318"/>
      <c r="F51" s="326" t="s">
        <v>790</v>
      </c>
      <c r="G51" s="327">
        <v>4.5</v>
      </c>
      <c r="H51" s="336" t="s">
        <v>65</v>
      </c>
      <c r="I51" s="263"/>
      <c r="J51" s="259"/>
      <c r="K51" s="259"/>
      <c r="L51" s="243"/>
      <c r="M51" s="245"/>
      <c r="N51" s="244"/>
      <c r="O51" s="259"/>
      <c r="P51" s="259"/>
      <c r="Q51" s="243"/>
      <c r="R51" s="253"/>
      <c r="S51" s="244"/>
      <c r="T51" s="259"/>
      <c r="U51" s="243"/>
      <c r="V51" s="245"/>
      <c r="W51" s="244"/>
      <c r="X51" s="303"/>
      <c r="Y51" s="257" t="s">
        <v>26</v>
      </c>
      <c r="Z51" s="161" t="s">
        <v>586</v>
      </c>
      <c r="AA51" s="257" t="s">
        <v>527</v>
      </c>
      <c r="AB51" s="257" t="s">
        <v>79</v>
      </c>
      <c r="AC51" s="312" t="s">
        <v>225</v>
      </c>
      <c r="AD51" s="150" t="s">
        <v>649</v>
      </c>
    </row>
    <row r="52" spans="1:30" ht="90.6" thickBot="1">
      <c r="A52" s="242" t="s">
        <v>46</v>
      </c>
      <c r="B52" s="162" t="s">
        <v>597</v>
      </c>
      <c r="C52" s="309" t="s">
        <v>362</v>
      </c>
      <c r="D52" s="310" t="s">
        <v>747</v>
      </c>
      <c r="E52" s="311"/>
      <c r="F52" s="333">
        <v>1.25</v>
      </c>
      <c r="G52" s="327">
        <v>90</v>
      </c>
      <c r="H52" s="336" t="s">
        <v>65</v>
      </c>
      <c r="I52" s="293" t="s">
        <v>794</v>
      </c>
      <c r="J52" s="271"/>
      <c r="K52" s="271"/>
      <c r="L52" s="272"/>
      <c r="M52" s="245"/>
      <c r="N52" s="273"/>
      <c r="O52" s="271"/>
      <c r="P52" s="271"/>
      <c r="Q52" s="272"/>
      <c r="R52" s="254"/>
      <c r="S52" s="273"/>
      <c r="T52" s="271"/>
      <c r="U52" s="272"/>
      <c r="V52" s="245"/>
      <c r="W52" s="273"/>
      <c r="X52" s="302"/>
      <c r="Y52" s="257" t="s">
        <v>26</v>
      </c>
      <c r="Z52" s="161" t="s">
        <v>586</v>
      </c>
      <c r="AA52" s="257" t="s">
        <v>527</v>
      </c>
      <c r="AB52" s="257" t="s">
        <v>79</v>
      </c>
      <c r="AC52" s="312" t="s">
        <v>226</v>
      </c>
      <c r="AD52" s="150" t="s">
        <v>650</v>
      </c>
    </row>
    <row r="53" spans="1:30" ht="76.5" customHeight="1" thickBot="1">
      <c r="A53" s="242" t="s">
        <v>46</v>
      </c>
      <c r="B53" s="162" t="s">
        <v>596</v>
      </c>
      <c r="C53" s="309" t="s">
        <v>362</v>
      </c>
      <c r="D53" s="310" t="s">
        <v>748</v>
      </c>
      <c r="E53" s="311"/>
      <c r="F53" s="333">
        <v>0.33</v>
      </c>
      <c r="G53" s="327">
        <v>0.7</v>
      </c>
      <c r="H53" s="336" t="s">
        <v>66</v>
      </c>
      <c r="I53" s="293" t="s">
        <v>791</v>
      </c>
      <c r="J53" s="271"/>
      <c r="K53" s="271"/>
      <c r="L53" s="272"/>
      <c r="M53" s="245"/>
      <c r="N53" s="273"/>
      <c r="O53" s="271"/>
      <c r="P53" s="271"/>
      <c r="Q53" s="272"/>
      <c r="R53" s="254"/>
      <c r="S53" s="273"/>
      <c r="T53" s="271"/>
      <c r="U53" s="272"/>
      <c r="V53" s="245"/>
      <c r="W53" s="273"/>
      <c r="X53" s="302"/>
      <c r="Y53" s="257" t="s">
        <v>26</v>
      </c>
      <c r="Z53" s="161" t="s">
        <v>586</v>
      </c>
      <c r="AA53" s="257" t="s">
        <v>527</v>
      </c>
      <c r="AB53" s="257" t="s">
        <v>79</v>
      </c>
      <c r="AC53" s="312" t="s">
        <v>226</v>
      </c>
      <c r="AD53" s="150" t="s">
        <v>651</v>
      </c>
    </row>
    <row r="54" spans="1:30" ht="75.75" customHeight="1" thickBot="1">
      <c r="A54" s="242" t="s">
        <v>46</v>
      </c>
      <c r="B54" s="162" t="s">
        <v>595</v>
      </c>
      <c r="C54" s="309" t="s">
        <v>362</v>
      </c>
      <c r="D54" s="310" t="s">
        <v>749</v>
      </c>
      <c r="E54" s="311"/>
      <c r="F54" s="333">
        <v>0.89</v>
      </c>
      <c r="G54" s="327">
        <v>0.9</v>
      </c>
      <c r="H54" s="336" t="s">
        <v>65</v>
      </c>
      <c r="I54" s="293"/>
      <c r="J54" s="271"/>
      <c r="K54" s="271"/>
      <c r="L54" s="272"/>
      <c r="M54" s="245"/>
      <c r="N54" s="273"/>
      <c r="O54" s="271"/>
      <c r="P54" s="271"/>
      <c r="Q54" s="272"/>
      <c r="R54" s="254"/>
      <c r="S54" s="273"/>
      <c r="T54" s="271"/>
      <c r="U54" s="272"/>
      <c r="V54" s="245"/>
      <c r="W54" s="273"/>
      <c r="X54" s="302"/>
      <c r="Y54" s="257" t="s">
        <v>26</v>
      </c>
      <c r="Z54" s="161" t="s">
        <v>586</v>
      </c>
      <c r="AA54" s="257" t="s">
        <v>527</v>
      </c>
      <c r="AB54" s="257" t="s">
        <v>79</v>
      </c>
      <c r="AC54" s="312" t="s">
        <v>226</v>
      </c>
      <c r="AD54" s="150" t="s">
        <v>652</v>
      </c>
    </row>
    <row r="55" spans="1:30" ht="98.1" customHeight="1" thickBot="1">
      <c r="A55" s="242" t="s">
        <v>46</v>
      </c>
      <c r="B55" s="162" t="s">
        <v>363</v>
      </c>
      <c r="C55" s="309" t="s">
        <v>364</v>
      </c>
      <c r="D55" s="310" t="s">
        <v>365</v>
      </c>
      <c r="E55" s="311">
        <v>44287</v>
      </c>
      <c r="F55" s="326" t="s">
        <v>792</v>
      </c>
      <c r="G55" s="327"/>
      <c r="H55" s="336" t="s">
        <v>56</v>
      </c>
      <c r="I55" s="263"/>
      <c r="J55" s="261"/>
      <c r="K55" s="260"/>
      <c r="L55" s="261"/>
      <c r="M55" s="245"/>
      <c r="N55" s="262"/>
      <c r="O55" s="260"/>
      <c r="P55" s="260"/>
      <c r="Q55" s="261"/>
      <c r="R55" s="245"/>
      <c r="S55" s="262"/>
      <c r="T55" s="260"/>
      <c r="U55" s="261"/>
      <c r="V55" s="245"/>
      <c r="W55" s="262"/>
      <c r="X55" s="302">
        <v>1</v>
      </c>
      <c r="Y55" s="257" t="s">
        <v>26</v>
      </c>
      <c r="Z55" s="161" t="s">
        <v>586</v>
      </c>
      <c r="AA55" s="257" t="s">
        <v>527</v>
      </c>
      <c r="AB55" s="257" t="s">
        <v>79</v>
      </c>
      <c r="AC55" s="312" t="s">
        <v>227</v>
      </c>
      <c r="AD55" s="150" t="s">
        <v>653</v>
      </c>
    </row>
    <row r="56" spans="1:30" ht="98.1" customHeight="1" thickBot="1">
      <c r="A56" s="242" t="s">
        <v>46</v>
      </c>
      <c r="B56" s="162" t="s">
        <v>366</v>
      </c>
      <c r="C56" s="309" t="s">
        <v>367</v>
      </c>
      <c r="D56" s="310" t="s">
        <v>598</v>
      </c>
      <c r="E56" s="311">
        <v>44531</v>
      </c>
      <c r="F56" s="326" t="s">
        <v>793</v>
      </c>
      <c r="G56" s="327"/>
      <c r="H56" s="336" t="s">
        <v>69</v>
      </c>
      <c r="I56" s="263"/>
      <c r="J56" s="261"/>
      <c r="K56" s="260"/>
      <c r="L56" s="261"/>
      <c r="M56" s="245"/>
      <c r="N56" s="262"/>
      <c r="O56" s="260"/>
      <c r="P56" s="260"/>
      <c r="Q56" s="261"/>
      <c r="R56" s="245"/>
      <c r="S56" s="262"/>
      <c r="T56" s="260"/>
      <c r="U56" s="261"/>
      <c r="V56" s="245"/>
      <c r="W56" s="262"/>
      <c r="X56" s="302">
        <v>3</v>
      </c>
      <c r="Y56" s="257" t="s">
        <v>26</v>
      </c>
      <c r="Z56" s="161" t="s">
        <v>586</v>
      </c>
      <c r="AA56" s="257" t="s">
        <v>527</v>
      </c>
      <c r="AB56" s="257" t="s">
        <v>79</v>
      </c>
      <c r="AC56" s="312" t="s">
        <v>228</v>
      </c>
      <c r="AD56" s="150" t="s">
        <v>654</v>
      </c>
    </row>
    <row r="57" spans="1:30" ht="98.1" customHeight="1" thickBot="1">
      <c r="A57" s="242" t="s">
        <v>46</v>
      </c>
      <c r="B57" s="162" t="s">
        <v>368</v>
      </c>
      <c r="C57" s="309" t="s">
        <v>369</v>
      </c>
      <c r="D57" s="310" t="s">
        <v>370</v>
      </c>
      <c r="E57" s="311">
        <v>44531</v>
      </c>
      <c r="F57" s="326" t="s">
        <v>793</v>
      </c>
      <c r="G57" s="327"/>
      <c r="H57" s="336" t="s">
        <v>69</v>
      </c>
      <c r="I57" s="263"/>
      <c r="J57" s="259"/>
      <c r="K57" s="259"/>
      <c r="L57" s="243"/>
      <c r="M57" s="245"/>
      <c r="N57" s="244"/>
      <c r="O57" s="259"/>
      <c r="P57" s="259"/>
      <c r="Q57" s="243"/>
      <c r="R57" s="253"/>
      <c r="S57" s="244"/>
      <c r="T57" s="259"/>
      <c r="U57" s="243"/>
      <c r="V57" s="245"/>
      <c r="W57" s="244"/>
      <c r="X57" s="303">
        <v>3</v>
      </c>
      <c r="Y57" s="257" t="s">
        <v>26</v>
      </c>
      <c r="Z57" s="161" t="s">
        <v>586</v>
      </c>
      <c r="AA57" s="257" t="s">
        <v>527</v>
      </c>
      <c r="AB57" s="257" t="s">
        <v>79</v>
      </c>
      <c r="AC57" s="312" t="s">
        <v>229</v>
      </c>
      <c r="AD57" s="150" t="s">
        <v>655</v>
      </c>
    </row>
    <row r="58" spans="1:30" ht="98.1" customHeight="1" thickBot="1">
      <c r="A58" s="242" t="s">
        <v>46</v>
      </c>
      <c r="B58" s="162" t="s">
        <v>371</v>
      </c>
      <c r="C58" s="320" t="s">
        <v>369</v>
      </c>
      <c r="D58" s="321" t="s">
        <v>372</v>
      </c>
      <c r="E58" s="311">
        <v>44440</v>
      </c>
      <c r="F58" s="326" t="s">
        <v>793</v>
      </c>
      <c r="G58" s="327"/>
      <c r="H58" s="336" t="s">
        <v>69</v>
      </c>
      <c r="I58" s="263"/>
      <c r="J58" s="259"/>
      <c r="K58" s="259"/>
      <c r="L58" s="243"/>
      <c r="M58" s="245"/>
      <c r="N58" s="244"/>
      <c r="O58" s="260"/>
      <c r="P58" s="260"/>
      <c r="Q58" s="243"/>
      <c r="R58" s="253"/>
      <c r="S58" s="244"/>
      <c r="T58" s="260"/>
      <c r="U58" s="243"/>
      <c r="V58" s="245"/>
      <c r="W58" s="244"/>
      <c r="X58" s="302">
        <v>2</v>
      </c>
      <c r="Y58" s="257" t="s">
        <v>26</v>
      </c>
      <c r="Z58" s="161" t="s">
        <v>586</v>
      </c>
      <c r="AA58" s="257" t="s">
        <v>527</v>
      </c>
      <c r="AB58" s="257" t="s">
        <v>79</v>
      </c>
      <c r="AC58" s="322" t="s">
        <v>230</v>
      </c>
      <c r="AD58" s="150" t="s">
        <v>656</v>
      </c>
    </row>
    <row r="59" spans="1:30" ht="98.1" customHeight="1" thickBot="1">
      <c r="A59" s="242" t="s">
        <v>43</v>
      </c>
      <c r="B59" s="162" t="s">
        <v>591</v>
      </c>
      <c r="C59" s="309" t="s">
        <v>373</v>
      </c>
      <c r="D59" s="310" t="s">
        <v>587</v>
      </c>
      <c r="E59" s="323">
        <v>44713</v>
      </c>
      <c r="F59" s="326" t="s">
        <v>854</v>
      </c>
      <c r="G59" s="327"/>
      <c r="H59" s="336" t="s">
        <v>56</v>
      </c>
      <c r="I59" s="329"/>
      <c r="J59" s="259"/>
      <c r="K59" s="259"/>
      <c r="L59" s="243"/>
      <c r="M59" s="245"/>
      <c r="N59" s="244"/>
      <c r="O59" s="259"/>
      <c r="P59" s="259"/>
      <c r="Q59" s="243"/>
      <c r="R59" s="245"/>
      <c r="S59" s="244"/>
      <c r="T59" s="259"/>
      <c r="U59" s="243"/>
      <c r="V59" s="245"/>
      <c r="W59" s="244"/>
      <c r="X59" s="303">
        <v>4</v>
      </c>
      <c r="Y59" s="257" t="s">
        <v>26</v>
      </c>
      <c r="Z59" s="161" t="s">
        <v>23</v>
      </c>
      <c r="AA59" s="257" t="s">
        <v>527</v>
      </c>
      <c r="AB59" s="257" t="s">
        <v>79</v>
      </c>
      <c r="AC59" s="312" t="s">
        <v>188</v>
      </c>
      <c r="AD59" s="150" t="s">
        <v>657</v>
      </c>
    </row>
    <row r="60" spans="1:30" ht="98.1" customHeight="1" thickBot="1">
      <c r="A60" s="242" t="s">
        <v>43</v>
      </c>
      <c r="B60" s="162" t="s">
        <v>592</v>
      </c>
      <c r="C60" s="309" t="s">
        <v>373</v>
      </c>
      <c r="D60" s="310" t="s">
        <v>588</v>
      </c>
      <c r="E60" s="318" t="s">
        <v>589</v>
      </c>
      <c r="F60" s="326"/>
      <c r="G60" s="327"/>
      <c r="H60" s="336" t="s">
        <v>69</v>
      </c>
      <c r="I60" s="329"/>
      <c r="J60" s="259"/>
      <c r="K60" s="259"/>
      <c r="L60" s="243"/>
      <c r="M60" s="245"/>
      <c r="N60" s="244"/>
      <c r="O60" s="259"/>
      <c r="P60" s="259"/>
      <c r="Q60" s="243"/>
      <c r="R60" s="245"/>
      <c r="S60" s="244"/>
      <c r="T60" s="259"/>
      <c r="U60" s="243"/>
      <c r="V60" s="245"/>
      <c r="W60" s="244"/>
      <c r="X60" s="303">
        <v>4</v>
      </c>
      <c r="Y60" s="257" t="s">
        <v>26</v>
      </c>
      <c r="Z60" s="161" t="s">
        <v>23</v>
      </c>
      <c r="AA60" s="257" t="s">
        <v>527</v>
      </c>
      <c r="AB60" s="257" t="s">
        <v>79</v>
      </c>
      <c r="AC60" s="312" t="s">
        <v>188</v>
      </c>
      <c r="AD60" s="150" t="s">
        <v>658</v>
      </c>
    </row>
    <row r="61" spans="1:30" ht="98.1" customHeight="1" thickBot="1">
      <c r="A61" s="242" t="s">
        <v>43</v>
      </c>
      <c r="B61" s="162" t="s">
        <v>593</v>
      </c>
      <c r="C61" s="309" t="s">
        <v>373</v>
      </c>
      <c r="D61" s="310" t="s">
        <v>590</v>
      </c>
      <c r="E61" s="318" t="s">
        <v>589</v>
      </c>
      <c r="F61" s="326"/>
      <c r="G61" s="327"/>
      <c r="H61" s="336" t="s">
        <v>69</v>
      </c>
      <c r="I61" s="329"/>
      <c r="J61" s="259"/>
      <c r="K61" s="259"/>
      <c r="L61" s="243"/>
      <c r="M61" s="245"/>
      <c r="N61" s="244"/>
      <c r="O61" s="259"/>
      <c r="P61" s="259"/>
      <c r="Q61" s="243"/>
      <c r="R61" s="245"/>
      <c r="S61" s="244"/>
      <c r="T61" s="259"/>
      <c r="U61" s="243"/>
      <c r="V61" s="245"/>
      <c r="W61" s="244"/>
      <c r="X61" s="303">
        <v>4</v>
      </c>
      <c r="Y61" s="257" t="s">
        <v>26</v>
      </c>
      <c r="Z61" s="161" t="s">
        <v>23</v>
      </c>
      <c r="AA61" s="257" t="s">
        <v>527</v>
      </c>
      <c r="AB61" s="257" t="s">
        <v>79</v>
      </c>
      <c r="AC61" s="312" t="s">
        <v>188</v>
      </c>
      <c r="AD61" s="150" t="s">
        <v>659</v>
      </c>
    </row>
    <row r="62" spans="1:30" ht="98.1" customHeight="1" thickBot="1">
      <c r="A62" s="242" t="s">
        <v>43</v>
      </c>
      <c r="B62" s="162" t="s">
        <v>374</v>
      </c>
      <c r="C62" s="309" t="s">
        <v>373</v>
      </c>
      <c r="D62" s="310" t="s">
        <v>375</v>
      </c>
      <c r="E62" s="318" t="s">
        <v>376</v>
      </c>
      <c r="F62" s="326" t="s">
        <v>836</v>
      </c>
      <c r="G62" s="327"/>
      <c r="H62" s="336" t="s">
        <v>65</v>
      </c>
      <c r="I62" s="263"/>
      <c r="J62" s="259"/>
      <c r="K62" s="259"/>
      <c r="L62" s="243"/>
      <c r="M62" s="245"/>
      <c r="N62" s="244"/>
      <c r="O62" s="259"/>
      <c r="P62" s="259"/>
      <c r="Q62" s="243"/>
      <c r="R62" s="245"/>
      <c r="S62" s="244"/>
      <c r="T62" s="259"/>
      <c r="U62" s="243"/>
      <c r="V62" s="245"/>
      <c r="W62" s="244"/>
      <c r="X62" s="303">
        <v>3</v>
      </c>
      <c r="Y62" s="257" t="s">
        <v>26</v>
      </c>
      <c r="Z62" s="161" t="s">
        <v>23</v>
      </c>
      <c r="AA62" s="257" t="s">
        <v>527</v>
      </c>
      <c r="AB62" s="257" t="s">
        <v>79</v>
      </c>
      <c r="AC62" s="312" t="s">
        <v>189</v>
      </c>
      <c r="AD62" s="150" t="s">
        <v>660</v>
      </c>
    </row>
    <row r="63" spans="1:30" ht="98.1" customHeight="1" thickBot="1">
      <c r="A63" s="242" t="s">
        <v>43</v>
      </c>
      <c r="B63" s="162" t="s">
        <v>377</v>
      </c>
      <c r="C63" s="309" t="s">
        <v>373</v>
      </c>
      <c r="D63" s="310" t="s">
        <v>378</v>
      </c>
      <c r="E63" s="324" t="s">
        <v>379</v>
      </c>
      <c r="F63" s="326" t="s">
        <v>837</v>
      </c>
      <c r="G63" s="327"/>
      <c r="H63" s="336" t="s">
        <v>65</v>
      </c>
      <c r="I63" s="263"/>
      <c r="J63" s="259"/>
      <c r="K63" s="259"/>
      <c r="L63" s="243"/>
      <c r="M63" s="245"/>
      <c r="N63" s="244"/>
      <c r="O63" s="259"/>
      <c r="P63" s="259"/>
      <c r="Q63" s="243"/>
      <c r="R63" s="253"/>
      <c r="S63" s="244"/>
      <c r="T63" s="259"/>
      <c r="U63" s="243"/>
      <c r="V63" s="245"/>
      <c r="W63" s="244"/>
      <c r="X63" s="303"/>
      <c r="Y63" s="257" t="s">
        <v>26</v>
      </c>
      <c r="Z63" s="161" t="s">
        <v>23</v>
      </c>
      <c r="AA63" s="257" t="s">
        <v>527</v>
      </c>
      <c r="AB63" s="257" t="s">
        <v>79</v>
      </c>
      <c r="AC63" s="312" t="s">
        <v>190</v>
      </c>
      <c r="AD63" s="150" t="s">
        <v>661</v>
      </c>
    </row>
    <row r="64" spans="1:30" ht="98.1" customHeight="1" thickBot="1">
      <c r="A64" s="242" t="s">
        <v>43</v>
      </c>
      <c r="B64" s="162" t="s">
        <v>380</v>
      </c>
      <c r="C64" s="309" t="s">
        <v>7</v>
      </c>
      <c r="D64" s="310" t="s">
        <v>381</v>
      </c>
      <c r="E64" s="311">
        <v>44621</v>
      </c>
      <c r="F64" s="326" t="s">
        <v>838</v>
      </c>
      <c r="G64" s="327"/>
      <c r="H64" s="336" t="s">
        <v>65</v>
      </c>
      <c r="I64" s="263"/>
      <c r="J64" s="259"/>
      <c r="K64" s="259"/>
      <c r="L64" s="243"/>
      <c r="M64" s="245"/>
      <c r="N64" s="244"/>
      <c r="O64" s="259"/>
      <c r="P64" s="259"/>
      <c r="Q64" s="243"/>
      <c r="R64" s="253"/>
      <c r="S64" s="244"/>
      <c r="T64" s="259"/>
      <c r="U64" s="243"/>
      <c r="V64" s="245"/>
      <c r="W64" s="244"/>
      <c r="X64" s="302">
        <v>4</v>
      </c>
      <c r="Y64" s="257" t="s">
        <v>26</v>
      </c>
      <c r="Z64" s="161" t="s">
        <v>23</v>
      </c>
      <c r="AA64" s="257" t="s">
        <v>527</v>
      </c>
      <c r="AB64" s="257" t="s">
        <v>79</v>
      </c>
      <c r="AC64" s="312" t="s">
        <v>191</v>
      </c>
      <c r="AD64" s="150" t="s">
        <v>662</v>
      </c>
    </row>
    <row r="65" spans="1:30" ht="98.1" customHeight="1" thickBot="1">
      <c r="A65" s="242" t="s">
        <v>43</v>
      </c>
      <c r="B65" s="162" t="s">
        <v>382</v>
      </c>
      <c r="C65" s="309" t="s">
        <v>7</v>
      </c>
      <c r="D65" s="310" t="s">
        <v>383</v>
      </c>
      <c r="E65" s="323" t="s">
        <v>384</v>
      </c>
      <c r="F65" s="344" t="s">
        <v>800</v>
      </c>
      <c r="G65" s="327"/>
      <c r="H65" s="336" t="s">
        <v>69</v>
      </c>
      <c r="I65" s="263"/>
      <c r="J65" s="259"/>
      <c r="K65" s="259"/>
      <c r="L65" s="243"/>
      <c r="M65" s="245"/>
      <c r="N65" s="244"/>
      <c r="O65" s="259"/>
      <c r="P65" s="259"/>
      <c r="Q65" s="243"/>
      <c r="R65" s="253"/>
      <c r="S65" s="244"/>
      <c r="T65" s="259"/>
      <c r="U65" s="243"/>
      <c r="V65" s="245"/>
      <c r="W65" s="244"/>
      <c r="X65" s="302"/>
      <c r="Y65" s="257" t="s">
        <v>26</v>
      </c>
      <c r="Z65" s="161" t="s">
        <v>23</v>
      </c>
      <c r="AA65" s="257" t="s">
        <v>527</v>
      </c>
      <c r="AB65" s="257" t="s">
        <v>79</v>
      </c>
      <c r="AC65" s="312" t="s">
        <v>192</v>
      </c>
      <c r="AD65" s="150" t="s">
        <v>663</v>
      </c>
    </row>
    <row r="66" spans="1:30" ht="98.1" customHeight="1" thickBot="1">
      <c r="A66" s="242" t="s">
        <v>43</v>
      </c>
      <c r="B66" s="162" t="s">
        <v>385</v>
      </c>
      <c r="C66" s="309" t="s">
        <v>8</v>
      </c>
      <c r="D66" s="310" t="s">
        <v>386</v>
      </c>
      <c r="E66" s="311">
        <v>44621</v>
      </c>
      <c r="F66" s="344"/>
      <c r="G66" s="327"/>
      <c r="H66" s="336" t="s">
        <v>69</v>
      </c>
      <c r="I66" s="263"/>
      <c r="J66" s="260"/>
      <c r="K66" s="260"/>
      <c r="L66" s="261"/>
      <c r="M66" s="245"/>
      <c r="N66" s="262"/>
      <c r="O66" s="260"/>
      <c r="P66" s="260"/>
      <c r="Q66" s="261"/>
      <c r="R66" s="245"/>
      <c r="S66" s="262"/>
      <c r="T66" s="260"/>
      <c r="U66" s="261"/>
      <c r="V66" s="245"/>
      <c r="W66" s="262"/>
      <c r="X66" s="302">
        <v>4</v>
      </c>
      <c r="Y66" s="257" t="s">
        <v>26</v>
      </c>
      <c r="Z66" s="161" t="s">
        <v>23</v>
      </c>
      <c r="AA66" s="257" t="s">
        <v>527</v>
      </c>
      <c r="AB66" s="257" t="s">
        <v>79</v>
      </c>
      <c r="AC66" s="312" t="s">
        <v>193</v>
      </c>
      <c r="AD66" s="150" t="s">
        <v>664</v>
      </c>
    </row>
    <row r="67" spans="1:30" ht="98.1" customHeight="1" thickBot="1">
      <c r="A67" s="242" t="s">
        <v>43</v>
      </c>
      <c r="B67" s="162" t="s">
        <v>387</v>
      </c>
      <c r="C67" s="309" t="s">
        <v>8</v>
      </c>
      <c r="D67" s="310" t="s">
        <v>388</v>
      </c>
      <c r="E67" s="311">
        <v>44621</v>
      </c>
      <c r="F67" s="344" t="s">
        <v>839</v>
      </c>
      <c r="G67" s="327"/>
      <c r="H67" s="336" t="s">
        <v>65</v>
      </c>
      <c r="I67" s="263"/>
      <c r="J67" s="259"/>
      <c r="K67" s="259"/>
      <c r="L67" s="243"/>
      <c r="M67" s="245"/>
      <c r="N67" s="244"/>
      <c r="O67" s="259"/>
      <c r="P67" s="259"/>
      <c r="Q67" s="243"/>
      <c r="R67" s="245"/>
      <c r="S67" s="244"/>
      <c r="T67" s="259"/>
      <c r="U67" s="243"/>
      <c r="V67" s="245"/>
      <c r="W67" s="244"/>
      <c r="X67" s="302">
        <v>4</v>
      </c>
      <c r="Y67" s="257" t="s">
        <v>26</v>
      </c>
      <c r="Z67" s="161" t="s">
        <v>23</v>
      </c>
      <c r="AA67" s="257" t="s">
        <v>527</v>
      </c>
      <c r="AB67" s="257" t="s">
        <v>79</v>
      </c>
      <c r="AC67" s="312" t="s">
        <v>194</v>
      </c>
      <c r="AD67" s="150" t="s">
        <v>665</v>
      </c>
    </row>
    <row r="68" spans="1:30" ht="98.1" customHeight="1" thickBot="1">
      <c r="A68" s="242" t="s">
        <v>43</v>
      </c>
      <c r="B68" s="162" t="s">
        <v>389</v>
      </c>
      <c r="C68" s="309" t="s">
        <v>390</v>
      </c>
      <c r="D68" s="310" t="s">
        <v>10</v>
      </c>
      <c r="E68" s="311"/>
      <c r="F68" s="344" t="s">
        <v>840</v>
      </c>
      <c r="G68" s="327"/>
      <c r="H68" s="336" t="s">
        <v>56</v>
      </c>
      <c r="I68" s="263"/>
      <c r="J68" s="266"/>
      <c r="K68" s="249"/>
      <c r="L68" s="249"/>
      <c r="M68" s="245"/>
      <c r="N68" s="244"/>
      <c r="O68" s="259"/>
      <c r="P68" s="259"/>
      <c r="Q68" s="259"/>
      <c r="R68" s="253"/>
      <c r="S68" s="244"/>
      <c r="T68" s="266"/>
      <c r="U68" s="243"/>
      <c r="V68" s="245"/>
      <c r="W68" s="244"/>
      <c r="X68" s="302"/>
      <c r="Y68" s="257" t="s">
        <v>26</v>
      </c>
      <c r="Z68" s="161" t="s">
        <v>23</v>
      </c>
      <c r="AA68" s="257" t="s">
        <v>527</v>
      </c>
      <c r="AB68" s="257" t="s">
        <v>79</v>
      </c>
      <c r="AC68" s="312" t="s">
        <v>195</v>
      </c>
      <c r="AD68" s="150" t="s">
        <v>666</v>
      </c>
    </row>
    <row r="69" spans="1:30" ht="98.1" customHeight="1" thickBot="1">
      <c r="A69" s="242" t="s">
        <v>731</v>
      </c>
      <c r="B69" s="162" t="s">
        <v>391</v>
      </c>
      <c r="C69" s="309" t="s">
        <v>20</v>
      </c>
      <c r="D69" s="310" t="s">
        <v>599</v>
      </c>
      <c r="E69" s="318" t="s">
        <v>392</v>
      </c>
      <c r="F69" s="328" t="s">
        <v>824</v>
      </c>
      <c r="G69" s="327"/>
      <c r="H69" s="336" t="s">
        <v>56</v>
      </c>
      <c r="I69" s="263"/>
      <c r="J69" s="260"/>
      <c r="K69" s="260"/>
      <c r="L69" s="261"/>
      <c r="M69" s="245"/>
      <c r="N69" s="262"/>
      <c r="O69" s="260"/>
      <c r="P69" s="260"/>
      <c r="Q69" s="261"/>
      <c r="R69" s="245"/>
      <c r="S69" s="262"/>
      <c r="T69" s="260"/>
      <c r="U69" s="261"/>
      <c r="V69" s="245"/>
      <c r="W69" s="262"/>
      <c r="X69" s="302">
        <v>1</v>
      </c>
      <c r="Y69" s="257" t="s">
        <v>26</v>
      </c>
      <c r="Z69" s="161" t="s">
        <v>730</v>
      </c>
      <c r="AA69" s="257" t="s">
        <v>527</v>
      </c>
      <c r="AB69" s="257" t="s">
        <v>79</v>
      </c>
      <c r="AC69" s="312" t="s">
        <v>196</v>
      </c>
      <c r="AD69" s="150" t="s">
        <v>667</v>
      </c>
    </row>
    <row r="70" spans="1:30" ht="98.1" customHeight="1" thickBot="1">
      <c r="A70" s="242" t="s">
        <v>734</v>
      </c>
      <c r="B70" s="162" t="s">
        <v>393</v>
      </c>
      <c r="C70" s="309" t="s">
        <v>145</v>
      </c>
      <c r="D70" s="310" t="s">
        <v>394</v>
      </c>
      <c r="E70" s="311">
        <v>44501</v>
      </c>
      <c r="F70" s="328" t="s">
        <v>759</v>
      </c>
      <c r="G70" s="327"/>
      <c r="H70" s="336" t="s">
        <v>65</v>
      </c>
      <c r="I70" s="263"/>
      <c r="J70" s="259"/>
      <c r="K70" s="259"/>
      <c r="L70" s="243"/>
      <c r="M70" s="245"/>
      <c r="N70" s="244"/>
      <c r="O70" s="259"/>
      <c r="P70" s="259"/>
      <c r="Q70" s="243"/>
      <c r="R70" s="245"/>
      <c r="S70" s="244"/>
      <c r="T70" s="259"/>
      <c r="U70" s="243"/>
      <c r="V70" s="245"/>
      <c r="W70" s="244"/>
      <c r="X70" s="302">
        <v>3</v>
      </c>
      <c r="Y70" s="257" t="s">
        <v>28</v>
      </c>
      <c r="Z70" s="161" t="s">
        <v>735</v>
      </c>
      <c r="AA70" s="257" t="s">
        <v>527</v>
      </c>
      <c r="AB70" s="257" t="s">
        <v>248</v>
      </c>
      <c r="AC70" s="312" t="s">
        <v>537</v>
      </c>
      <c r="AD70" s="150" t="s">
        <v>668</v>
      </c>
    </row>
    <row r="71" spans="1:30" ht="98.1" customHeight="1" thickBot="1">
      <c r="A71" s="242" t="s">
        <v>734</v>
      </c>
      <c r="B71" s="162" t="s">
        <v>395</v>
      </c>
      <c r="C71" s="309" t="s">
        <v>145</v>
      </c>
      <c r="D71" s="310" t="s">
        <v>396</v>
      </c>
      <c r="E71" s="311" t="s">
        <v>397</v>
      </c>
      <c r="F71" s="326" t="s">
        <v>760</v>
      </c>
      <c r="G71" s="327"/>
      <c r="H71" s="336" t="s">
        <v>69</v>
      </c>
      <c r="I71" s="263"/>
      <c r="J71" s="259"/>
      <c r="K71" s="259"/>
      <c r="L71" s="243"/>
      <c r="M71" s="245"/>
      <c r="N71" s="244"/>
      <c r="O71" s="274"/>
      <c r="P71" s="259"/>
      <c r="Q71" s="243"/>
      <c r="R71" s="253"/>
      <c r="S71" s="244"/>
      <c r="T71" s="260"/>
      <c r="U71" s="243"/>
      <c r="V71" s="245"/>
      <c r="W71" s="244"/>
      <c r="X71" s="302">
        <v>4</v>
      </c>
      <c r="Y71" s="257" t="s">
        <v>28</v>
      </c>
      <c r="Z71" s="161" t="s">
        <v>735</v>
      </c>
      <c r="AA71" s="257" t="s">
        <v>527</v>
      </c>
      <c r="AB71" s="257" t="s">
        <v>248</v>
      </c>
      <c r="AC71" s="312" t="s">
        <v>538</v>
      </c>
      <c r="AD71" s="150" t="s">
        <v>669</v>
      </c>
    </row>
    <row r="72" spans="1:30" ht="98.1" customHeight="1" thickBot="1">
      <c r="A72" s="242" t="s">
        <v>740</v>
      </c>
      <c r="B72" s="162" t="s">
        <v>398</v>
      </c>
      <c r="C72" s="309" t="s">
        <v>163</v>
      </c>
      <c r="D72" s="310" t="s">
        <v>399</v>
      </c>
      <c r="E72" s="311">
        <v>44378</v>
      </c>
      <c r="F72" s="347" t="s">
        <v>753</v>
      </c>
      <c r="G72" s="327"/>
      <c r="H72" s="336" t="s">
        <v>65</v>
      </c>
      <c r="I72" s="263"/>
      <c r="J72" s="259"/>
      <c r="K72" s="287"/>
      <c r="L72" s="243"/>
      <c r="M72" s="245"/>
      <c r="N72" s="244"/>
      <c r="O72" s="259"/>
      <c r="P72" s="288"/>
      <c r="Q72" s="243"/>
      <c r="R72" s="253"/>
      <c r="S72" s="244"/>
      <c r="T72" s="259"/>
      <c r="U72" s="287"/>
      <c r="V72" s="245"/>
      <c r="W72" s="244"/>
      <c r="X72" s="303">
        <v>2</v>
      </c>
      <c r="Y72" s="257" t="s">
        <v>28</v>
      </c>
      <c r="Z72" s="161" t="s">
        <v>739</v>
      </c>
      <c r="AA72" s="257" t="s">
        <v>527</v>
      </c>
      <c r="AB72" s="257" t="s">
        <v>248</v>
      </c>
      <c r="AC72" s="312" t="s">
        <v>539</v>
      </c>
      <c r="AD72" s="150" t="s">
        <v>670</v>
      </c>
    </row>
    <row r="73" spans="1:30" ht="98.1" customHeight="1" thickBot="1">
      <c r="A73" s="242" t="s">
        <v>740</v>
      </c>
      <c r="B73" s="162" t="s">
        <v>400</v>
      </c>
      <c r="C73" s="309" t="s">
        <v>401</v>
      </c>
      <c r="D73" s="310" t="s">
        <v>402</v>
      </c>
      <c r="E73" s="311">
        <v>44593</v>
      </c>
      <c r="F73" s="342" t="s">
        <v>754</v>
      </c>
      <c r="G73" s="327"/>
      <c r="H73" s="336" t="s">
        <v>65</v>
      </c>
      <c r="I73" s="263"/>
      <c r="J73" s="259"/>
      <c r="K73" s="259"/>
      <c r="L73" s="243"/>
      <c r="M73" s="245"/>
      <c r="N73" s="244"/>
      <c r="O73" s="259"/>
      <c r="P73" s="259"/>
      <c r="Q73" s="243"/>
      <c r="R73" s="253"/>
      <c r="S73" s="244"/>
      <c r="T73" s="259"/>
      <c r="U73" s="249"/>
      <c r="V73" s="245"/>
      <c r="W73" s="244"/>
      <c r="X73" s="303">
        <v>4</v>
      </c>
      <c r="Y73" s="257" t="s">
        <v>28</v>
      </c>
      <c r="Z73" s="161" t="s">
        <v>739</v>
      </c>
      <c r="AA73" s="257" t="s">
        <v>527</v>
      </c>
      <c r="AB73" s="257" t="s">
        <v>248</v>
      </c>
      <c r="AC73" s="312" t="s">
        <v>540</v>
      </c>
      <c r="AD73" s="150" t="s">
        <v>671</v>
      </c>
    </row>
    <row r="74" spans="1:30" ht="98.1" customHeight="1" thickBot="1">
      <c r="A74" s="242" t="s">
        <v>740</v>
      </c>
      <c r="B74" s="162" t="s">
        <v>403</v>
      </c>
      <c r="C74" s="309" t="s">
        <v>404</v>
      </c>
      <c r="D74" s="310" t="s">
        <v>405</v>
      </c>
      <c r="E74" s="311">
        <v>44531</v>
      </c>
      <c r="F74" s="345" t="s">
        <v>849</v>
      </c>
      <c r="G74" s="327"/>
      <c r="H74" s="336" t="s">
        <v>69</v>
      </c>
      <c r="I74" s="293"/>
      <c r="J74" s="271"/>
      <c r="K74" s="269"/>
      <c r="L74" s="272"/>
      <c r="M74" s="245"/>
      <c r="N74" s="273"/>
      <c r="O74" s="271"/>
      <c r="P74" s="269"/>
      <c r="Q74" s="272"/>
      <c r="R74" s="254"/>
      <c r="S74" s="273"/>
      <c r="T74" s="271"/>
      <c r="U74" s="272"/>
      <c r="V74" s="245"/>
      <c r="W74" s="273"/>
      <c r="X74" s="302">
        <v>3</v>
      </c>
      <c r="Y74" s="257" t="s">
        <v>28</v>
      </c>
      <c r="Z74" s="161" t="s">
        <v>739</v>
      </c>
      <c r="AA74" s="257" t="s">
        <v>527</v>
      </c>
      <c r="AB74" s="257" t="s">
        <v>248</v>
      </c>
      <c r="AC74" s="312" t="s">
        <v>541</v>
      </c>
      <c r="AD74" s="150" t="s">
        <v>672</v>
      </c>
    </row>
    <row r="75" spans="1:30" ht="98.1" customHeight="1" thickBot="1">
      <c r="A75" s="242" t="s">
        <v>740</v>
      </c>
      <c r="B75" s="162" t="s">
        <v>406</v>
      </c>
      <c r="C75" s="309" t="s">
        <v>404</v>
      </c>
      <c r="D75" s="310" t="s">
        <v>407</v>
      </c>
      <c r="E75" s="311">
        <v>44593</v>
      </c>
      <c r="F75" s="345" t="s">
        <v>755</v>
      </c>
      <c r="G75" s="327"/>
      <c r="H75" s="336" t="s">
        <v>65</v>
      </c>
      <c r="I75" s="293"/>
      <c r="J75" s="271"/>
      <c r="K75" s="269"/>
      <c r="L75" s="272"/>
      <c r="M75" s="245"/>
      <c r="N75" s="273"/>
      <c r="O75" s="271"/>
      <c r="P75" s="269"/>
      <c r="Q75" s="272"/>
      <c r="R75" s="254"/>
      <c r="S75" s="273"/>
      <c r="T75" s="271"/>
      <c r="U75" s="272"/>
      <c r="V75" s="245"/>
      <c r="W75" s="273"/>
      <c r="X75" s="302">
        <v>4</v>
      </c>
      <c r="Y75" s="257" t="s">
        <v>28</v>
      </c>
      <c r="Z75" s="161" t="s">
        <v>739</v>
      </c>
      <c r="AA75" s="257" t="s">
        <v>527</v>
      </c>
      <c r="AB75" s="257" t="s">
        <v>248</v>
      </c>
      <c r="AC75" s="312" t="s">
        <v>542</v>
      </c>
      <c r="AD75" s="150" t="s">
        <v>673</v>
      </c>
    </row>
    <row r="76" spans="1:30" ht="98.1" customHeight="1" thickBot="1">
      <c r="A76" s="242" t="s">
        <v>740</v>
      </c>
      <c r="B76" s="162" t="s">
        <v>408</v>
      </c>
      <c r="C76" s="309" t="s">
        <v>404</v>
      </c>
      <c r="D76" s="310" t="s">
        <v>409</v>
      </c>
      <c r="E76" s="311">
        <v>44621</v>
      </c>
      <c r="F76" s="285" t="s">
        <v>756</v>
      </c>
      <c r="G76" s="327"/>
      <c r="H76" s="336" t="s">
        <v>65</v>
      </c>
      <c r="I76" s="293"/>
      <c r="J76" s="266"/>
      <c r="K76" s="249"/>
      <c r="L76" s="249"/>
      <c r="M76" s="245"/>
      <c r="N76" s="273"/>
      <c r="O76" s="271"/>
      <c r="P76" s="269"/>
      <c r="Q76" s="272"/>
      <c r="R76" s="254"/>
      <c r="S76" s="273"/>
      <c r="T76" s="266"/>
      <c r="U76" s="272"/>
      <c r="V76" s="245"/>
      <c r="W76" s="273"/>
      <c r="X76" s="302">
        <v>4</v>
      </c>
      <c r="Y76" s="257" t="s">
        <v>28</v>
      </c>
      <c r="Z76" s="161" t="s">
        <v>739</v>
      </c>
      <c r="AA76" s="257" t="s">
        <v>527</v>
      </c>
      <c r="AB76" s="257" t="s">
        <v>248</v>
      </c>
      <c r="AC76" s="312" t="s">
        <v>543</v>
      </c>
      <c r="AD76" s="150" t="s">
        <v>674</v>
      </c>
    </row>
    <row r="77" spans="1:30" ht="98.1" customHeight="1" thickBot="1">
      <c r="A77" s="242" t="s">
        <v>740</v>
      </c>
      <c r="B77" s="162" t="s">
        <v>410</v>
      </c>
      <c r="C77" s="309" t="s">
        <v>404</v>
      </c>
      <c r="D77" s="310" t="s">
        <v>411</v>
      </c>
      <c r="E77" s="311">
        <v>44621</v>
      </c>
      <c r="F77" s="330" t="s">
        <v>823</v>
      </c>
      <c r="G77" s="327"/>
      <c r="H77" s="336" t="s">
        <v>69</v>
      </c>
      <c r="I77" s="263"/>
      <c r="J77" s="289"/>
      <c r="K77" s="289"/>
      <c r="L77" s="249"/>
      <c r="M77" s="245"/>
      <c r="N77" s="244"/>
      <c r="O77" s="289"/>
      <c r="P77" s="289"/>
      <c r="Q77" s="249"/>
      <c r="R77" s="253"/>
      <c r="S77" s="244"/>
      <c r="T77" s="289"/>
      <c r="U77" s="248"/>
      <c r="V77" s="245"/>
      <c r="W77" s="325"/>
      <c r="X77" s="302">
        <v>4</v>
      </c>
      <c r="Y77" s="257" t="s">
        <v>28</v>
      </c>
      <c r="Z77" s="161" t="s">
        <v>739</v>
      </c>
      <c r="AA77" s="257" t="s">
        <v>527</v>
      </c>
      <c r="AB77" s="257" t="s">
        <v>248</v>
      </c>
      <c r="AC77" s="312" t="s">
        <v>544</v>
      </c>
      <c r="AD77" s="150" t="s">
        <v>675</v>
      </c>
    </row>
    <row r="78" spans="1:30" ht="98.1" customHeight="1" thickBot="1">
      <c r="A78" s="242" t="s">
        <v>740</v>
      </c>
      <c r="B78" s="162" t="s">
        <v>412</v>
      </c>
      <c r="C78" s="309" t="s">
        <v>404</v>
      </c>
      <c r="D78" s="310" t="s">
        <v>413</v>
      </c>
      <c r="E78" s="311">
        <v>44621</v>
      </c>
      <c r="F78" s="330" t="s">
        <v>757</v>
      </c>
      <c r="G78" s="327"/>
      <c r="H78" s="336" t="s">
        <v>65</v>
      </c>
      <c r="I78" s="263"/>
      <c r="J78" s="289"/>
      <c r="K78" s="289"/>
      <c r="L78" s="249"/>
      <c r="M78" s="245"/>
      <c r="N78" s="244"/>
      <c r="O78" s="289"/>
      <c r="P78" s="289"/>
      <c r="Q78" s="249"/>
      <c r="R78" s="253"/>
      <c r="S78" s="244"/>
      <c r="T78" s="289"/>
      <c r="U78" s="248"/>
      <c r="V78" s="245"/>
      <c r="W78" s="244"/>
      <c r="X78" s="302">
        <v>4</v>
      </c>
      <c r="Y78" s="257" t="s">
        <v>28</v>
      </c>
      <c r="Z78" s="161" t="s">
        <v>739</v>
      </c>
      <c r="AA78" s="257" t="s">
        <v>527</v>
      </c>
      <c r="AB78" s="257" t="s">
        <v>248</v>
      </c>
      <c r="AC78" s="312" t="s">
        <v>545</v>
      </c>
      <c r="AD78" s="150" t="s">
        <v>676</v>
      </c>
    </row>
    <row r="79" spans="1:30" ht="98.1" customHeight="1" thickBot="1">
      <c r="A79" s="242" t="s">
        <v>732</v>
      </c>
      <c r="B79" s="162" t="s">
        <v>414</v>
      </c>
      <c r="C79" s="309" t="s">
        <v>415</v>
      </c>
      <c r="D79" s="310" t="s">
        <v>416</v>
      </c>
      <c r="E79" s="311">
        <v>44409</v>
      </c>
      <c r="F79" s="331" t="s">
        <v>810</v>
      </c>
      <c r="G79" s="327"/>
      <c r="H79" s="336" t="s">
        <v>65</v>
      </c>
      <c r="I79" s="263"/>
      <c r="J79" s="290"/>
      <c r="K79" s="279"/>
      <c r="L79" s="280"/>
      <c r="M79" s="245"/>
      <c r="N79" s="262"/>
      <c r="O79" s="291"/>
      <c r="P79" s="291"/>
      <c r="Q79" s="280"/>
      <c r="R79" s="245"/>
      <c r="S79" s="262"/>
      <c r="T79" s="291"/>
      <c r="U79" s="291"/>
      <c r="V79" s="245"/>
      <c r="W79" s="262"/>
      <c r="X79" s="302">
        <v>2</v>
      </c>
      <c r="Y79" s="257" t="s">
        <v>28</v>
      </c>
      <c r="Z79" s="161" t="s">
        <v>738</v>
      </c>
      <c r="AA79" s="257" t="s">
        <v>527</v>
      </c>
      <c r="AB79" s="257" t="s">
        <v>248</v>
      </c>
      <c r="AC79" s="312" t="s">
        <v>546</v>
      </c>
      <c r="AD79" s="150" t="s">
        <v>677</v>
      </c>
    </row>
    <row r="80" spans="1:30" ht="98.1" hidden="1" customHeight="1" thickBot="1">
      <c r="A80" s="242" t="s">
        <v>732</v>
      </c>
      <c r="B80" s="162" t="s">
        <v>417</v>
      </c>
      <c r="C80" s="320" t="s">
        <v>137</v>
      </c>
      <c r="D80" s="321" t="s">
        <v>418</v>
      </c>
      <c r="E80" s="311">
        <v>44621</v>
      </c>
      <c r="F80" s="331" t="s">
        <v>833</v>
      </c>
      <c r="G80" s="327"/>
      <c r="H80" s="336" t="s">
        <v>65</v>
      </c>
      <c r="I80" s="263"/>
      <c r="J80" s="290"/>
      <c r="K80" s="279"/>
      <c r="L80" s="280"/>
      <c r="M80" s="245"/>
      <c r="N80" s="262"/>
      <c r="O80" s="291"/>
      <c r="P80" s="291"/>
      <c r="Q80" s="280"/>
      <c r="R80" s="245"/>
      <c r="S80" s="262"/>
      <c r="T80" s="291"/>
      <c r="U80" s="291"/>
      <c r="V80" s="245"/>
      <c r="W80" s="262"/>
      <c r="X80" s="302">
        <v>4</v>
      </c>
      <c r="Y80" s="257" t="s">
        <v>28</v>
      </c>
      <c r="Z80" s="161" t="s">
        <v>741</v>
      </c>
      <c r="AA80" s="257" t="s">
        <v>29</v>
      </c>
      <c r="AB80" s="257" t="s">
        <v>247</v>
      </c>
      <c r="AC80" s="322" t="s">
        <v>547</v>
      </c>
      <c r="AD80" s="150" t="s">
        <v>678</v>
      </c>
    </row>
    <row r="81" spans="1:30" ht="98.1" hidden="1" customHeight="1" thickBot="1">
      <c r="A81" s="242" t="s">
        <v>732</v>
      </c>
      <c r="B81" s="162" t="s">
        <v>419</v>
      </c>
      <c r="C81" s="309" t="s">
        <v>137</v>
      </c>
      <c r="D81" s="310" t="s">
        <v>420</v>
      </c>
      <c r="E81" s="311">
        <v>44621</v>
      </c>
      <c r="F81" s="332"/>
      <c r="G81" s="327"/>
      <c r="H81" s="336" t="s">
        <v>69</v>
      </c>
      <c r="I81" s="263"/>
      <c r="J81" s="290"/>
      <c r="K81" s="279"/>
      <c r="L81" s="280"/>
      <c r="M81" s="245"/>
      <c r="N81" s="262"/>
      <c r="O81" s="291"/>
      <c r="P81" s="291"/>
      <c r="Q81" s="280"/>
      <c r="R81" s="245"/>
      <c r="S81" s="262"/>
      <c r="T81" s="291"/>
      <c r="U81" s="291"/>
      <c r="V81" s="245"/>
      <c r="W81" s="262"/>
      <c r="X81" s="302">
        <v>4</v>
      </c>
      <c r="Y81" s="257" t="s">
        <v>28</v>
      </c>
      <c r="Z81" s="161" t="s">
        <v>741</v>
      </c>
      <c r="AA81" s="257" t="s">
        <v>29</v>
      </c>
      <c r="AB81" s="257" t="s">
        <v>247</v>
      </c>
      <c r="AC81" s="312" t="s">
        <v>548</v>
      </c>
      <c r="AD81" s="150" t="s">
        <v>679</v>
      </c>
    </row>
    <row r="82" spans="1:30" ht="98.1" hidden="1" customHeight="1" thickBot="1">
      <c r="A82" s="242" t="s">
        <v>732</v>
      </c>
      <c r="B82" s="162" t="s">
        <v>421</v>
      </c>
      <c r="C82" s="309" t="s">
        <v>137</v>
      </c>
      <c r="D82" s="310" t="s">
        <v>422</v>
      </c>
      <c r="E82" s="311">
        <v>44531</v>
      </c>
      <c r="F82" s="326"/>
      <c r="G82" s="327"/>
      <c r="H82" s="336" t="s">
        <v>69</v>
      </c>
      <c r="I82" s="263"/>
      <c r="J82" s="267"/>
      <c r="K82" s="267"/>
      <c r="L82" s="249"/>
      <c r="M82" s="245"/>
      <c r="N82" s="244"/>
      <c r="O82" s="267"/>
      <c r="P82" s="269"/>
      <c r="Q82" s="249"/>
      <c r="R82" s="253"/>
      <c r="S82" s="244"/>
      <c r="T82" s="289"/>
      <c r="U82" s="289"/>
      <c r="V82" s="245"/>
      <c r="W82" s="244"/>
      <c r="X82" s="302">
        <v>3</v>
      </c>
      <c r="Y82" s="257" t="s">
        <v>28</v>
      </c>
      <c r="Z82" s="161" t="s">
        <v>741</v>
      </c>
      <c r="AA82" s="257" t="s">
        <v>29</v>
      </c>
      <c r="AB82" s="257" t="s">
        <v>247</v>
      </c>
      <c r="AC82" s="312" t="s">
        <v>549</v>
      </c>
      <c r="AD82" s="150" t="s">
        <v>680</v>
      </c>
    </row>
    <row r="83" spans="1:30" ht="98.1" hidden="1" customHeight="1" thickBot="1">
      <c r="A83" s="242" t="s">
        <v>732</v>
      </c>
      <c r="B83" s="162" t="s">
        <v>423</v>
      </c>
      <c r="C83" s="309" t="s">
        <v>137</v>
      </c>
      <c r="D83" s="310" t="s">
        <v>138</v>
      </c>
      <c r="E83" s="311">
        <v>44621</v>
      </c>
      <c r="F83" s="333"/>
      <c r="G83" s="327"/>
      <c r="H83" s="336" t="s">
        <v>69</v>
      </c>
      <c r="I83" s="263"/>
      <c r="J83" s="267"/>
      <c r="K83" s="267"/>
      <c r="L83" s="249"/>
      <c r="M83" s="245"/>
      <c r="N83" s="244"/>
      <c r="O83" s="267"/>
      <c r="P83" s="269"/>
      <c r="Q83" s="249"/>
      <c r="R83" s="253"/>
      <c r="S83" s="244"/>
      <c r="T83" s="289"/>
      <c r="U83" s="289"/>
      <c r="V83" s="245"/>
      <c r="W83" s="244"/>
      <c r="X83" s="302">
        <v>4</v>
      </c>
      <c r="Y83" s="257" t="s">
        <v>28</v>
      </c>
      <c r="Z83" s="161" t="s">
        <v>741</v>
      </c>
      <c r="AA83" s="257" t="s">
        <v>29</v>
      </c>
      <c r="AB83" s="257" t="s">
        <v>247</v>
      </c>
      <c r="AC83" s="312" t="s">
        <v>550</v>
      </c>
      <c r="AD83" s="150" t="s">
        <v>681</v>
      </c>
    </row>
    <row r="84" spans="1:30" ht="75.599999999999994" hidden="1" thickBot="1">
      <c r="A84" s="242" t="s">
        <v>732</v>
      </c>
      <c r="B84" s="162" t="s">
        <v>424</v>
      </c>
      <c r="C84" s="309" t="s">
        <v>136</v>
      </c>
      <c r="D84" s="310" t="s">
        <v>425</v>
      </c>
      <c r="E84" s="311">
        <v>44621</v>
      </c>
      <c r="F84" s="326" t="s">
        <v>834</v>
      </c>
      <c r="G84" s="327"/>
      <c r="H84" s="336" t="s">
        <v>69</v>
      </c>
      <c r="I84" s="263"/>
      <c r="J84" s="259"/>
      <c r="K84" s="259"/>
      <c r="L84" s="243"/>
      <c r="M84" s="245"/>
      <c r="N84" s="244"/>
      <c r="O84" s="259"/>
      <c r="P84" s="260"/>
      <c r="Q84" s="243"/>
      <c r="R84" s="253"/>
      <c r="S84" s="244"/>
      <c r="T84" s="259"/>
      <c r="U84" s="243"/>
      <c r="V84" s="245"/>
      <c r="W84" s="244"/>
      <c r="X84" s="302">
        <v>4</v>
      </c>
      <c r="Y84" s="257" t="s">
        <v>28</v>
      </c>
      <c r="Z84" s="161" t="s">
        <v>738</v>
      </c>
      <c r="AA84" s="257" t="s">
        <v>29</v>
      </c>
      <c r="AB84" s="257" t="s">
        <v>247</v>
      </c>
      <c r="AC84" s="312" t="s">
        <v>551</v>
      </c>
      <c r="AD84" s="150" t="s">
        <v>682</v>
      </c>
    </row>
    <row r="85" spans="1:30" ht="98.1" hidden="1" customHeight="1" thickBot="1">
      <c r="A85" s="242" t="s">
        <v>42</v>
      </c>
      <c r="B85" s="162" t="s">
        <v>426</v>
      </c>
      <c r="C85" s="309" t="s">
        <v>427</v>
      </c>
      <c r="D85" s="310" t="s">
        <v>428</v>
      </c>
      <c r="E85" s="311">
        <v>44621</v>
      </c>
      <c r="F85" s="333" t="s">
        <v>827</v>
      </c>
      <c r="G85" s="327"/>
      <c r="H85" s="336" t="s">
        <v>65</v>
      </c>
      <c r="I85" s="263"/>
      <c r="J85" s="289"/>
      <c r="K85" s="289"/>
      <c r="L85" s="249"/>
      <c r="M85" s="245"/>
      <c r="N85" s="244"/>
      <c r="O85" s="289"/>
      <c r="P85" s="289"/>
      <c r="Q85" s="249"/>
      <c r="R85" s="253"/>
      <c r="S85" s="244"/>
      <c r="T85" s="289"/>
      <c r="U85" s="248"/>
      <c r="V85" s="245"/>
      <c r="W85" s="244"/>
      <c r="X85" s="303">
        <v>4</v>
      </c>
      <c r="Y85" s="257" t="s">
        <v>28</v>
      </c>
      <c r="Z85" s="161" t="s">
        <v>583</v>
      </c>
      <c r="AA85" s="257" t="s">
        <v>29</v>
      </c>
      <c r="AB85" s="257" t="s">
        <v>247</v>
      </c>
      <c r="AC85" s="312" t="s">
        <v>552</v>
      </c>
      <c r="AD85" s="150" t="s">
        <v>683</v>
      </c>
    </row>
    <row r="86" spans="1:30" ht="98.1" hidden="1" customHeight="1" thickBot="1">
      <c r="A86" s="242" t="s">
        <v>42</v>
      </c>
      <c r="B86" s="162" t="s">
        <v>429</v>
      </c>
      <c r="C86" s="309" t="s">
        <v>427</v>
      </c>
      <c r="D86" s="310" t="s">
        <v>430</v>
      </c>
      <c r="E86" s="311">
        <v>44621</v>
      </c>
      <c r="F86" s="333"/>
      <c r="G86" s="327"/>
      <c r="H86" s="336" t="s">
        <v>69</v>
      </c>
      <c r="I86" s="263"/>
      <c r="J86" s="289"/>
      <c r="K86" s="289"/>
      <c r="L86" s="249"/>
      <c r="M86" s="245"/>
      <c r="N86" s="244"/>
      <c r="O86" s="259"/>
      <c r="P86" s="289"/>
      <c r="Q86" s="249"/>
      <c r="R86" s="253"/>
      <c r="S86" s="244"/>
      <c r="T86" s="289"/>
      <c r="U86" s="248"/>
      <c r="V86" s="245"/>
      <c r="W86" s="244"/>
      <c r="X86" s="303">
        <v>4</v>
      </c>
      <c r="Y86" s="257" t="s">
        <v>28</v>
      </c>
      <c r="Z86" s="161" t="s">
        <v>583</v>
      </c>
      <c r="AA86" s="257" t="s">
        <v>29</v>
      </c>
      <c r="AB86" s="257" t="s">
        <v>247</v>
      </c>
      <c r="AC86" s="312" t="s">
        <v>553</v>
      </c>
      <c r="AD86" s="150" t="s">
        <v>684</v>
      </c>
    </row>
    <row r="87" spans="1:30" ht="98.1" hidden="1" customHeight="1" thickBot="1">
      <c r="A87" s="242" t="s">
        <v>600</v>
      </c>
      <c r="B87" s="162" t="s">
        <v>431</v>
      </c>
      <c r="C87" s="309" t="s">
        <v>16</v>
      </c>
      <c r="D87" s="310" t="s">
        <v>17</v>
      </c>
      <c r="E87" s="318"/>
      <c r="F87" s="333" t="s">
        <v>801</v>
      </c>
      <c r="G87" s="327"/>
      <c r="H87" s="336" t="s">
        <v>65</v>
      </c>
      <c r="I87" s="263"/>
      <c r="J87" s="289"/>
      <c r="K87" s="289"/>
      <c r="L87" s="249"/>
      <c r="M87" s="245"/>
      <c r="N87" s="244"/>
      <c r="O87" s="289"/>
      <c r="P87" s="267"/>
      <c r="Q87" s="249"/>
      <c r="R87" s="253"/>
      <c r="S87" s="244"/>
      <c r="T87" s="289"/>
      <c r="U87" s="248"/>
      <c r="V87" s="245"/>
      <c r="W87" s="244"/>
      <c r="X87" s="303"/>
      <c r="Y87" s="257" t="s">
        <v>26</v>
      </c>
      <c r="Z87" s="161" t="s">
        <v>24</v>
      </c>
      <c r="AA87" s="257" t="s">
        <v>29</v>
      </c>
      <c r="AB87" s="257" t="s">
        <v>77</v>
      </c>
      <c r="AC87" s="312" t="s">
        <v>176</v>
      </c>
      <c r="AD87" s="150" t="s">
        <v>685</v>
      </c>
    </row>
    <row r="88" spans="1:30" ht="98.1" hidden="1" customHeight="1" thickBot="1">
      <c r="A88" s="242" t="s">
        <v>600</v>
      </c>
      <c r="B88" s="162" t="s">
        <v>432</v>
      </c>
      <c r="C88" s="309" t="s">
        <v>18</v>
      </c>
      <c r="D88" s="310" t="s">
        <v>17</v>
      </c>
      <c r="E88" s="318"/>
      <c r="F88" s="326" t="s">
        <v>802</v>
      </c>
      <c r="G88" s="327"/>
      <c r="H88" s="336" t="s">
        <v>65</v>
      </c>
      <c r="I88" s="263"/>
      <c r="J88" s="259"/>
      <c r="K88" s="259"/>
      <c r="L88" s="243"/>
      <c r="M88" s="245"/>
      <c r="N88" s="244"/>
      <c r="O88" s="259"/>
      <c r="P88" s="260"/>
      <c r="Q88" s="243"/>
      <c r="R88" s="253"/>
      <c r="S88" s="244"/>
      <c r="T88" s="243"/>
      <c r="U88" s="243"/>
      <c r="V88" s="245"/>
      <c r="W88" s="244"/>
      <c r="X88" s="303"/>
      <c r="Y88" s="257" t="s">
        <v>26</v>
      </c>
      <c r="Z88" s="161" t="s">
        <v>24</v>
      </c>
      <c r="AA88" s="257" t="s">
        <v>29</v>
      </c>
      <c r="AB88" s="257" t="s">
        <v>77</v>
      </c>
      <c r="AC88" s="312" t="s">
        <v>177</v>
      </c>
      <c r="AD88" s="150" t="s">
        <v>686</v>
      </c>
    </row>
    <row r="89" spans="1:30" ht="98.1" hidden="1" customHeight="1" thickBot="1">
      <c r="A89" s="242" t="s">
        <v>600</v>
      </c>
      <c r="B89" s="162" t="s">
        <v>433</v>
      </c>
      <c r="C89" s="309" t="s">
        <v>19</v>
      </c>
      <c r="D89" s="310" t="s">
        <v>17</v>
      </c>
      <c r="E89" s="318"/>
      <c r="F89" s="326" t="s">
        <v>803</v>
      </c>
      <c r="G89" s="327"/>
      <c r="H89" s="336" t="s">
        <v>65</v>
      </c>
      <c r="I89" s="263"/>
      <c r="J89" s="266"/>
      <c r="K89" s="249"/>
      <c r="L89" s="249"/>
      <c r="M89" s="245"/>
      <c r="N89" s="262"/>
      <c r="O89" s="266"/>
      <c r="P89" s="260"/>
      <c r="Q89" s="261"/>
      <c r="R89" s="245"/>
      <c r="S89" s="262"/>
      <c r="T89" s="266"/>
      <c r="U89" s="261"/>
      <c r="V89" s="245"/>
      <c r="W89" s="262"/>
      <c r="X89" s="302"/>
      <c r="Y89" s="257" t="s">
        <v>26</v>
      </c>
      <c r="Z89" s="161" t="s">
        <v>24</v>
      </c>
      <c r="AA89" s="257" t="s">
        <v>29</v>
      </c>
      <c r="AB89" s="257" t="s">
        <v>77</v>
      </c>
      <c r="AC89" s="312" t="s">
        <v>178</v>
      </c>
      <c r="AD89" s="150" t="s">
        <v>687</v>
      </c>
    </row>
    <row r="90" spans="1:30" ht="98.1" hidden="1" customHeight="1" thickBot="1">
      <c r="A90" s="242" t="s">
        <v>246</v>
      </c>
      <c r="B90" s="162" t="s">
        <v>434</v>
      </c>
      <c r="C90" s="309" t="s">
        <v>139</v>
      </c>
      <c r="D90" s="310" t="s">
        <v>140</v>
      </c>
      <c r="E90" s="318" t="s">
        <v>435</v>
      </c>
      <c r="F90" s="343" t="s">
        <v>848</v>
      </c>
      <c r="G90" s="327"/>
      <c r="H90" s="336" t="s">
        <v>56</v>
      </c>
      <c r="I90" s="263"/>
      <c r="J90" s="260"/>
      <c r="K90" s="260"/>
      <c r="L90" s="261"/>
      <c r="M90" s="245"/>
      <c r="N90" s="262"/>
      <c r="O90" s="260"/>
      <c r="P90" s="260"/>
      <c r="Q90" s="261"/>
      <c r="R90" s="245"/>
      <c r="S90" s="262"/>
      <c r="T90" s="260"/>
      <c r="U90" s="261"/>
      <c r="V90" s="245"/>
      <c r="W90" s="262"/>
      <c r="X90" s="302">
        <v>1</v>
      </c>
      <c r="Y90" s="299" t="s">
        <v>26</v>
      </c>
      <c r="Z90" s="161" t="s">
        <v>24</v>
      </c>
      <c r="AA90" s="257" t="s">
        <v>29</v>
      </c>
      <c r="AB90" s="257" t="s">
        <v>77</v>
      </c>
      <c r="AC90" s="312" t="s">
        <v>179</v>
      </c>
      <c r="AD90" s="150" t="s">
        <v>688</v>
      </c>
    </row>
    <row r="91" spans="1:30" ht="98.1" hidden="1" customHeight="1" thickBot="1">
      <c r="A91" s="242" t="s">
        <v>246</v>
      </c>
      <c r="B91" s="162" t="s">
        <v>436</v>
      </c>
      <c r="C91" s="309" t="s">
        <v>141</v>
      </c>
      <c r="D91" s="310" t="s">
        <v>437</v>
      </c>
      <c r="E91" s="311">
        <v>44531</v>
      </c>
      <c r="F91" s="326"/>
      <c r="G91" s="327"/>
      <c r="H91" s="336" t="s">
        <v>69</v>
      </c>
      <c r="I91" s="263"/>
      <c r="J91" s="259"/>
      <c r="K91" s="259"/>
      <c r="L91" s="243"/>
      <c r="M91" s="245"/>
      <c r="N91" s="244"/>
      <c r="O91" s="259"/>
      <c r="P91" s="259"/>
      <c r="Q91" s="243"/>
      <c r="R91" s="253"/>
      <c r="S91" s="244"/>
      <c r="T91" s="259"/>
      <c r="U91" s="243"/>
      <c r="V91" s="245"/>
      <c r="W91" s="244"/>
      <c r="X91" s="303">
        <v>3</v>
      </c>
      <c r="Y91" s="299" t="s">
        <v>26</v>
      </c>
      <c r="Z91" s="161" t="s">
        <v>24</v>
      </c>
      <c r="AA91" s="257" t="s">
        <v>29</v>
      </c>
      <c r="AB91" s="257" t="s">
        <v>77</v>
      </c>
      <c r="AC91" s="312" t="s">
        <v>180</v>
      </c>
      <c r="AD91" s="150" t="s">
        <v>689</v>
      </c>
    </row>
    <row r="92" spans="1:30" ht="98.1" hidden="1" customHeight="1" thickBot="1">
      <c r="A92" s="242" t="s">
        <v>48</v>
      </c>
      <c r="B92" s="162" t="s">
        <v>438</v>
      </c>
      <c r="C92" s="309" t="s">
        <v>439</v>
      </c>
      <c r="D92" s="310" t="s">
        <v>440</v>
      </c>
      <c r="E92" s="311">
        <v>44287</v>
      </c>
      <c r="F92" s="326" t="s">
        <v>775</v>
      </c>
      <c r="G92" s="327"/>
      <c r="H92" s="336" t="s">
        <v>56</v>
      </c>
      <c r="I92" s="263"/>
      <c r="J92" s="259"/>
      <c r="K92" s="259"/>
      <c r="L92" s="243"/>
      <c r="M92" s="245"/>
      <c r="N92" s="244"/>
      <c r="O92" s="259"/>
      <c r="P92" s="259"/>
      <c r="Q92" s="243"/>
      <c r="R92" s="253"/>
      <c r="S92" s="244"/>
      <c r="T92" s="243"/>
      <c r="U92" s="243"/>
      <c r="V92" s="245"/>
      <c r="W92" s="244"/>
      <c r="X92" s="302">
        <v>1</v>
      </c>
      <c r="Y92" s="257" t="s">
        <v>27</v>
      </c>
      <c r="Z92" s="161" t="s">
        <v>47</v>
      </c>
      <c r="AA92" s="257" t="s">
        <v>29</v>
      </c>
      <c r="AB92" s="257" t="s">
        <v>77</v>
      </c>
      <c r="AC92" s="312" t="s">
        <v>554</v>
      </c>
      <c r="AD92" s="150" t="s">
        <v>690</v>
      </c>
    </row>
    <row r="93" spans="1:30" ht="98.1" hidden="1" customHeight="1" thickBot="1">
      <c r="A93" s="242" t="s">
        <v>48</v>
      </c>
      <c r="B93" s="162" t="s">
        <v>441</v>
      </c>
      <c r="C93" s="309" t="s">
        <v>439</v>
      </c>
      <c r="D93" s="310" t="s">
        <v>442</v>
      </c>
      <c r="E93" s="311">
        <v>44348</v>
      </c>
      <c r="F93" s="326" t="s">
        <v>774</v>
      </c>
      <c r="G93" s="327"/>
      <c r="H93" s="336" t="s">
        <v>56</v>
      </c>
      <c r="I93" s="263"/>
      <c r="J93" s="259"/>
      <c r="K93" s="288"/>
      <c r="L93" s="287"/>
      <c r="M93" s="245"/>
      <c r="N93" s="244"/>
      <c r="O93" s="259"/>
      <c r="P93" s="288"/>
      <c r="Q93" s="243"/>
      <c r="R93" s="253"/>
      <c r="S93" s="244"/>
      <c r="T93" s="259"/>
      <c r="U93" s="287"/>
      <c r="V93" s="245"/>
      <c r="W93" s="244"/>
      <c r="X93" s="303">
        <v>1</v>
      </c>
      <c r="Y93" s="257" t="s">
        <v>27</v>
      </c>
      <c r="Z93" s="161" t="s">
        <v>47</v>
      </c>
      <c r="AA93" s="257" t="s">
        <v>29</v>
      </c>
      <c r="AB93" s="257" t="s">
        <v>77</v>
      </c>
      <c r="AC93" s="312" t="s">
        <v>181</v>
      </c>
      <c r="AD93" s="150" t="s">
        <v>691</v>
      </c>
    </row>
    <row r="94" spans="1:30" ht="98.1" hidden="1" customHeight="1" thickBot="1">
      <c r="A94" s="242" t="s">
        <v>48</v>
      </c>
      <c r="B94" s="162" t="s">
        <v>443</v>
      </c>
      <c r="C94" s="309" t="s">
        <v>439</v>
      </c>
      <c r="D94" s="310" t="s">
        <v>444</v>
      </c>
      <c r="E94" s="311">
        <v>44531</v>
      </c>
      <c r="F94" s="330" t="s">
        <v>776</v>
      </c>
      <c r="G94" s="327"/>
      <c r="H94" s="336" t="s">
        <v>65</v>
      </c>
      <c r="I94" s="263"/>
      <c r="J94" s="259"/>
      <c r="K94" s="259"/>
      <c r="L94" s="243"/>
      <c r="M94" s="245"/>
      <c r="N94" s="244"/>
      <c r="O94" s="259"/>
      <c r="P94" s="259"/>
      <c r="Q94" s="243"/>
      <c r="R94" s="253"/>
      <c r="S94" s="244"/>
      <c r="T94" s="259"/>
      <c r="U94" s="243"/>
      <c r="V94" s="245"/>
      <c r="W94" s="244"/>
      <c r="X94" s="303">
        <v>3</v>
      </c>
      <c r="Y94" s="257" t="s">
        <v>27</v>
      </c>
      <c r="Z94" s="161" t="s">
        <v>47</v>
      </c>
      <c r="AA94" s="257" t="s">
        <v>29</v>
      </c>
      <c r="AB94" s="257" t="s">
        <v>77</v>
      </c>
      <c r="AC94" s="312" t="s">
        <v>182</v>
      </c>
      <c r="AD94" s="150" t="s">
        <v>692</v>
      </c>
    </row>
    <row r="95" spans="1:30" ht="98.1" hidden="1" customHeight="1" thickBot="1">
      <c r="A95" s="242" t="s">
        <v>42</v>
      </c>
      <c r="B95" s="162" t="s">
        <v>445</v>
      </c>
      <c r="C95" s="309" t="s">
        <v>439</v>
      </c>
      <c r="D95" s="310" t="s">
        <v>446</v>
      </c>
      <c r="E95" s="311">
        <v>44621</v>
      </c>
      <c r="F95" s="326" t="s">
        <v>832</v>
      </c>
      <c r="G95" s="327"/>
      <c r="H95" s="336" t="s">
        <v>69</v>
      </c>
      <c r="I95" s="263"/>
      <c r="J95" s="243"/>
      <c r="K95" s="259"/>
      <c r="L95" s="243"/>
      <c r="M95" s="245"/>
      <c r="N95" s="244"/>
      <c r="O95" s="259"/>
      <c r="P95" s="259"/>
      <c r="Q95" s="243"/>
      <c r="R95" s="253"/>
      <c r="S95" s="244"/>
      <c r="T95" s="259"/>
      <c r="U95" s="243"/>
      <c r="V95" s="245"/>
      <c r="W95" s="259"/>
      <c r="X95" s="303">
        <v>4</v>
      </c>
      <c r="Y95" s="257" t="s">
        <v>27</v>
      </c>
      <c r="Z95" s="161" t="s">
        <v>47</v>
      </c>
      <c r="AA95" s="257" t="s">
        <v>29</v>
      </c>
      <c r="AB95" s="257" t="s">
        <v>77</v>
      </c>
      <c r="AC95" s="312" t="s">
        <v>183</v>
      </c>
      <c r="AD95" s="150" t="s">
        <v>693</v>
      </c>
    </row>
    <row r="96" spans="1:30" ht="98.1" hidden="1" customHeight="1" thickBot="1">
      <c r="A96" s="242" t="s">
        <v>48</v>
      </c>
      <c r="B96" s="162" t="s">
        <v>447</v>
      </c>
      <c r="C96" s="309" t="s">
        <v>448</v>
      </c>
      <c r="D96" s="310" t="s">
        <v>449</v>
      </c>
      <c r="E96" s="311">
        <v>44470</v>
      </c>
      <c r="F96" s="328" t="s">
        <v>777</v>
      </c>
      <c r="G96" s="327"/>
      <c r="H96" s="336" t="s">
        <v>65</v>
      </c>
      <c r="I96" s="263"/>
      <c r="J96" s="349"/>
      <c r="K96" s="259"/>
      <c r="L96" s="243"/>
      <c r="M96" s="245"/>
      <c r="N96" s="244"/>
      <c r="O96" s="259"/>
      <c r="P96" s="259"/>
      <c r="Q96" s="243"/>
      <c r="R96" s="245"/>
      <c r="S96" s="244"/>
      <c r="T96" s="259"/>
      <c r="U96" s="243"/>
      <c r="V96" s="245"/>
      <c r="W96" s="244"/>
      <c r="X96" s="303">
        <v>3</v>
      </c>
      <c r="Y96" s="257" t="s">
        <v>27</v>
      </c>
      <c r="Z96" s="161" t="s">
        <v>47</v>
      </c>
      <c r="AA96" s="257" t="s">
        <v>29</v>
      </c>
      <c r="AB96" s="257" t="s">
        <v>77</v>
      </c>
      <c r="AC96" s="312" t="s">
        <v>184</v>
      </c>
      <c r="AD96" s="150" t="s">
        <v>694</v>
      </c>
    </row>
    <row r="97" spans="1:30" ht="98.1" hidden="1" customHeight="1" thickBot="1">
      <c r="A97" s="242" t="s">
        <v>48</v>
      </c>
      <c r="B97" s="162" t="s">
        <v>450</v>
      </c>
      <c r="C97" s="309" t="s">
        <v>448</v>
      </c>
      <c r="D97" s="310" t="s">
        <v>451</v>
      </c>
      <c r="E97" s="311">
        <v>44621</v>
      </c>
      <c r="F97" s="326"/>
      <c r="G97" s="327"/>
      <c r="H97" s="336" t="s">
        <v>69</v>
      </c>
      <c r="I97" s="263"/>
      <c r="J97" s="259"/>
      <c r="K97" s="259"/>
      <c r="L97" s="243"/>
      <c r="M97" s="245"/>
      <c r="N97" s="244"/>
      <c r="O97" s="259"/>
      <c r="P97" s="259"/>
      <c r="Q97" s="243"/>
      <c r="R97" s="253"/>
      <c r="S97" s="244"/>
      <c r="T97" s="259"/>
      <c r="U97" s="243"/>
      <c r="V97" s="245"/>
      <c r="W97" s="244"/>
      <c r="X97" s="303">
        <v>4</v>
      </c>
      <c r="Y97" s="257" t="s">
        <v>27</v>
      </c>
      <c r="Z97" s="161" t="s">
        <v>47</v>
      </c>
      <c r="AA97" s="257" t="s">
        <v>29</v>
      </c>
      <c r="AB97" s="257" t="s">
        <v>77</v>
      </c>
      <c r="AC97" s="312" t="s">
        <v>185</v>
      </c>
      <c r="AD97" s="150" t="s">
        <v>695</v>
      </c>
    </row>
    <row r="98" spans="1:30" ht="98.1" hidden="1" customHeight="1" thickBot="1">
      <c r="A98" s="242" t="s">
        <v>48</v>
      </c>
      <c r="B98" s="162" t="s">
        <v>452</v>
      </c>
      <c r="C98" s="309" t="s">
        <v>142</v>
      </c>
      <c r="D98" s="310" t="s">
        <v>453</v>
      </c>
      <c r="E98" s="311">
        <v>44621</v>
      </c>
      <c r="F98" s="326"/>
      <c r="G98" s="327"/>
      <c r="H98" s="336" t="s">
        <v>69</v>
      </c>
      <c r="I98" s="263"/>
      <c r="J98" s="266"/>
      <c r="K98" s="249"/>
      <c r="L98" s="249"/>
      <c r="M98" s="245"/>
      <c r="N98" s="244"/>
      <c r="O98" s="266"/>
      <c r="P98" s="259"/>
      <c r="Q98" s="243"/>
      <c r="R98" s="253"/>
      <c r="S98" s="244"/>
      <c r="T98" s="266"/>
      <c r="U98" s="266"/>
      <c r="V98" s="245"/>
      <c r="W98" s="244"/>
      <c r="X98" s="302">
        <v>4</v>
      </c>
      <c r="Y98" s="257" t="s">
        <v>27</v>
      </c>
      <c r="Z98" s="161" t="s">
        <v>47</v>
      </c>
      <c r="AA98" s="257" t="s">
        <v>29</v>
      </c>
      <c r="AB98" s="257" t="s">
        <v>77</v>
      </c>
      <c r="AC98" s="312" t="s">
        <v>186</v>
      </c>
      <c r="AD98" s="150" t="s">
        <v>696</v>
      </c>
    </row>
    <row r="99" spans="1:30" ht="98.1" hidden="1" customHeight="1" thickBot="1">
      <c r="A99" s="242" t="s">
        <v>48</v>
      </c>
      <c r="B99" s="162" t="s">
        <v>454</v>
      </c>
      <c r="C99" s="320" t="s">
        <v>455</v>
      </c>
      <c r="D99" s="321" t="s">
        <v>456</v>
      </c>
      <c r="E99" s="311">
        <v>44531</v>
      </c>
      <c r="F99" s="326" t="s">
        <v>843</v>
      </c>
      <c r="G99" s="327"/>
      <c r="H99" s="336" t="s">
        <v>65</v>
      </c>
      <c r="I99" s="263"/>
      <c r="J99" s="259"/>
      <c r="K99" s="259"/>
      <c r="L99" s="243"/>
      <c r="M99" s="245"/>
      <c r="N99" s="244"/>
      <c r="O99" s="259"/>
      <c r="P99" s="259"/>
      <c r="Q99" s="243"/>
      <c r="R99" s="245"/>
      <c r="S99" s="244"/>
      <c r="T99" s="259"/>
      <c r="U99" s="243"/>
      <c r="V99" s="245"/>
      <c r="W99" s="244"/>
      <c r="X99" s="303">
        <v>3</v>
      </c>
      <c r="Y99" s="257" t="s">
        <v>27</v>
      </c>
      <c r="Z99" s="161" t="s">
        <v>47</v>
      </c>
      <c r="AA99" s="257" t="s">
        <v>29</v>
      </c>
      <c r="AB99" s="257" t="s">
        <v>77</v>
      </c>
      <c r="AC99" s="322" t="s">
        <v>555</v>
      </c>
      <c r="AD99" s="150" t="s">
        <v>697</v>
      </c>
    </row>
    <row r="100" spans="1:30" ht="98.1" hidden="1" customHeight="1" thickBot="1">
      <c r="A100" s="242" t="s">
        <v>48</v>
      </c>
      <c r="B100" s="162" t="s">
        <v>457</v>
      </c>
      <c r="C100" s="309" t="s">
        <v>455</v>
      </c>
      <c r="D100" s="310" t="s">
        <v>458</v>
      </c>
      <c r="E100" s="311">
        <v>44621</v>
      </c>
      <c r="F100" s="326" t="s">
        <v>844</v>
      </c>
      <c r="G100" s="327"/>
      <c r="H100" s="336" t="s">
        <v>66</v>
      </c>
      <c r="I100" s="263"/>
      <c r="J100" s="259"/>
      <c r="K100" s="259"/>
      <c r="L100" s="243"/>
      <c r="M100" s="245"/>
      <c r="N100" s="244"/>
      <c r="O100" s="259"/>
      <c r="P100" s="259"/>
      <c r="Q100" s="243"/>
      <c r="R100" s="245"/>
      <c r="S100" s="244"/>
      <c r="T100" s="259"/>
      <c r="U100" s="243"/>
      <c r="V100" s="245"/>
      <c r="W100" s="244"/>
      <c r="X100" s="303">
        <v>4</v>
      </c>
      <c r="Y100" s="257" t="s">
        <v>27</v>
      </c>
      <c r="Z100" s="161" t="s">
        <v>47</v>
      </c>
      <c r="AA100" s="257" t="s">
        <v>29</v>
      </c>
      <c r="AB100" s="257" t="s">
        <v>77</v>
      </c>
      <c r="AC100" s="312" t="s">
        <v>187</v>
      </c>
      <c r="AD100" s="150" t="s">
        <v>698</v>
      </c>
    </row>
    <row r="101" spans="1:30" ht="98.1" hidden="1" customHeight="1" thickBot="1">
      <c r="A101" s="242" t="s">
        <v>48</v>
      </c>
      <c r="B101" s="162" t="s">
        <v>459</v>
      </c>
      <c r="C101" s="309" t="s">
        <v>460</v>
      </c>
      <c r="D101" s="310" t="s">
        <v>733</v>
      </c>
      <c r="E101" s="311">
        <v>44621</v>
      </c>
      <c r="F101" s="326" t="s">
        <v>778</v>
      </c>
      <c r="G101" s="327"/>
      <c r="H101" s="336" t="s">
        <v>65</v>
      </c>
      <c r="I101" s="263"/>
      <c r="J101" s="259"/>
      <c r="K101" s="259"/>
      <c r="L101" s="243"/>
      <c r="M101" s="245"/>
      <c r="N101" s="244"/>
      <c r="O101" s="259"/>
      <c r="P101" s="259"/>
      <c r="Q101" s="243"/>
      <c r="R101" s="253"/>
      <c r="S101" s="244"/>
      <c r="T101" s="259"/>
      <c r="U101" s="243"/>
      <c r="V101" s="245"/>
      <c r="W101" s="244"/>
      <c r="X101" s="302">
        <v>4</v>
      </c>
      <c r="Y101" s="257" t="s">
        <v>27</v>
      </c>
      <c r="Z101" s="161" t="s">
        <v>47</v>
      </c>
      <c r="AA101" s="257" t="s">
        <v>29</v>
      </c>
      <c r="AB101" s="257" t="s">
        <v>77</v>
      </c>
      <c r="AC101" s="312" t="s">
        <v>556</v>
      </c>
      <c r="AD101" s="150" t="s">
        <v>699</v>
      </c>
    </row>
    <row r="102" spans="1:30" ht="98.1" hidden="1" customHeight="1" thickBot="1">
      <c r="A102" s="242" t="s">
        <v>48</v>
      </c>
      <c r="B102" s="162" t="s">
        <v>461</v>
      </c>
      <c r="C102" s="309" t="s">
        <v>460</v>
      </c>
      <c r="D102" s="310" t="s">
        <v>462</v>
      </c>
      <c r="E102" s="311">
        <v>44621</v>
      </c>
      <c r="F102" s="285" t="s">
        <v>798</v>
      </c>
      <c r="G102" s="327"/>
      <c r="H102" s="336" t="s">
        <v>65</v>
      </c>
      <c r="I102" s="293"/>
      <c r="J102" s="292"/>
      <c r="K102" s="292"/>
      <c r="L102" s="246"/>
      <c r="M102" s="245"/>
      <c r="N102" s="247"/>
      <c r="O102" s="292"/>
      <c r="P102" s="292"/>
      <c r="Q102" s="246"/>
      <c r="R102" s="256"/>
      <c r="S102" s="247"/>
      <c r="T102" s="267"/>
      <c r="U102" s="249"/>
      <c r="V102" s="245"/>
      <c r="W102" s="247"/>
      <c r="X102" s="303">
        <v>4</v>
      </c>
      <c r="Y102" s="257" t="s">
        <v>27</v>
      </c>
      <c r="Z102" s="161" t="s">
        <v>47</v>
      </c>
      <c r="AA102" s="257" t="s">
        <v>29</v>
      </c>
      <c r="AB102" s="257" t="s">
        <v>77</v>
      </c>
      <c r="AC102" s="312" t="s">
        <v>557</v>
      </c>
      <c r="AD102" s="150" t="s">
        <v>700</v>
      </c>
    </row>
    <row r="103" spans="1:30" ht="98.1" hidden="1" customHeight="1" thickBot="1">
      <c r="A103" s="242" t="s">
        <v>48</v>
      </c>
      <c r="B103" s="162" t="s">
        <v>463</v>
      </c>
      <c r="C103" s="309" t="s">
        <v>460</v>
      </c>
      <c r="D103" s="310" t="s">
        <v>464</v>
      </c>
      <c r="E103" s="311">
        <v>44621</v>
      </c>
      <c r="F103" s="285"/>
      <c r="G103" s="327"/>
      <c r="H103" s="336" t="s">
        <v>69</v>
      </c>
      <c r="I103" s="293"/>
      <c r="J103" s="292"/>
      <c r="K103" s="292"/>
      <c r="L103" s="246"/>
      <c r="M103" s="245"/>
      <c r="N103" s="247"/>
      <c r="O103" s="292"/>
      <c r="P103" s="292"/>
      <c r="Q103" s="246"/>
      <c r="R103" s="256"/>
      <c r="S103" s="247"/>
      <c r="T103" s="267"/>
      <c r="U103" s="249"/>
      <c r="V103" s="245"/>
      <c r="W103" s="247"/>
      <c r="X103" s="302">
        <v>4</v>
      </c>
      <c r="Y103" s="257" t="s">
        <v>27</v>
      </c>
      <c r="Z103" s="161" t="s">
        <v>47</v>
      </c>
      <c r="AA103" s="257" t="s">
        <v>29</v>
      </c>
      <c r="AB103" s="257" t="s">
        <v>77</v>
      </c>
      <c r="AC103" s="312" t="s">
        <v>558</v>
      </c>
      <c r="AD103" s="150" t="s">
        <v>701</v>
      </c>
    </row>
    <row r="104" spans="1:30" ht="98.1" hidden="1" customHeight="1" thickBot="1">
      <c r="A104" s="242" t="s">
        <v>48</v>
      </c>
      <c r="B104" s="162" t="s">
        <v>465</v>
      </c>
      <c r="C104" s="309" t="s">
        <v>460</v>
      </c>
      <c r="D104" s="310" t="s">
        <v>466</v>
      </c>
      <c r="E104" s="311">
        <v>44621</v>
      </c>
      <c r="F104" s="285"/>
      <c r="G104" s="327"/>
      <c r="H104" s="336" t="s">
        <v>69</v>
      </c>
      <c r="I104" s="293"/>
      <c r="J104" s="292"/>
      <c r="K104" s="292"/>
      <c r="L104" s="246"/>
      <c r="M104" s="245"/>
      <c r="N104" s="247"/>
      <c r="O104" s="292"/>
      <c r="P104" s="292"/>
      <c r="Q104" s="246"/>
      <c r="R104" s="256"/>
      <c r="S104" s="247"/>
      <c r="T104" s="292"/>
      <c r="U104" s="249"/>
      <c r="V104" s="245"/>
      <c r="W104" s="247"/>
      <c r="X104" s="302">
        <v>4</v>
      </c>
      <c r="Y104" s="257" t="s">
        <v>27</v>
      </c>
      <c r="Z104" s="161" t="s">
        <v>47</v>
      </c>
      <c r="AA104" s="257" t="s">
        <v>29</v>
      </c>
      <c r="AB104" s="257" t="s">
        <v>77</v>
      </c>
      <c r="AC104" s="312" t="s">
        <v>559</v>
      </c>
      <c r="AD104" s="150" t="s">
        <v>702</v>
      </c>
    </row>
    <row r="105" spans="1:30" ht="98.1" hidden="1" customHeight="1" thickBot="1">
      <c r="A105" s="242" t="s">
        <v>48</v>
      </c>
      <c r="B105" s="162" t="s">
        <v>467</v>
      </c>
      <c r="C105" s="309" t="s">
        <v>460</v>
      </c>
      <c r="D105" s="310" t="s">
        <v>468</v>
      </c>
      <c r="E105" s="311">
        <v>44378</v>
      </c>
      <c r="F105" s="285" t="s">
        <v>852</v>
      </c>
      <c r="G105" s="327"/>
      <c r="H105" s="336" t="s">
        <v>69</v>
      </c>
      <c r="I105" s="293"/>
      <c r="J105" s="292"/>
      <c r="K105" s="292"/>
      <c r="L105" s="246"/>
      <c r="M105" s="245"/>
      <c r="N105" s="244"/>
      <c r="O105" s="292"/>
      <c r="P105" s="292"/>
      <c r="Q105" s="246"/>
      <c r="R105" s="256"/>
      <c r="S105" s="247"/>
      <c r="T105" s="292"/>
      <c r="U105" s="249"/>
      <c r="V105" s="245"/>
      <c r="W105" s="247"/>
      <c r="X105" s="302">
        <v>2</v>
      </c>
      <c r="Y105" s="257" t="s">
        <v>27</v>
      </c>
      <c r="Z105" s="161" t="s">
        <v>47</v>
      </c>
      <c r="AA105" s="257" t="s">
        <v>29</v>
      </c>
      <c r="AB105" s="257" t="s">
        <v>77</v>
      </c>
      <c r="AC105" s="312" t="s">
        <v>560</v>
      </c>
      <c r="AD105" s="150" t="s">
        <v>703</v>
      </c>
    </row>
    <row r="106" spans="1:30" ht="98.1" hidden="1" customHeight="1" thickBot="1">
      <c r="A106" s="242" t="s">
        <v>246</v>
      </c>
      <c r="B106" s="162" t="s">
        <v>469</v>
      </c>
      <c r="C106" s="309" t="s">
        <v>141</v>
      </c>
      <c r="D106" s="310" t="s">
        <v>470</v>
      </c>
      <c r="E106" s="311">
        <v>44621</v>
      </c>
      <c r="F106" s="285"/>
      <c r="G106" s="327"/>
      <c r="H106" s="336" t="s">
        <v>69</v>
      </c>
      <c r="I106" s="293"/>
      <c r="J106" s="292"/>
      <c r="K106" s="292"/>
      <c r="L106" s="246"/>
      <c r="M106" s="245"/>
      <c r="N106" s="244"/>
      <c r="O106" s="292"/>
      <c r="P106" s="292"/>
      <c r="Q106" s="246"/>
      <c r="R106" s="256"/>
      <c r="S106" s="247"/>
      <c r="T106" s="292"/>
      <c r="U106" s="246"/>
      <c r="V106" s="245"/>
      <c r="W106" s="247"/>
      <c r="X106" s="302">
        <v>4</v>
      </c>
      <c r="Y106" s="257" t="s">
        <v>26</v>
      </c>
      <c r="Z106" s="161" t="s">
        <v>24</v>
      </c>
      <c r="AA106" s="257" t="s">
        <v>29</v>
      </c>
      <c r="AB106" s="257" t="s">
        <v>77</v>
      </c>
      <c r="AC106" s="312" t="s">
        <v>561</v>
      </c>
      <c r="AD106" s="150" t="s">
        <v>704</v>
      </c>
    </row>
    <row r="107" spans="1:30" ht="98.1" hidden="1" customHeight="1" thickBot="1">
      <c r="A107" s="242" t="s">
        <v>246</v>
      </c>
      <c r="B107" s="162" t="s">
        <v>471</v>
      </c>
      <c r="C107" s="309" t="s">
        <v>141</v>
      </c>
      <c r="D107" s="310" t="s">
        <v>472</v>
      </c>
      <c r="E107" s="311">
        <v>44621</v>
      </c>
      <c r="F107" s="285"/>
      <c r="G107" s="327"/>
      <c r="H107" s="336" t="s">
        <v>69</v>
      </c>
      <c r="I107" s="293"/>
      <c r="J107" s="292"/>
      <c r="K107" s="292"/>
      <c r="L107" s="246"/>
      <c r="M107" s="245"/>
      <c r="N107" s="244"/>
      <c r="O107" s="292"/>
      <c r="P107" s="292"/>
      <c r="Q107" s="246"/>
      <c r="R107" s="256"/>
      <c r="S107" s="247"/>
      <c r="T107" s="292"/>
      <c r="U107" s="246"/>
      <c r="V107" s="245"/>
      <c r="W107" s="247"/>
      <c r="X107" s="302">
        <v>4</v>
      </c>
      <c r="Y107" s="257" t="s">
        <v>26</v>
      </c>
      <c r="Z107" s="161" t="s">
        <v>24</v>
      </c>
      <c r="AA107" s="257" t="s">
        <v>29</v>
      </c>
      <c r="AB107" s="257" t="s">
        <v>77</v>
      </c>
      <c r="AC107" s="312" t="s">
        <v>562</v>
      </c>
      <c r="AD107" s="150" t="s">
        <v>705</v>
      </c>
    </row>
    <row r="108" spans="1:30" ht="98.1" hidden="1" customHeight="1" thickBot="1">
      <c r="A108" s="242" t="s">
        <v>732</v>
      </c>
      <c r="B108" s="162" t="s">
        <v>473</v>
      </c>
      <c r="C108" s="309" t="s">
        <v>474</v>
      </c>
      <c r="D108" s="310" t="s">
        <v>475</v>
      </c>
      <c r="E108" s="311">
        <v>44621</v>
      </c>
      <c r="F108" s="285"/>
      <c r="G108" s="327"/>
      <c r="H108" s="336" t="s">
        <v>69</v>
      </c>
      <c r="I108" s="293"/>
      <c r="J108" s="292"/>
      <c r="K108" s="292"/>
      <c r="L108" s="246"/>
      <c r="M108" s="245"/>
      <c r="N108" s="244"/>
      <c r="O108" s="292"/>
      <c r="P108" s="292"/>
      <c r="Q108" s="246"/>
      <c r="R108" s="256"/>
      <c r="S108" s="247"/>
      <c r="T108" s="292"/>
      <c r="U108" s="246"/>
      <c r="V108" s="245"/>
      <c r="W108" s="247"/>
      <c r="X108" s="302">
        <v>4</v>
      </c>
      <c r="Y108" s="257" t="s">
        <v>28</v>
      </c>
      <c r="Z108" s="161" t="s">
        <v>738</v>
      </c>
      <c r="AA108" s="257" t="s">
        <v>29</v>
      </c>
      <c r="AB108" s="257" t="s">
        <v>248</v>
      </c>
      <c r="AC108" s="312" t="s">
        <v>563</v>
      </c>
      <c r="AD108" s="150" t="s">
        <v>706</v>
      </c>
    </row>
    <row r="109" spans="1:30" ht="98.1" hidden="1" customHeight="1" thickBot="1">
      <c r="A109" s="242" t="s">
        <v>732</v>
      </c>
      <c r="B109" s="162" t="s">
        <v>476</v>
      </c>
      <c r="C109" s="309" t="s">
        <v>474</v>
      </c>
      <c r="D109" s="310" t="s">
        <v>477</v>
      </c>
      <c r="E109" s="311">
        <v>44378</v>
      </c>
      <c r="F109" s="285" t="s">
        <v>811</v>
      </c>
      <c r="G109" s="327"/>
      <c r="H109" s="336" t="s">
        <v>56</v>
      </c>
      <c r="I109" s="293"/>
      <c r="J109" s="246"/>
      <c r="K109" s="292"/>
      <c r="L109" s="246"/>
      <c r="M109" s="245"/>
      <c r="O109" s="292"/>
      <c r="P109" s="292"/>
      <c r="Q109" s="246"/>
      <c r="R109" s="256"/>
      <c r="S109" s="247"/>
      <c r="T109" s="292"/>
      <c r="U109" s="246"/>
      <c r="V109" s="245"/>
      <c r="W109" s="247"/>
      <c r="X109" s="302">
        <v>2</v>
      </c>
      <c r="Y109" s="257" t="s">
        <v>28</v>
      </c>
      <c r="Z109" s="161" t="s">
        <v>738</v>
      </c>
      <c r="AA109" s="257" t="s">
        <v>29</v>
      </c>
      <c r="AB109" s="257" t="s">
        <v>248</v>
      </c>
      <c r="AC109" s="312" t="s">
        <v>564</v>
      </c>
      <c r="AD109" s="150" t="s">
        <v>707</v>
      </c>
    </row>
    <row r="110" spans="1:30" ht="98.1" hidden="1" customHeight="1" thickBot="1">
      <c r="A110" s="242" t="s">
        <v>732</v>
      </c>
      <c r="B110" s="162" t="s">
        <v>478</v>
      </c>
      <c r="C110" s="309" t="s">
        <v>144</v>
      </c>
      <c r="D110" s="310" t="s">
        <v>479</v>
      </c>
      <c r="E110" s="311">
        <v>44440</v>
      </c>
      <c r="F110" s="326" t="s">
        <v>812</v>
      </c>
      <c r="G110" s="327"/>
      <c r="H110" s="336" t="s">
        <v>65</v>
      </c>
      <c r="I110" s="263"/>
      <c r="J110" s="246"/>
      <c r="K110" s="259"/>
      <c r="L110" s="243"/>
      <c r="M110" s="245"/>
      <c r="N110" s="244"/>
      <c r="O110" s="259"/>
      <c r="P110" s="259"/>
      <c r="Q110" s="243"/>
      <c r="R110" s="245"/>
      <c r="S110" s="244"/>
      <c r="T110" s="259"/>
      <c r="U110" s="243"/>
      <c r="V110" s="245"/>
      <c r="W110" s="244"/>
      <c r="X110" s="303">
        <v>2</v>
      </c>
      <c r="Y110" s="257" t="s">
        <v>28</v>
      </c>
      <c r="Z110" s="161" t="s">
        <v>738</v>
      </c>
      <c r="AA110" s="257" t="s">
        <v>241</v>
      </c>
      <c r="AB110" s="257" t="s">
        <v>247</v>
      </c>
      <c r="AC110" s="312" t="s">
        <v>565</v>
      </c>
      <c r="AD110" s="150" t="s">
        <v>708</v>
      </c>
    </row>
    <row r="111" spans="1:30" ht="98.1" hidden="1" customHeight="1" thickBot="1">
      <c r="A111" s="242" t="s">
        <v>732</v>
      </c>
      <c r="B111" s="162" t="s">
        <v>480</v>
      </c>
      <c r="C111" s="309" t="s">
        <v>144</v>
      </c>
      <c r="D111" s="310" t="s">
        <v>481</v>
      </c>
      <c r="E111" s="311">
        <v>44531</v>
      </c>
      <c r="F111" s="326"/>
      <c r="G111" s="327"/>
      <c r="H111" s="336" t="s">
        <v>69</v>
      </c>
      <c r="I111" s="263"/>
      <c r="J111" s="246"/>
      <c r="K111" s="259"/>
      <c r="L111" s="243"/>
      <c r="M111" s="245"/>
      <c r="N111" s="244"/>
      <c r="O111" s="259"/>
      <c r="P111" s="259"/>
      <c r="Q111" s="243"/>
      <c r="R111" s="245"/>
      <c r="S111" s="244"/>
      <c r="T111" s="259"/>
      <c r="U111" s="243"/>
      <c r="V111" s="245"/>
      <c r="W111" s="244"/>
      <c r="X111" s="302">
        <v>3</v>
      </c>
      <c r="Y111" s="257" t="s">
        <v>28</v>
      </c>
      <c r="Z111" s="161" t="s">
        <v>738</v>
      </c>
      <c r="AA111" s="257" t="s">
        <v>241</v>
      </c>
      <c r="AB111" s="257" t="s">
        <v>247</v>
      </c>
      <c r="AC111" s="312" t="s">
        <v>566</v>
      </c>
      <c r="AD111" s="150" t="s">
        <v>709</v>
      </c>
    </row>
    <row r="112" spans="1:30" ht="98.1" hidden="1" customHeight="1" thickBot="1">
      <c r="A112" s="242" t="s">
        <v>732</v>
      </c>
      <c r="B112" s="162" t="s">
        <v>482</v>
      </c>
      <c r="C112" s="309" t="s">
        <v>144</v>
      </c>
      <c r="D112" s="310" t="s">
        <v>483</v>
      </c>
      <c r="E112" s="311">
        <v>44440</v>
      </c>
      <c r="F112" s="326" t="s">
        <v>813</v>
      </c>
      <c r="G112" s="327"/>
      <c r="H112" s="336" t="s">
        <v>69</v>
      </c>
      <c r="I112" s="263"/>
      <c r="J112" s="246"/>
      <c r="K112" s="259"/>
      <c r="L112" s="243"/>
      <c r="M112" s="245"/>
      <c r="N112" s="244"/>
      <c r="O112" s="259"/>
      <c r="P112" s="259"/>
      <c r="Q112" s="243"/>
      <c r="R112" s="245"/>
      <c r="S112" s="244"/>
      <c r="T112" s="259"/>
      <c r="U112" s="243"/>
      <c r="V112" s="245"/>
      <c r="W112" s="244"/>
      <c r="X112" s="302">
        <v>2</v>
      </c>
      <c r="Y112" s="257" t="s">
        <v>28</v>
      </c>
      <c r="Z112" s="161" t="s">
        <v>738</v>
      </c>
      <c r="AA112" s="257" t="s">
        <v>241</v>
      </c>
      <c r="AB112" s="257" t="s">
        <v>247</v>
      </c>
      <c r="AC112" s="312" t="s">
        <v>567</v>
      </c>
      <c r="AD112" s="150" t="s">
        <v>710</v>
      </c>
    </row>
    <row r="113" spans="1:30" ht="98.1" hidden="1" customHeight="1" thickBot="1">
      <c r="A113" s="242" t="s">
        <v>42</v>
      </c>
      <c r="B113" s="162" t="s">
        <v>484</v>
      </c>
      <c r="C113" s="309" t="s">
        <v>427</v>
      </c>
      <c r="D113" s="310" t="s">
        <v>485</v>
      </c>
      <c r="E113" s="311">
        <v>44409</v>
      </c>
      <c r="F113" s="326" t="s">
        <v>783</v>
      </c>
      <c r="G113" s="327"/>
      <c r="H113" s="336" t="s">
        <v>63</v>
      </c>
      <c r="I113" s="263" t="s">
        <v>853</v>
      </c>
      <c r="J113" s="259"/>
      <c r="K113" s="259"/>
      <c r="L113" s="243"/>
      <c r="M113" s="245"/>
      <c r="N113" s="244"/>
      <c r="O113" s="259"/>
      <c r="P113" s="259"/>
      <c r="Q113" s="243"/>
      <c r="R113" s="253"/>
      <c r="S113" s="244"/>
      <c r="T113" s="259"/>
      <c r="U113" s="243"/>
      <c r="V113" s="245"/>
      <c r="W113" s="244"/>
      <c r="X113" s="302">
        <v>2</v>
      </c>
      <c r="Y113" s="257" t="s">
        <v>28</v>
      </c>
      <c r="Z113" s="161" t="s">
        <v>583</v>
      </c>
      <c r="AA113" s="257" t="s">
        <v>241</v>
      </c>
      <c r="AB113" s="257" t="s">
        <v>247</v>
      </c>
      <c r="AC113" s="312" t="s">
        <v>568</v>
      </c>
      <c r="AD113" s="150" t="s">
        <v>711</v>
      </c>
    </row>
    <row r="114" spans="1:30" ht="98.1" hidden="1" customHeight="1" thickBot="1">
      <c r="A114" s="242" t="s">
        <v>42</v>
      </c>
      <c r="B114" s="162" t="s">
        <v>486</v>
      </c>
      <c r="C114" s="309" t="s">
        <v>487</v>
      </c>
      <c r="D114" s="310" t="s">
        <v>488</v>
      </c>
      <c r="E114" s="311">
        <v>44562</v>
      </c>
      <c r="F114" s="326" t="s">
        <v>784</v>
      </c>
      <c r="G114" s="327"/>
      <c r="H114" s="336" t="s">
        <v>65</v>
      </c>
      <c r="I114" s="263"/>
      <c r="J114" s="259"/>
      <c r="K114" s="259"/>
      <c r="L114" s="243"/>
      <c r="M114" s="245"/>
      <c r="N114" s="244"/>
      <c r="O114" s="259"/>
      <c r="P114" s="259"/>
      <c r="Q114" s="243"/>
      <c r="R114" s="253"/>
      <c r="S114" s="244"/>
      <c r="T114" s="259"/>
      <c r="U114" s="243"/>
      <c r="V114" s="245"/>
      <c r="W114" s="244"/>
      <c r="X114" s="303">
        <v>4</v>
      </c>
      <c r="Y114" s="257" t="s">
        <v>28</v>
      </c>
      <c r="Z114" s="161" t="s">
        <v>583</v>
      </c>
      <c r="AA114" s="257" t="s">
        <v>241</v>
      </c>
      <c r="AB114" s="257" t="s">
        <v>247</v>
      </c>
      <c r="AC114" s="312" t="s">
        <v>569</v>
      </c>
      <c r="AD114" s="150" t="s">
        <v>712</v>
      </c>
    </row>
    <row r="115" spans="1:30" ht="98.1" hidden="1" customHeight="1" thickBot="1">
      <c r="A115" s="242" t="s">
        <v>43</v>
      </c>
      <c r="B115" s="162" t="s">
        <v>489</v>
      </c>
      <c r="C115" s="309" t="s">
        <v>490</v>
      </c>
      <c r="D115" s="310" t="s">
        <v>750</v>
      </c>
      <c r="E115" s="318"/>
      <c r="F115" s="326" t="s">
        <v>769</v>
      </c>
      <c r="G115" s="327"/>
      <c r="H115" s="336" t="s">
        <v>69</v>
      </c>
      <c r="I115" s="263"/>
      <c r="J115" s="259"/>
      <c r="K115" s="259"/>
      <c r="L115" s="243"/>
      <c r="M115" s="245"/>
      <c r="N115" s="244"/>
      <c r="O115" s="259"/>
      <c r="P115" s="259"/>
      <c r="Q115" s="243"/>
      <c r="R115" s="253"/>
      <c r="S115" s="244"/>
      <c r="T115" s="259"/>
      <c r="U115" s="243"/>
      <c r="V115" s="245"/>
      <c r="W115" s="244"/>
      <c r="X115" s="303"/>
      <c r="Y115" s="257" t="s">
        <v>26</v>
      </c>
      <c r="Z115" s="161" t="s">
        <v>23</v>
      </c>
      <c r="AA115" s="257" t="s">
        <v>241</v>
      </c>
      <c r="AB115" s="257" t="s">
        <v>79</v>
      </c>
      <c r="AC115" s="312" t="s">
        <v>197</v>
      </c>
      <c r="AD115" s="150" t="s">
        <v>713</v>
      </c>
    </row>
    <row r="116" spans="1:30" ht="98.1" hidden="1" customHeight="1" thickBot="1">
      <c r="A116" s="242" t="s">
        <v>43</v>
      </c>
      <c r="B116" s="162" t="s">
        <v>491</v>
      </c>
      <c r="C116" s="309" t="s">
        <v>492</v>
      </c>
      <c r="D116" s="310" t="s">
        <v>751</v>
      </c>
      <c r="E116" s="318"/>
      <c r="F116" s="326" t="s">
        <v>795</v>
      </c>
      <c r="G116" s="327">
        <v>44</v>
      </c>
      <c r="H116" s="336" t="s">
        <v>65</v>
      </c>
      <c r="I116" s="263"/>
      <c r="J116" s="259"/>
      <c r="K116" s="259"/>
      <c r="L116" s="243"/>
      <c r="M116" s="245"/>
      <c r="N116" s="244"/>
      <c r="O116" s="259"/>
      <c r="P116" s="259"/>
      <c r="Q116" s="243"/>
      <c r="R116" s="253"/>
      <c r="S116" s="244"/>
      <c r="T116" s="259"/>
      <c r="U116" s="243"/>
      <c r="V116" s="245"/>
      <c r="W116" s="244"/>
      <c r="X116" s="303"/>
      <c r="Y116" s="257" t="s">
        <v>26</v>
      </c>
      <c r="Z116" s="161" t="s">
        <v>23</v>
      </c>
      <c r="AA116" s="257" t="s">
        <v>241</v>
      </c>
      <c r="AB116" s="257" t="s">
        <v>79</v>
      </c>
      <c r="AC116" s="312" t="s">
        <v>198</v>
      </c>
      <c r="AD116" s="150" t="s">
        <v>714</v>
      </c>
    </row>
    <row r="117" spans="1:30" ht="98.1" hidden="1" customHeight="1" thickBot="1">
      <c r="A117" s="242" t="s">
        <v>43</v>
      </c>
      <c r="B117" s="162" t="s">
        <v>493</v>
      </c>
      <c r="C117" s="309" t="s">
        <v>494</v>
      </c>
      <c r="D117" s="310" t="s">
        <v>752</v>
      </c>
      <c r="E117" s="311"/>
      <c r="F117" s="326" t="s">
        <v>796</v>
      </c>
      <c r="G117" s="327" t="s">
        <v>797</v>
      </c>
      <c r="H117" s="336" t="s">
        <v>65</v>
      </c>
      <c r="I117" s="263"/>
      <c r="J117" s="259"/>
      <c r="K117" s="259"/>
      <c r="L117" s="243"/>
      <c r="M117" s="245"/>
      <c r="N117" s="244"/>
      <c r="O117" s="259"/>
      <c r="P117" s="259"/>
      <c r="Q117" s="243"/>
      <c r="R117" s="253"/>
      <c r="S117" s="244"/>
      <c r="T117" s="259"/>
      <c r="U117" s="243"/>
      <c r="V117" s="245"/>
      <c r="W117" s="244"/>
      <c r="X117" s="303"/>
      <c r="Y117" s="257" t="s">
        <v>26</v>
      </c>
      <c r="Z117" s="161" t="s">
        <v>23</v>
      </c>
      <c r="AA117" s="257" t="s">
        <v>241</v>
      </c>
      <c r="AB117" s="257" t="s">
        <v>79</v>
      </c>
      <c r="AC117" s="312" t="s">
        <v>199</v>
      </c>
      <c r="AD117" s="150" t="s">
        <v>715</v>
      </c>
    </row>
    <row r="118" spans="1:30" ht="98.1" hidden="1" customHeight="1" thickBot="1">
      <c r="A118" s="242" t="s">
        <v>43</v>
      </c>
      <c r="B118" s="162" t="s">
        <v>495</v>
      </c>
      <c r="C118" s="309" t="s">
        <v>9</v>
      </c>
      <c r="D118" s="310" t="s">
        <v>496</v>
      </c>
      <c r="E118" s="311">
        <v>44621</v>
      </c>
      <c r="F118" s="330">
        <v>0.99970000000000003</v>
      </c>
      <c r="G118" s="327"/>
      <c r="H118" s="336" t="s">
        <v>65</v>
      </c>
      <c r="I118" s="263"/>
      <c r="J118" s="259"/>
      <c r="K118" s="259"/>
      <c r="L118" s="243"/>
      <c r="M118" s="245"/>
      <c r="N118" s="244"/>
      <c r="O118" s="259"/>
      <c r="P118" s="259"/>
      <c r="Q118" s="243"/>
      <c r="R118" s="253"/>
      <c r="S118" s="244"/>
      <c r="T118" s="259"/>
      <c r="U118" s="243"/>
      <c r="V118" s="245"/>
      <c r="W118" s="244"/>
      <c r="X118" s="303">
        <v>4</v>
      </c>
      <c r="Y118" s="257" t="s">
        <v>26</v>
      </c>
      <c r="Z118" s="161" t="s">
        <v>23</v>
      </c>
      <c r="AA118" s="257" t="s">
        <v>241</v>
      </c>
      <c r="AB118" s="257" t="s">
        <v>79</v>
      </c>
      <c r="AC118" s="312" t="s">
        <v>200</v>
      </c>
      <c r="AD118" s="150" t="s">
        <v>716</v>
      </c>
    </row>
    <row r="119" spans="1:30" ht="98.1" hidden="1" customHeight="1" thickBot="1">
      <c r="A119" s="242" t="s">
        <v>731</v>
      </c>
      <c r="B119" s="162" t="s">
        <v>497</v>
      </c>
      <c r="C119" s="309" t="s">
        <v>498</v>
      </c>
      <c r="D119" s="310" t="s">
        <v>499</v>
      </c>
      <c r="E119" s="311">
        <v>44531</v>
      </c>
      <c r="F119" s="326" t="s">
        <v>804</v>
      </c>
      <c r="G119" s="327"/>
      <c r="H119" s="336" t="s">
        <v>69</v>
      </c>
      <c r="I119" s="263"/>
      <c r="J119" s="259"/>
      <c r="K119" s="259"/>
      <c r="L119" s="243"/>
      <c r="M119" s="245"/>
      <c r="N119" s="244"/>
      <c r="O119" s="259"/>
      <c r="P119" s="259"/>
      <c r="Q119" s="243"/>
      <c r="R119" s="253"/>
      <c r="S119" s="244"/>
      <c r="T119" s="259"/>
      <c r="U119" s="243"/>
      <c r="V119" s="245"/>
      <c r="W119" s="244"/>
      <c r="X119" s="303">
        <v>3</v>
      </c>
      <c r="Y119" s="257" t="s">
        <v>26</v>
      </c>
      <c r="Z119" s="161" t="s">
        <v>730</v>
      </c>
      <c r="AA119" s="257" t="s">
        <v>241</v>
      </c>
      <c r="AB119" s="257" t="s">
        <v>79</v>
      </c>
      <c r="AC119" s="312" t="s">
        <v>570</v>
      </c>
      <c r="AD119" s="150" t="s">
        <v>717</v>
      </c>
    </row>
    <row r="120" spans="1:30" ht="98.1" hidden="1" customHeight="1" thickBot="1">
      <c r="A120" s="242" t="s">
        <v>731</v>
      </c>
      <c r="B120" s="162" t="s">
        <v>500</v>
      </c>
      <c r="C120" s="309" t="s">
        <v>501</v>
      </c>
      <c r="D120" s="310" t="s">
        <v>502</v>
      </c>
      <c r="E120" s="311">
        <v>44531</v>
      </c>
      <c r="F120" s="326" t="s">
        <v>805</v>
      </c>
      <c r="G120" s="327"/>
      <c r="H120" s="336" t="s">
        <v>65</v>
      </c>
      <c r="I120" s="263"/>
      <c r="J120" s="259"/>
      <c r="K120" s="259"/>
      <c r="L120" s="243"/>
      <c r="M120" s="245"/>
      <c r="N120" s="244"/>
      <c r="O120" s="259"/>
      <c r="P120" s="259"/>
      <c r="Q120" s="243"/>
      <c r="R120" s="253"/>
      <c r="S120" s="244"/>
      <c r="T120" s="259"/>
      <c r="U120" s="243"/>
      <c r="V120" s="245"/>
      <c r="W120" s="244"/>
      <c r="X120" s="303">
        <v>3</v>
      </c>
      <c r="Y120" s="257" t="s">
        <v>26</v>
      </c>
      <c r="Z120" s="161" t="s">
        <v>730</v>
      </c>
      <c r="AA120" s="257" t="s">
        <v>241</v>
      </c>
      <c r="AB120" s="257" t="s">
        <v>79</v>
      </c>
      <c r="AC120" s="312" t="s">
        <v>571</v>
      </c>
      <c r="AD120" s="150" t="s">
        <v>718</v>
      </c>
    </row>
    <row r="121" spans="1:30" ht="98.1" hidden="1" customHeight="1" thickBot="1">
      <c r="A121" s="242" t="s">
        <v>731</v>
      </c>
      <c r="B121" s="162" t="s">
        <v>503</v>
      </c>
      <c r="C121" s="309" t="s">
        <v>504</v>
      </c>
      <c r="D121" s="310" t="s">
        <v>505</v>
      </c>
      <c r="E121" s="311">
        <v>44621</v>
      </c>
      <c r="F121" s="326" t="s">
        <v>806</v>
      </c>
      <c r="G121" s="327"/>
      <c r="H121" s="336" t="s">
        <v>65</v>
      </c>
      <c r="I121" s="263"/>
      <c r="J121" s="259"/>
      <c r="K121" s="259"/>
      <c r="L121" s="243"/>
      <c r="M121" s="245"/>
      <c r="N121" s="244"/>
      <c r="O121" s="259"/>
      <c r="P121" s="259"/>
      <c r="Q121" s="243"/>
      <c r="R121" s="253"/>
      <c r="S121" s="244"/>
      <c r="T121" s="259"/>
      <c r="U121" s="243"/>
      <c r="V121" s="245"/>
      <c r="W121" s="244"/>
      <c r="X121" s="303">
        <v>4</v>
      </c>
      <c r="Y121" s="257" t="s">
        <v>26</v>
      </c>
      <c r="Z121" s="161" t="s">
        <v>730</v>
      </c>
      <c r="AA121" s="257" t="s">
        <v>241</v>
      </c>
      <c r="AB121" s="257" t="s">
        <v>79</v>
      </c>
      <c r="AC121" s="312" t="s">
        <v>572</v>
      </c>
      <c r="AD121" s="150" t="s">
        <v>719</v>
      </c>
    </row>
    <row r="122" spans="1:30" ht="98.1" hidden="1" customHeight="1" thickBot="1">
      <c r="A122" s="242" t="s">
        <v>731</v>
      </c>
      <c r="B122" s="162" t="s">
        <v>506</v>
      </c>
      <c r="C122" s="309" t="s">
        <v>20</v>
      </c>
      <c r="D122" s="310" t="s">
        <v>143</v>
      </c>
      <c r="E122" s="318"/>
      <c r="F122" s="326" t="s">
        <v>815</v>
      </c>
      <c r="G122" s="327" t="s">
        <v>816</v>
      </c>
      <c r="H122" s="336" t="s">
        <v>65</v>
      </c>
      <c r="I122" s="263"/>
      <c r="J122" s="259"/>
      <c r="K122" s="259"/>
      <c r="L122" s="243"/>
      <c r="M122" s="245"/>
      <c r="N122" s="244"/>
      <c r="O122" s="259"/>
      <c r="P122" s="259"/>
      <c r="Q122" s="243"/>
      <c r="R122" s="253"/>
      <c r="S122" s="244"/>
      <c r="T122" s="259"/>
      <c r="U122" s="243"/>
      <c r="V122" s="245"/>
      <c r="W122" s="244"/>
      <c r="X122" s="303"/>
      <c r="Y122" s="257" t="s">
        <v>26</v>
      </c>
      <c r="Z122" s="161" t="s">
        <v>730</v>
      </c>
      <c r="AA122" s="257" t="s">
        <v>241</v>
      </c>
      <c r="AB122" s="257" t="s">
        <v>79</v>
      </c>
      <c r="AC122" s="312" t="s">
        <v>573</v>
      </c>
      <c r="AD122" s="150" t="s">
        <v>720</v>
      </c>
    </row>
    <row r="123" spans="1:30" ht="98.1" hidden="1" customHeight="1" thickBot="1">
      <c r="A123" s="242" t="s">
        <v>731</v>
      </c>
      <c r="B123" s="162" t="s">
        <v>507</v>
      </c>
      <c r="C123" s="320" t="s">
        <v>21</v>
      </c>
      <c r="D123" s="321" t="s">
        <v>508</v>
      </c>
      <c r="E123" s="318"/>
      <c r="F123" s="326" t="s">
        <v>807</v>
      </c>
      <c r="G123" s="327" t="s">
        <v>808</v>
      </c>
      <c r="H123" s="336" t="s">
        <v>65</v>
      </c>
      <c r="I123" s="263"/>
      <c r="J123" s="259"/>
      <c r="K123" s="259"/>
      <c r="L123" s="243"/>
      <c r="M123" s="245"/>
      <c r="N123" s="244"/>
      <c r="O123" s="259"/>
      <c r="P123" s="259"/>
      <c r="Q123" s="243"/>
      <c r="R123" s="253"/>
      <c r="S123" s="244"/>
      <c r="T123" s="259"/>
      <c r="U123" s="243"/>
      <c r="V123" s="245"/>
      <c r="W123" s="244"/>
      <c r="X123" s="303"/>
      <c r="Y123" s="257" t="s">
        <v>26</v>
      </c>
      <c r="Z123" s="161" t="s">
        <v>730</v>
      </c>
      <c r="AA123" s="257" t="s">
        <v>241</v>
      </c>
      <c r="AB123" s="257" t="s">
        <v>79</v>
      </c>
      <c r="AC123" s="322" t="s">
        <v>574</v>
      </c>
      <c r="AD123" s="150" t="s">
        <v>721</v>
      </c>
    </row>
    <row r="124" spans="1:30" ht="98.1" hidden="1" customHeight="1" thickBot="1">
      <c r="A124" s="242" t="s">
        <v>734</v>
      </c>
      <c r="B124" s="162" t="s">
        <v>509</v>
      </c>
      <c r="C124" s="309" t="s">
        <v>510</v>
      </c>
      <c r="D124" s="310" t="s">
        <v>511</v>
      </c>
      <c r="E124" s="311">
        <v>44593</v>
      </c>
      <c r="F124" s="326" t="s">
        <v>761</v>
      </c>
      <c r="G124" s="327"/>
      <c r="H124" s="336" t="s">
        <v>65</v>
      </c>
      <c r="I124" s="263"/>
      <c r="J124" s="259"/>
      <c r="K124" s="259"/>
      <c r="L124" s="243"/>
      <c r="M124" s="245"/>
      <c r="N124" s="244"/>
      <c r="O124" s="259"/>
      <c r="P124" s="259"/>
      <c r="Q124" s="243"/>
      <c r="R124" s="253"/>
      <c r="S124" s="244"/>
      <c r="T124" s="259"/>
      <c r="U124" s="243"/>
      <c r="V124" s="245"/>
      <c r="W124" s="244"/>
      <c r="X124" s="303">
        <v>4</v>
      </c>
      <c r="Y124" s="257" t="s">
        <v>28</v>
      </c>
      <c r="Z124" s="161" t="s">
        <v>735</v>
      </c>
      <c r="AA124" s="257" t="s">
        <v>241</v>
      </c>
      <c r="AB124" s="257" t="s">
        <v>248</v>
      </c>
      <c r="AC124" s="312" t="s">
        <v>575</v>
      </c>
      <c r="AD124" s="150" t="s">
        <v>722</v>
      </c>
    </row>
    <row r="125" spans="1:30" ht="98.1" hidden="1" customHeight="1" thickBot="1">
      <c r="A125" s="242" t="s">
        <v>734</v>
      </c>
      <c r="B125" s="162" t="s">
        <v>512</v>
      </c>
      <c r="C125" s="309" t="s">
        <v>146</v>
      </c>
      <c r="D125" s="310" t="s">
        <v>147</v>
      </c>
      <c r="E125" s="311">
        <v>44531</v>
      </c>
      <c r="F125" s="326" t="s">
        <v>762</v>
      </c>
      <c r="G125" s="327"/>
      <c r="H125" s="336" t="s">
        <v>65</v>
      </c>
      <c r="I125" s="263"/>
      <c r="J125" s="259"/>
      <c r="K125" s="259"/>
      <c r="L125" s="243"/>
      <c r="M125" s="245"/>
      <c r="N125" s="244"/>
      <c r="O125" s="259"/>
      <c r="P125" s="259"/>
      <c r="Q125" s="243"/>
      <c r="R125" s="253"/>
      <c r="S125" s="244"/>
      <c r="T125" s="259"/>
      <c r="U125" s="243"/>
      <c r="V125" s="245"/>
      <c r="W125" s="244"/>
      <c r="X125" s="303">
        <v>3</v>
      </c>
      <c r="Y125" s="257" t="s">
        <v>28</v>
      </c>
      <c r="Z125" s="161" t="s">
        <v>735</v>
      </c>
      <c r="AA125" s="257" t="s">
        <v>241</v>
      </c>
      <c r="AB125" s="257" t="s">
        <v>248</v>
      </c>
      <c r="AC125" s="312" t="s">
        <v>576</v>
      </c>
      <c r="AD125" s="150" t="s">
        <v>723</v>
      </c>
    </row>
    <row r="126" spans="1:30" ht="98.1" hidden="1" customHeight="1" thickBot="1">
      <c r="A126" s="242" t="s">
        <v>734</v>
      </c>
      <c r="B126" s="162" t="s">
        <v>513</v>
      </c>
      <c r="C126" s="309" t="s">
        <v>514</v>
      </c>
      <c r="D126" s="310" t="s">
        <v>515</v>
      </c>
      <c r="E126" s="311">
        <v>44621</v>
      </c>
      <c r="F126" s="326" t="s">
        <v>841</v>
      </c>
      <c r="G126" s="327"/>
      <c r="H126" s="336" t="s">
        <v>65</v>
      </c>
      <c r="I126" s="263"/>
      <c r="J126" s="259"/>
      <c r="K126" s="259"/>
      <c r="L126" s="243"/>
      <c r="M126" s="245"/>
      <c r="N126" s="244"/>
      <c r="O126" s="259"/>
      <c r="P126" s="259"/>
      <c r="Q126" s="243"/>
      <c r="R126" s="253"/>
      <c r="S126" s="244"/>
      <c r="T126" s="259"/>
      <c r="U126" s="243"/>
      <c r="V126" s="245"/>
      <c r="W126" s="244"/>
      <c r="X126" s="303">
        <v>4</v>
      </c>
      <c r="Y126" s="257" t="s">
        <v>28</v>
      </c>
      <c r="Z126" s="161" t="s">
        <v>735</v>
      </c>
      <c r="AA126" s="257" t="s">
        <v>241</v>
      </c>
      <c r="AB126" s="257" t="s">
        <v>248</v>
      </c>
      <c r="AC126" s="312" t="s">
        <v>577</v>
      </c>
      <c r="AD126" s="150" t="s">
        <v>724</v>
      </c>
    </row>
    <row r="127" spans="1:30" ht="98.1" hidden="1" customHeight="1" thickBot="1">
      <c r="A127" s="242" t="s">
        <v>732</v>
      </c>
      <c r="B127" s="162" t="s">
        <v>516</v>
      </c>
      <c r="C127" s="309" t="s">
        <v>415</v>
      </c>
      <c r="D127" s="310" t="s">
        <v>517</v>
      </c>
      <c r="E127" s="311">
        <v>44440</v>
      </c>
      <c r="F127" s="326" t="s">
        <v>814</v>
      </c>
      <c r="G127" s="327"/>
      <c r="H127" s="336" t="s">
        <v>65</v>
      </c>
      <c r="I127" s="263"/>
      <c r="J127" s="259"/>
      <c r="K127" s="259"/>
      <c r="L127" s="243"/>
      <c r="M127" s="245"/>
      <c r="N127" s="244"/>
      <c r="O127" s="259"/>
      <c r="P127" s="259"/>
      <c r="Q127" s="243"/>
      <c r="R127" s="253"/>
      <c r="S127" s="244"/>
      <c r="T127" s="259"/>
      <c r="U127" s="243"/>
      <c r="V127" s="245"/>
      <c r="W127" s="244"/>
      <c r="X127" s="303">
        <v>2</v>
      </c>
      <c r="Y127" s="257" t="s">
        <v>28</v>
      </c>
      <c r="Z127" s="161" t="s">
        <v>738</v>
      </c>
      <c r="AA127" s="257" t="s">
        <v>241</v>
      </c>
      <c r="AB127" s="257" t="s">
        <v>248</v>
      </c>
      <c r="AC127" s="312" t="s">
        <v>578</v>
      </c>
      <c r="AD127" s="150" t="s">
        <v>725</v>
      </c>
    </row>
    <row r="128" spans="1:30" ht="98.1" hidden="1" customHeight="1" thickBot="1">
      <c r="A128" s="242" t="s">
        <v>736</v>
      </c>
      <c r="B128" s="162" t="s">
        <v>518</v>
      </c>
      <c r="C128" s="309" t="s">
        <v>519</v>
      </c>
      <c r="D128" s="310" t="s">
        <v>520</v>
      </c>
      <c r="E128" s="311" t="s">
        <v>397</v>
      </c>
      <c r="F128" s="326" t="s">
        <v>828</v>
      </c>
      <c r="G128" s="327">
        <v>8</v>
      </c>
      <c r="H128" s="336" t="s">
        <v>65</v>
      </c>
      <c r="I128" s="263"/>
      <c r="J128" s="259"/>
      <c r="K128" s="259"/>
      <c r="L128" s="243"/>
      <c r="M128" s="245"/>
      <c r="N128" s="244"/>
      <c r="O128" s="259"/>
      <c r="P128" s="259"/>
      <c r="Q128" s="243"/>
      <c r="R128" s="253"/>
      <c r="S128" s="244"/>
      <c r="T128" s="259"/>
      <c r="U128" s="243"/>
      <c r="V128" s="245"/>
      <c r="W128" s="244"/>
      <c r="X128" s="303">
        <v>4</v>
      </c>
      <c r="Y128" s="257" t="s">
        <v>28</v>
      </c>
      <c r="Z128" s="161" t="s">
        <v>737</v>
      </c>
      <c r="AA128" s="257" t="s">
        <v>241</v>
      </c>
      <c r="AB128" s="257" t="s">
        <v>248</v>
      </c>
      <c r="AC128" s="312" t="s">
        <v>579</v>
      </c>
      <c r="AD128" s="150" t="s">
        <v>726</v>
      </c>
    </row>
    <row r="129" spans="1:30" ht="98.1" hidden="1" customHeight="1" thickBot="1">
      <c r="A129" s="242" t="s">
        <v>736</v>
      </c>
      <c r="B129" s="162" t="s">
        <v>521</v>
      </c>
      <c r="C129" s="309" t="s">
        <v>519</v>
      </c>
      <c r="D129" s="310" t="s">
        <v>522</v>
      </c>
      <c r="E129" s="311" t="s">
        <v>397</v>
      </c>
      <c r="F129" s="326" t="s">
        <v>765</v>
      </c>
      <c r="G129" s="327"/>
      <c r="H129" s="336" t="s">
        <v>65</v>
      </c>
      <c r="I129" s="263"/>
      <c r="J129" s="259"/>
      <c r="K129" s="259"/>
      <c r="L129" s="243"/>
      <c r="M129" s="245"/>
      <c r="N129" s="244"/>
      <c r="O129" s="259"/>
      <c r="P129" s="259"/>
      <c r="Q129" s="243"/>
      <c r="R129" s="253"/>
      <c r="S129" s="244"/>
      <c r="T129" s="259"/>
      <c r="U129" s="243"/>
      <c r="V129" s="245"/>
      <c r="W129" s="244"/>
      <c r="X129" s="303">
        <v>4</v>
      </c>
      <c r="Y129" s="257" t="s">
        <v>28</v>
      </c>
      <c r="Z129" s="161" t="s">
        <v>737</v>
      </c>
      <c r="AA129" s="257" t="s">
        <v>241</v>
      </c>
      <c r="AB129" s="257" t="s">
        <v>248</v>
      </c>
      <c r="AC129" s="312" t="s">
        <v>580</v>
      </c>
      <c r="AD129" s="150" t="s">
        <v>727</v>
      </c>
    </row>
    <row r="130" spans="1:30" ht="98.1" hidden="1" customHeight="1" thickBot="1">
      <c r="A130" s="242" t="s">
        <v>736</v>
      </c>
      <c r="B130" s="162" t="s">
        <v>523</v>
      </c>
      <c r="C130" s="309" t="s">
        <v>519</v>
      </c>
      <c r="D130" s="310" t="s">
        <v>524</v>
      </c>
      <c r="E130" s="311">
        <v>44621</v>
      </c>
      <c r="F130" s="326" t="s">
        <v>829</v>
      </c>
      <c r="G130" s="327">
        <v>6</v>
      </c>
      <c r="H130" s="336" t="s">
        <v>65</v>
      </c>
      <c r="I130" s="263"/>
      <c r="J130" s="259"/>
      <c r="K130" s="259"/>
      <c r="L130" s="243"/>
      <c r="M130" s="245"/>
      <c r="N130" s="244"/>
      <c r="O130" s="259"/>
      <c r="P130" s="259"/>
      <c r="Q130" s="243"/>
      <c r="R130" s="253"/>
      <c r="S130" s="244"/>
      <c r="T130" s="259"/>
      <c r="U130" s="243"/>
      <c r="V130" s="245"/>
      <c r="W130" s="244"/>
      <c r="X130" s="303">
        <v>4</v>
      </c>
      <c r="Y130" s="257" t="s">
        <v>28</v>
      </c>
      <c r="Z130" s="161" t="s">
        <v>737</v>
      </c>
      <c r="AA130" s="257" t="s">
        <v>241</v>
      </c>
      <c r="AB130" s="257" t="s">
        <v>248</v>
      </c>
      <c r="AC130" s="312" t="s">
        <v>581</v>
      </c>
      <c r="AD130" s="150" t="s">
        <v>728</v>
      </c>
    </row>
    <row r="131" spans="1:30" ht="142.19999999999999" hidden="1" customHeight="1" thickBot="1">
      <c r="A131" s="242" t="s">
        <v>736</v>
      </c>
      <c r="B131" s="162" t="s">
        <v>525</v>
      </c>
      <c r="C131" s="309" t="s">
        <v>519</v>
      </c>
      <c r="D131" s="310" t="s">
        <v>526</v>
      </c>
      <c r="E131" s="311">
        <v>44621</v>
      </c>
      <c r="F131" s="326" t="s">
        <v>825</v>
      </c>
      <c r="G131" s="327"/>
      <c r="H131" s="336" t="s">
        <v>65</v>
      </c>
      <c r="I131" s="263"/>
      <c r="J131" s="259"/>
      <c r="K131" s="259"/>
      <c r="L131" s="243"/>
      <c r="M131" s="245"/>
      <c r="N131" s="244"/>
      <c r="O131" s="259"/>
      <c r="P131" s="259"/>
      <c r="Q131" s="243"/>
      <c r="R131" s="253"/>
      <c r="S131" s="244"/>
      <c r="T131" s="259"/>
      <c r="U131" s="243"/>
      <c r="V131" s="245"/>
      <c r="W131" s="244"/>
      <c r="X131" s="303">
        <v>4</v>
      </c>
      <c r="Y131" s="257" t="s">
        <v>28</v>
      </c>
      <c r="Z131" s="161" t="s">
        <v>737</v>
      </c>
      <c r="AA131" s="257" t="s">
        <v>241</v>
      </c>
      <c r="AB131" s="257" t="s">
        <v>248</v>
      </c>
      <c r="AC131" s="312" t="s">
        <v>582</v>
      </c>
      <c r="AD131" s="150" t="s">
        <v>729</v>
      </c>
    </row>
    <row r="150" spans="1:1">
      <c r="A150" s="1" t="s">
        <v>55</v>
      </c>
    </row>
    <row r="151" spans="1:1">
      <c r="A151" s="1" t="s">
        <v>56</v>
      </c>
    </row>
    <row r="152" spans="1:1">
      <c r="A152" s="1" t="s">
        <v>57</v>
      </c>
    </row>
    <row r="153" spans="1:1">
      <c r="A153" s="1" t="s">
        <v>58</v>
      </c>
    </row>
    <row r="154" spans="1:1">
      <c r="A154" s="1" t="s">
        <v>59</v>
      </c>
    </row>
    <row r="155" spans="1:1">
      <c r="A155" s="1" t="s">
        <v>60</v>
      </c>
    </row>
    <row r="156" spans="1:1">
      <c r="A156" s="1" t="s">
        <v>61</v>
      </c>
    </row>
    <row r="157" spans="1:1">
      <c r="A157" s="1" t="s">
        <v>62</v>
      </c>
    </row>
    <row r="158" spans="1:1">
      <c r="A158" s="1" t="s">
        <v>63</v>
      </c>
    </row>
    <row r="159" spans="1:1">
      <c r="A159" s="1" t="s">
        <v>64</v>
      </c>
    </row>
    <row r="160" spans="1:1">
      <c r="A160" s="2"/>
    </row>
    <row r="161" spans="1:1">
      <c r="A161" s="2"/>
    </row>
    <row r="162" spans="1:1">
      <c r="A162" s="2"/>
    </row>
    <row r="163" spans="1:1">
      <c r="A163" s="3"/>
    </row>
    <row r="164" spans="1:1">
      <c r="A164" s="3"/>
    </row>
    <row r="165" spans="1:1">
      <c r="A165" s="2"/>
    </row>
    <row r="166" spans="1:1">
      <c r="A166" s="2"/>
    </row>
    <row r="167" spans="1:1">
      <c r="A167" s="2"/>
    </row>
    <row r="168" spans="1:1">
      <c r="A168" s="5" t="s">
        <v>56</v>
      </c>
    </row>
    <row r="169" spans="1:1">
      <c r="A169" s="5" t="s">
        <v>65</v>
      </c>
    </row>
    <row r="170" spans="1:1">
      <c r="A170" s="5" t="s">
        <v>66</v>
      </c>
    </row>
    <row r="171" spans="1:1">
      <c r="A171" s="5" t="s">
        <v>60</v>
      </c>
    </row>
    <row r="172" spans="1:1">
      <c r="A172" s="5" t="s">
        <v>67</v>
      </c>
    </row>
    <row r="173" spans="1:1">
      <c r="A173" s="6" t="s">
        <v>64</v>
      </c>
    </row>
    <row r="174" spans="1:1">
      <c r="A174" s="5" t="s">
        <v>69</v>
      </c>
    </row>
    <row r="175" spans="1:1">
      <c r="A175" s="5" t="s">
        <v>68</v>
      </c>
    </row>
    <row r="176" spans="1:1">
      <c r="A176" s="4" t="s">
        <v>63</v>
      </c>
    </row>
  </sheetData>
  <sheetProtection algorithmName="SHA-512" hashValue="ge/K10+BRwvPoRe5TCfKDUGmcDRcfsPsJjCCLmJkckv5an+Iwgiq2btkityPEOGiUub42Spf7nkqnRrmCuKH8Q==" saltValue="L9aJ7t2RliRCkdPwH6iG6A==" spinCount="100000" sheet="1" selectLockedCells="1" autoFilter="0" pivotTables="0"/>
  <autoFilter ref="A2:AE131">
    <filterColumn colId="26">
      <filters>
        <filter val="Value for Money"/>
      </filters>
    </filterColumn>
  </autoFilter>
  <sortState ref="A3:AE131">
    <sortCondition ref="AD3:AD131"/>
  </sortState>
  <mergeCells count="4">
    <mergeCell ref="F1:I1"/>
    <mergeCell ref="J1:N1"/>
    <mergeCell ref="O1:S1"/>
    <mergeCell ref="T1:W1"/>
  </mergeCells>
  <conditionalFormatting sqref="R49:R52 R79 R82 R84:R85 R88:R99 M3:M52 R3:R37 R62:R77 M55:M59 R55:R59 R101:R131 M62:M131 H3:H131">
    <cfRule type="containsText" dxfId="4200" priority="1179" operator="containsText" text="Deferred">
      <formula>NOT(ISERROR(SEARCH("Deferred",H3)))</formula>
    </cfRule>
    <cfRule type="containsText" dxfId="4199" priority="1181" operator="containsText" text="Update Not Provided">
      <formula>NOT(ISERROR(SEARCH("Update Not Provided",H3)))</formula>
    </cfRule>
    <cfRule type="containsText" dxfId="4198" priority="1182" operator="containsText" text="Not Yet Due">
      <formula>NOT(ISERROR(SEARCH("Not Yet Due",H3)))</formula>
    </cfRule>
    <cfRule type="containsText" dxfId="4197" priority="1183" operator="containsText" text="Deleted">
      <formula>NOT(ISERROR(SEARCH("Deleted",H3)))</formula>
    </cfRule>
    <cfRule type="containsText" dxfId="4196" priority="1184" operator="containsText" text="Completed Behind Schedule">
      <formula>NOT(ISERROR(SEARCH("Completed Behind Schedule",H3)))</formula>
    </cfRule>
    <cfRule type="containsText" dxfId="4195" priority="1185" operator="containsText" text="Off Target">
      <formula>NOT(ISERROR(SEARCH("Off Target",H3)))</formula>
    </cfRule>
    <cfRule type="containsText" dxfId="4194" priority="1186" operator="containsText" text="In Danger of Falling Behind Target">
      <formula>NOT(ISERROR(SEARCH("In Danger of Falling Behind Target",H3)))</formula>
    </cfRule>
    <cfRule type="containsText" dxfId="4193" priority="1187" operator="containsText" text="Fully Achieved">
      <formula>NOT(ISERROR(SEARCH("Fully Achieved",H3)))</formula>
    </cfRule>
    <cfRule type="containsText" dxfId="4192" priority="1188" operator="containsText" text="On track to be achieved">
      <formula>NOT(ISERROR(SEARCH("On track to be achieved",H3)))</formula>
    </cfRule>
  </conditionalFormatting>
  <conditionalFormatting sqref="R39 R42 R46:R47 R44">
    <cfRule type="containsText" dxfId="4191" priority="1134" operator="containsText" text="Deferred">
      <formula>NOT(ISERROR(SEARCH("Deferred",R39)))</formula>
    </cfRule>
    <cfRule type="containsText" dxfId="4190" priority="1135" operator="containsText" text="Update Not Provided">
      <formula>NOT(ISERROR(SEARCH("Update Not Provided",R39)))</formula>
    </cfRule>
    <cfRule type="containsText" dxfId="4189" priority="1136" operator="containsText" text="Not Yet Due">
      <formula>NOT(ISERROR(SEARCH("Not Yet Due",R39)))</formula>
    </cfRule>
    <cfRule type="containsText" dxfId="4188" priority="1137" operator="containsText" text="Deleted">
      <formula>NOT(ISERROR(SEARCH("Deleted",R39)))</formula>
    </cfRule>
    <cfRule type="containsText" dxfId="4187" priority="1138" operator="containsText" text="Completed Behind Schedule">
      <formula>NOT(ISERROR(SEARCH("Completed Behind Schedule",R39)))</formula>
    </cfRule>
    <cfRule type="containsText" dxfId="4186" priority="1139" operator="containsText" text="Off Target">
      <formula>NOT(ISERROR(SEARCH("Off Target",R39)))</formula>
    </cfRule>
    <cfRule type="containsText" dxfId="4185" priority="1140" operator="containsText" text="In Danger of Falling Behind Target">
      <formula>NOT(ISERROR(SEARCH("In Danger of Falling Behind Target",R39)))</formula>
    </cfRule>
    <cfRule type="containsText" dxfId="4184" priority="1141" operator="containsText" text="Fully Achieved">
      <formula>NOT(ISERROR(SEARCH("Fully Achieved",R39)))</formula>
    </cfRule>
    <cfRule type="containsText" dxfId="4183" priority="1142" operator="containsText" text="On track to be achieved">
      <formula>NOT(ISERROR(SEARCH("On track to be achieved",R39)))</formula>
    </cfRule>
  </conditionalFormatting>
  <conditionalFormatting sqref="R38">
    <cfRule type="containsText" dxfId="4182" priority="1088" operator="containsText" text="Deferred">
      <formula>NOT(ISERROR(SEARCH("Deferred",R38)))</formula>
    </cfRule>
    <cfRule type="containsText" dxfId="4181" priority="1089" operator="containsText" text="Update Not Provided">
      <formula>NOT(ISERROR(SEARCH("Update Not Provided",R38)))</formula>
    </cfRule>
    <cfRule type="containsText" dxfId="4180" priority="1090" operator="containsText" text="Not Yet Due">
      <formula>NOT(ISERROR(SEARCH("Not Yet Due",R38)))</formula>
    </cfRule>
    <cfRule type="containsText" dxfId="4179" priority="1091" operator="containsText" text="Deleted">
      <formula>NOT(ISERROR(SEARCH("Deleted",R38)))</formula>
    </cfRule>
    <cfRule type="containsText" dxfId="4178" priority="1092" operator="containsText" text="Completed Behind Schedule">
      <formula>NOT(ISERROR(SEARCH("Completed Behind Schedule",R38)))</formula>
    </cfRule>
    <cfRule type="containsText" dxfId="4177" priority="1093" operator="containsText" text="Off Target">
      <formula>NOT(ISERROR(SEARCH("Off Target",R38)))</formula>
    </cfRule>
    <cfRule type="containsText" dxfId="4176" priority="1094" operator="containsText" text="In Danger of Falling Behind Target">
      <formula>NOT(ISERROR(SEARCH("In Danger of Falling Behind Target",R38)))</formula>
    </cfRule>
    <cfRule type="containsText" dxfId="4175" priority="1095" operator="containsText" text="Fully Achieved">
      <formula>NOT(ISERROR(SEARCH("Fully Achieved",R38)))</formula>
    </cfRule>
    <cfRule type="containsText" dxfId="4174" priority="1096" operator="containsText" text="On track to be achieved">
      <formula>NOT(ISERROR(SEARCH("On track to be achieved",R38)))</formula>
    </cfRule>
  </conditionalFormatting>
  <conditionalFormatting sqref="R40">
    <cfRule type="containsText" dxfId="4173" priority="1042" operator="containsText" text="Deferred">
      <formula>NOT(ISERROR(SEARCH("Deferred",R40)))</formula>
    </cfRule>
    <cfRule type="containsText" dxfId="4172" priority="1043" operator="containsText" text="Update Not Provided">
      <formula>NOT(ISERROR(SEARCH("Update Not Provided",R40)))</formula>
    </cfRule>
    <cfRule type="containsText" dxfId="4171" priority="1044" operator="containsText" text="Not Yet Due">
      <formula>NOT(ISERROR(SEARCH("Not Yet Due",R40)))</formula>
    </cfRule>
    <cfRule type="containsText" dxfId="4170" priority="1045" operator="containsText" text="Deleted">
      <formula>NOT(ISERROR(SEARCH("Deleted",R40)))</formula>
    </cfRule>
    <cfRule type="containsText" dxfId="4169" priority="1046" operator="containsText" text="Completed Behind Schedule">
      <formula>NOT(ISERROR(SEARCH("Completed Behind Schedule",R40)))</formula>
    </cfRule>
    <cfRule type="containsText" dxfId="4168" priority="1047" operator="containsText" text="Off Target">
      <formula>NOT(ISERROR(SEARCH("Off Target",R40)))</formula>
    </cfRule>
    <cfRule type="containsText" dxfId="4167" priority="1048" operator="containsText" text="In Danger of Falling Behind Target">
      <formula>NOT(ISERROR(SEARCH("In Danger of Falling Behind Target",R40)))</formula>
    </cfRule>
    <cfRule type="containsText" dxfId="4166" priority="1049" operator="containsText" text="Fully Achieved">
      <formula>NOT(ISERROR(SEARCH("Fully Achieved",R40)))</formula>
    </cfRule>
    <cfRule type="containsText" dxfId="4165" priority="1050" operator="containsText" text="On track to be achieved">
      <formula>NOT(ISERROR(SEARCH("On track to be achieved",R40)))</formula>
    </cfRule>
  </conditionalFormatting>
  <conditionalFormatting sqref="R41">
    <cfRule type="containsText" dxfId="4164" priority="996" operator="containsText" text="Deferred">
      <formula>NOT(ISERROR(SEARCH("Deferred",R41)))</formula>
    </cfRule>
    <cfRule type="containsText" dxfId="4163" priority="997" operator="containsText" text="Update Not Provided">
      <formula>NOT(ISERROR(SEARCH("Update Not Provided",R41)))</formula>
    </cfRule>
    <cfRule type="containsText" dxfId="4162" priority="998" operator="containsText" text="Not Yet Due">
      <formula>NOT(ISERROR(SEARCH("Not Yet Due",R41)))</formula>
    </cfRule>
    <cfRule type="containsText" dxfId="4161" priority="999" operator="containsText" text="Deleted">
      <formula>NOT(ISERROR(SEARCH("Deleted",R41)))</formula>
    </cfRule>
    <cfRule type="containsText" dxfId="4160" priority="1000" operator="containsText" text="Completed Behind Schedule">
      <formula>NOT(ISERROR(SEARCH("Completed Behind Schedule",R41)))</formula>
    </cfRule>
    <cfRule type="containsText" dxfId="4159" priority="1001" operator="containsText" text="Off Target">
      <formula>NOT(ISERROR(SEARCH("Off Target",R41)))</formula>
    </cfRule>
    <cfRule type="containsText" dxfId="4158" priority="1002" operator="containsText" text="In Danger of Falling Behind Target">
      <formula>NOT(ISERROR(SEARCH("In Danger of Falling Behind Target",R41)))</formula>
    </cfRule>
    <cfRule type="containsText" dxfId="4157" priority="1003" operator="containsText" text="Fully Achieved">
      <formula>NOT(ISERROR(SEARCH("Fully Achieved",R41)))</formula>
    </cfRule>
    <cfRule type="containsText" dxfId="4156" priority="1004" operator="containsText" text="On track to be achieved">
      <formula>NOT(ISERROR(SEARCH("On track to be achieved",R41)))</formula>
    </cfRule>
  </conditionalFormatting>
  <conditionalFormatting sqref="R43">
    <cfRule type="containsText" dxfId="4155" priority="950" operator="containsText" text="Deferred">
      <formula>NOT(ISERROR(SEARCH("Deferred",R43)))</formula>
    </cfRule>
    <cfRule type="containsText" dxfId="4154" priority="951" operator="containsText" text="Update Not Provided">
      <formula>NOT(ISERROR(SEARCH("Update Not Provided",R43)))</formula>
    </cfRule>
    <cfRule type="containsText" dxfId="4153" priority="952" operator="containsText" text="Not Yet Due">
      <formula>NOT(ISERROR(SEARCH("Not Yet Due",R43)))</formula>
    </cfRule>
    <cfRule type="containsText" dxfId="4152" priority="953" operator="containsText" text="Deleted">
      <formula>NOT(ISERROR(SEARCH("Deleted",R43)))</formula>
    </cfRule>
    <cfRule type="containsText" dxfId="4151" priority="954" operator="containsText" text="Completed Behind Schedule">
      <formula>NOT(ISERROR(SEARCH("Completed Behind Schedule",R43)))</formula>
    </cfRule>
    <cfRule type="containsText" dxfId="4150" priority="955" operator="containsText" text="Off Target">
      <formula>NOT(ISERROR(SEARCH("Off Target",R43)))</formula>
    </cfRule>
    <cfRule type="containsText" dxfId="4149" priority="956" operator="containsText" text="In Danger of Falling Behind Target">
      <formula>NOT(ISERROR(SEARCH("In Danger of Falling Behind Target",R43)))</formula>
    </cfRule>
    <cfRule type="containsText" dxfId="4148" priority="957" operator="containsText" text="Fully Achieved">
      <formula>NOT(ISERROR(SEARCH("Fully Achieved",R43)))</formula>
    </cfRule>
    <cfRule type="containsText" dxfId="4147" priority="958" operator="containsText" text="On track to be achieved">
      <formula>NOT(ISERROR(SEARCH("On track to be achieved",R43)))</formula>
    </cfRule>
  </conditionalFormatting>
  <conditionalFormatting sqref="R48">
    <cfRule type="containsText" dxfId="4146" priority="904" operator="containsText" text="Deferred">
      <formula>NOT(ISERROR(SEARCH("Deferred",R48)))</formula>
    </cfRule>
    <cfRule type="containsText" dxfId="4145" priority="905" operator="containsText" text="Update Not Provided">
      <formula>NOT(ISERROR(SEARCH("Update Not Provided",R48)))</formula>
    </cfRule>
    <cfRule type="containsText" dxfId="4144" priority="906" operator="containsText" text="Not Yet Due">
      <formula>NOT(ISERROR(SEARCH("Not Yet Due",R48)))</formula>
    </cfRule>
    <cfRule type="containsText" dxfId="4143" priority="907" operator="containsText" text="Deleted">
      <formula>NOT(ISERROR(SEARCH("Deleted",R48)))</formula>
    </cfRule>
    <cfRule type="containsText" dxfId="4142" priority="908" operator="containsText" text="Completed Behind Schedule">
      <formula>NOT(ISERROR(SEARCH("Completed Behind Schedule",R48)))</formula>
    </cfRule>
    <cfRule type="containsText" dxfId="4141" priority="909" operator="containsText" text="Off Target">
      <formula>NOT(ISERROR(SEARCH("Off Target",R48)))</formula>
    </cfRule>
    <cfRule type="containsText" dxfId="4140" priority="910" operator="containsText" text="In Danger of Falling Behind Target">
      <formula>NOT(ISERROR(SEARCH("In Danger of Falling Behind Target",R48)))</formula>
    </cfRule>
    <cfRule type="containsText" dxfId="4139" priority="911" operator="containsText" text="Fully Achieved">
      <formula>NOT(ISERROR(SEARCH("Fully Achieved",R48)))</formula>
    </cfRule>
    <cfRule type="containsText" dxfId="4138" priority="912" operator="containsText" text="On track to be achieved">
      <formula>NOT(ISERROR(SEARCH("On track to be achieved",R48)))</formula>
    </cfRule>
  </conditionalFormatting>
  <conditionalFormatting sqref="R45">
    <cfRule type="containsText" dxfId="4137" priority="858" operator="containsText" text="Deferred">
      <formula>NOT(ISERROR(SEARCH("Deferred",R45)))</formula>
    </cfRule>
    <cfRule type="containsText" dxfId="4136" priority="859" operator="containsText" text="Update Not Provided">
      <formula>NOT(ISERROR(SEARCH("Update Not Provided",R45)))</formula>
    </cfRule>
    <cfRule type="containsText" dxfId="4135" priority="860" operator="containsText" text="Not Yet Due">
      <formula>NOT(ISERROR(SEARCH("Not Yet Due",R45)))</formula>
    </cfRule>
    <cfRule type="containsText" dxfId="4134" priority="861" operator="containsText" text="Deleted">
      <formula>NOT(ISERROR(SEARCH("Deleted",R45)))</formula>
    </cfRule>
    <cfRule type="containsText" dxfId="4133" priority="862" operator="containsText" text="Completed Behind Schedule">
      <formula>NOT(ISERROR(SEARCH("Completed Behind Schedule",R45)))</formula>
    </cfRule>
    <cfRule type="containsText" dxfId="4132" priority="863" operator="containsText" text="Off Target">
      <formula>NOT(ISERROR(SEARCH("Off Target",R45)))</formula>
    </cfRule>
    <cfRule type="containsText" dxfId="4131" priority="864" operator="containsText" text="In Danger of Falling Behind Target">
      <formula>NOT(ISERROR(SEARCH("In Danger of Falling Behind Target",R45)))</formula>
    </cfRule>
    <cfRule type="containsText" dxfId="4130" priority="865" operator="containsText" text="Fully Achieved">
      <formula>NOT(ISERROR(SEARCH("Fully Achieved",R45)))</formula>
    </cfRule>
    <cfRule type="containsText" dxfId="4129" priority="866" operator="containsText" text="On track to be achieved">
      <formula>NOT(ISERROR(SEARCH("On track to be achieved",R45)))</formula>
    </cfRule>
  </conditionalFormatting>
  <conditionalFormatting sqref="R78">
    <cfRule type="containsText" dxfId="4128" priority="443" operator="containsText" text="Deferred">
      <formula>NOT(ISERROR(SEARCH("Deferred",R78)))</formula>
    </cfRule>
    <cfRule type="containsText" dxfId="4127" priority="444" operator="containsText" text="Update Not Provided">
      <formula>NOT(ISERROR(SEARCH("Update Not Provided",R78)))</formula>
    </cfRule>
    <cfRule type="containsText" dxfId="4126" priority="445" operator="containsText" text="Not Yet Due">
      <formula>NOT(ISERROR(SEARCH("Not Yet Due",R78)))</formula>
    </cfRule>
    <cfRule type="containsText" dxfId="4125" priority="446" operator="containsText" text="Deleted">
      <formula>NOT(ISERROR(SEARCH("Deleted",R78)))</formula>
    </cfRule>
    <cfRule type="containsText" dxfId="4124" priority="447" operator="containsText" text="Completed Behind Schedule">
      <formula>NOT(ISERROR(SEARCH("Completed Behind Schedule",R78)))</formula>
    </cfRule>
    <cfRule type="containsText" dxfId="4123" priority="448" operator="containsText" text="Off Target">
      <formula>NOT(ISERROR(SEARCH("Off Target",R78)))</formula>
    </cfRule>
    <cfRule type="containsText" dxfId="4122" priority="449" operator="containsText" text="In Danger of Falling Behind Target">
      <formula>NOT(ISERROR(SEARCH("In Danger of Falling Behind Target",R78)))</formula>
    </cfRule>
    <cfRule type="containsText" dxfId="4121" priority="450" operator="containsText" text="Fully Achieved">
      <formula>NOT(ISERROR(SEARCH("Fully Achieved",R78)))</formula>
    </cfRule>
    <cfRule type="containsText" dxfId="4120" priority="451" operator="containsText" text="On track to be achieved">
      <formula>NOT(ISERROR(SEARCH("On track to be achieved",R78)))</formula>
    </cfRule>
  </conditionalFormatting>
  <conditionalFormatting sqref="R81">
    <cfRule type="containsText" dxfId="4119" priority="425" operator="containsText" text="Deferred">
      <formula>NOT(ISERROR(SEARCH("Deferred",R81)))</formula>
    </cfRule>
    <cfRule type="containsText" dxfId="4118" priority="426" operator="containsText" text="Update Not Provided">
      <formula>NOT(ISERROR(SEARCH("Update Not Provided",R81)))</formula>
    </cfRule>
    <cfRule type="containsText" dxfId="4117" priority="427" operator="containsText" text="Not Yet Due">
      <formula>NOT(ISERROR(SEARCH("Not Yet Due",R81)))</formula>
    </cfRule>
    <cfRule type="containsText" dxfId="4116" priority="428" operator="containsText" text="Deleted">
      <formula>NOT(ISERROR(SEARCH("Deleted",R81)))</formula>
    </cfRule>
    <cfRule type="containsText" dxfId="4115" priority="429" operator="containsText" text="Completed Behind Schedule">
      <formula>NOT(ISERROR(SEARCH("Completed Behind Schedule",R81)))</formula>
    </cfRule>
    <cfRule type="containsText" dxfId="4114" priority="430" operator="containsText" text="Off Target">
      <formula>NOT(ISERROR(SEARCH("Off Target",R81)))</formula>
    </cfRule>
    <cfRule type="containsText" dxfId="4113" priority="431" operator="containsText" text="In Danger of Falling Behind Target">
      <formula>NOT(ISERROR(SEARCH("In Danger of Falling Behind Target",R81)))</formula>
    </cfRule>
    <cfRule type="containsText" dxfId="4112" priority="432" operator="containsText" text="Fully Achieved">
      <formula>NOT(ISERROR(SEARCH("Fully Achieved",R81)))</formula>
    </cfRule>
    <cfRule type="containsText" dxfId="4111" priority="433" operator="containsText" text="On track to be achieved">
      <formula>NOT(ISERROR(SEARCH("On track to be achieved",R81)))</formula>
    </cfRule>
  </conditionalFormatting>
  <conditionalFormatting sqref="R80">
    <cfRule type="containsText" dxfId="4110" priority="407" operator="containsText" text="Deferred">
      <formula>NOT(ISERROR(SEARCH("Deferred",R80)))</formula>
    </cfRule>
    <cfRule type="containsText" dxfId="4109" priority="408" operator="containsText" text="Update Not Provided">
      <formula>NOT(ISERROR(SEARCH("Update Not Provided",R80)))</formula>
    </cfRule>
    <cfRule type="containsText" dxfId="4108" priority="409" operator="containsText" text="Not Yet Due">
      <formula>NOT(ISERROR(SEARCH("Not Yet Due",R80)))</formula>
    </cfRule>
    <cfRule type="containsText" dxfId="4107" priority="410" operator="containsText" text="Deleted">
      <formula>NOT(ISERROR(SEARCH("Deleted",R80)))</formula>
    </cfRule>
    <cfRule type="containsText" dxfId="4106" priority="411" operator="containsText" text="Completed Behind Schedule">
      <formula>NOT(ISERROR(SEARCH("Completed Behind Schedule",R80)))</formula>
    </cfRule>
    <cfRule type="containsText" dxfId="4105" priority="412" operator="containsText" text="Off Target">
      <formula>NOT(ISERROR(SEARCH("Off Target",R80)))</formula>
    </cfRule>
    <cfRule type="containsText" dxfId="4104" priority="413" operator="containsText" text="In Danger of Falling Behind Target">
      <formula>NOT(ISERROR(SEARCH("In Danger of Falling Behind Target",R80)))</formula>
    </cfRule>
    <cfRule type="containsText" dxfId="4103" priority="414" operator="containsText" text="Fully Achieved">
      <formula>NOT(ISERROR(SEARCH("Fully Achieved",R80)))</formula>
    </cfRule>
    <cfRule type="containsText" dxfId="4102" priority="415" operator="containsText" text="On track to be achieved">
      <formula>NOT(ISERROR(SEARCH("On track to be achieved",R80)))</formula>
    </cfRule>
  </conditionalFormatting>
  <conditionalFormatting sqref="R83">
    <cfRule type="containsText" dxfId="4101" priority="389" operator="containsText" text="Deferred">
      <formula>NOT(ISERROR(SEARCH("Deferred",R83)))</formula>
    </cfRule>
    <cfRule type="containsText" dxfId="4100" priority="390" operator="containsText" text="Update Not Provided">
      <formula>NOT(ISERROR(SEARCH("Update Not Provided",R83)))</formula>
    </cfRule>
    <cfRule type="containsText" dxfId="4099" priority="391" operator="containsText" text="Not Yet Due">
      <formula>NOT(ISERROR(SEARCH("Not Yet Due",R83)))</formula>
    </cfRule>
    <cfRule type="containsText" dxfId="4098" priority="392" operator="containsText" text="Deleted">
      <formula>NOT(ISERROR(SEARCH("Deleted",R83)))</formula>
    </cfRule>
    <cfRule type="containsText" dxfId="4097" priority="393" operator="containsText" text="Completed Behind Schedule">
      <formula>NOT(ISERROR(SEARCH("Completed Behind Schedule",R83)))</formula>
    </cfRule>
    <cfRule type="containsText" dxfId="4096" priority="394" operator="containsText" text="Off Target">
      <formula>NOT(ISERROR(SEARCH("Off Target",R83)))</formula>
    </cfRule>
    <cfRule type="containsText" dxfId="4095" priority="395" operator="containsText" text="In Danger of Falling Behind Target">
      <formula>NOT(ISERROR(SEARCH("In Danger of Falling Behind Target",R83)))</formula>
    </cfRule>
    <cfRule type="containsText" dxfId="4094" priority="396" operator="containsText" text="Fully Achieved">
      <formula>NOT(ISERROR(SEARCH("Fully Achieved",R83)))</formula>
    </cfRule>
    <cfRule type="containsText" dxfId="4093" priority="397" operator="containsText" text="On track to be achieved">
      <formula>NOT(ISERROR(SEARCH("On track to be achieved",R83)))</formula>
    </cfRule>
  </conditionalFormatting>
  <conditionalFormatting sqref="R87">
    <cfRule type="containsText" dxfId="4092" priority="371" operator="containsText" text="Deferred">
      <formula>NOT(ISERROR(SEARCH("Deferred",R87)))</formula>
    </cfRule>
    <cfRule type="containsText" dxfId="4091" priority="372" operator="containsText" text="Update Not Provided">
      <formula>NOT(ISERROR(SEARCH("Update Not Provided",R87)))</formula>
    </cfRule>
    <cfRule type="containsText" dxfId="4090" priority="373" operator="containsText" text="Not Yet Due">
      <formula>NOT(ISERROR(SEARCH("Not Yet Due",R87)))</formula>
    </cfRule>
    <cfRule type="containsText" dxfId="4089" priority="374" operator="containsText" text="Deleted">
      <formula>NOT(ISERROR(SEARCH("Deleted",R87)))</formula>
    </cfRule>
    <cfRule type="containsText" dxfId="4088" priority="375" operator="containsText" text="Completed Behind Schedule">
      <formula>NOT(ISERROR(SEARCH("Completed Behind Schedule",R87)))</formula>
    </cfRule>
    <cfRule type="containsText" dxfId="4087" priority="376" operator="containsText" text="Off Target">
      <formula>NOT(ISERROR(SEARCH("Off Target",R87)))</formula>
    </cfRule>
    <cfRule type="containsText" dxfId="4086" priority="377" operator="containsText" text="In Danger of Falling Behind Target">
      <formula>NOT(ISERROR(SEARCH("In Danger of Falling Behind Target",R87)))</formula>
    </cfRule>
    <cfRule type="containsText" dxfId="4085" priority="378" operator="containsText" text="Fully Achieved">
      <formula>NOT(ISERROR(SEARCH("Fully Achieved",R87)))</formula>
    </cfRule>
    <cfRule type="containsText" dxfId="4084" priority="379" operator="containsText" text="On track to be achieved">
      <formula>NOT(ISERROR(SEARCH("On track to be achieved",R87)))</formula>
    </cfRule>
  </conditionalFormatting>
  <conditionalFormatting sqref="R86">
    <cfRule type="containsText" dxfId="4083" priority="188" operator="containsText" text="Deferred">
      <formula>NOT(ISERROR(SEARCH("Deferred",R86)))</formula>
    </cfRule>
    <cfRule type="containsText" dxfId="4082" priority="189" operator="containsText" text="Update Not Provided">
      <formula>NOT(ISERROR(SEARCH("Update Not Provided",R86)))</formula>
    </cfRule>
    <cfRule type="containsText" dxfId="4081" priority="190" operator="containsText" text="Not Yet Due">
      <formula>NOT(ISERROR(SEARCH("Not Yet Due",R86)))</formula>
    </cfRule>
    <cfRule type="containsText" dxfId="4080" priority="191" operator="containsText" text="Deleted">
      <formula>NOT(ISERROR(SEARCH("Deleted",R86)))</formula>
    </cfRule>
    <cfRule type="containsText" dxfId="4079" priority="192" operator="containsText" text="Completed Behind Schedule">
      <formula>NOT(ISERROR(SEARCH("Completed Behind Schedule",R86)))</formula>
    </cfRule>
    <cfRule type="containsText" dxfId="4078" priority="193" operator="containsText" text="Off Target">
      <formula>NOT(ISERROR(SEARCH("Off Target",R86)))</formula>
    </cfRule>
    <cfRule type="containsText" dxfId="4077" priority="194" operator="containsText" text="In Danger of Falling Behind Target">
      <formula>NOT(ISERROR(SEARCH("In Danger of Falling Behind Target",R86)))</formula>
    </cfRule>
    <cfRule type="containsText" dxfId="4076" priority="195" operator="containsText" text="Fully Achieved">
      <formula>NOT(ISERROR(SEARCH("Fully Achieved",R86)))</formula>
    </cfRule>
    <cfRule type="containsText" dxfId="4075" priority="196" operator="containsText" text="On track to be achieved">
      <formula>NOT(ISERROR(SEARCH("On track to be achieved",R86)))</formula>
    </cfRule>
  </conditionalFormatting>
  <conditionalFormatting sqref="R100">
    <cfRule type="containsText" dxfId="4074" priority="151" operator="containsText" text="Deferred">
      <formula>NOT(ISERROR(SEARCH("Deferred",R100)))</formula>
    </cfRule>
    <cfRule type="containsText" dxfId="4073" priority="152" operator="containsText" text="Update Not Provided">
      <formula>NOT(ISERROR(SEARCH("Update Not Provided",R100)))</formula>
    </cfRule>
    <cfRule type="containsText" dxfId="4072" priority="153" operator="containsText" text="Not Yet Due">
      <formula>NOT(ISERROR(SEARCH("Not Yet Due",R100)))</formula>
    </cfRule>
    <cfRule type="containsText" dxfId="4071" priority="154" operator="containsText" text="Deleted">
      <formula>NOT(ISERROR(SEARCH("Deleted",R100)))</formula>
    </cfRule>
    <cfRule type="containsText" dxfId="4070" priority="155" operator="containsText" text="Completed Behind Schedule">
      <formula>NOT(ISERROR(SEARCH("Completed Behind Schedule",R100)))</formula>
    </cfRule>
    <cfRule type="containsText" dxfId="4069" priority="156" operator="containsText" text="Off Target">
      <formula>NOT(ISERROR(SEARCH("Off Target",R100)))</formula>
    </cfRule>
    <cfRule type="containsText" dxfId="4068" priority="157" operator="containsText" text="In Danger of Falling Behind Target">
      <formula>NOT(ISERROR(SEARCH("In Danger of Falling Behind Target",R100)))</formula>
    </cfRule>
    <cfRule type="containsText" dxfId="4067" priority="158" operator="containsText" text="Fully Achieved">
      <formula>NOT(ISERROR(SEARCH("Fully Achieved",R100)))</formula>
    </cfRule>
    <cfRule type="containsText" dxfId="4066" priority="159" operator="containsText" text="On track to be achieved">
      <formula>NOT(ISERROR(SEARCH("On track to be achieved",R100)))</formula>
    </cfRule>
  </conditionalFormatting>
  <conditionalFormatting sqref="V3:V52 V55:V59 V62:V131">
    <cfRule type="containsText" dxfId="4065" priority="113" operator="containsText" text="Deleted">
      <formula>NOT(ISERROR(SEARCH("Deleted",V3)))</formula>
    </cfRule>
    <cfRule type="containsText" dxfId="4064" priority="114" operator="containsText" text="Deferred">
      <formula>NOT(ISERROR(SEARCH("Deferred",V3)))</formula>
    </cfRule>
    <cfRule type="containsText" dxfId="4063" priority="115" operator="containsText" text="Completion date within reasonable tolerance">
      <formula>NOT(ISERROR(SEARCH("Completion date within reasonable tolerance",V3)))</formula>
    </cfRule>
    <cfRule type="containsText" dxfId="4062" priority="116" operator="containsText" text="completed significantly after target deadline">
      <formula>NOT(ISERROR(SEARCH("completed significantly after target deadline",V3)))</formula>
    </cfRule>
    <cfRule type="containsText" dxfId="4061" priority="117" operator="containsText" text="Off target">
      <formula>NOT(ISERROR(SEARCH("Off target",V3)))</formula>
    </cfRule>
    <cfRule type="containsText" dxfId="4060" priority="118" operator="containsText" text="Target partially met">
      <formula>NOT(ISERROR(SEARCH("Target partially met",V3)))</formula>
    </cfRule>
    <cfRule type="containsText" dxfId="4059" priority="119" operator="containsText" text="Numerical outturn within 10% tolerance">
      <formula>NOT(ISERROR(SEARCH("Numerical outturn within 10% tolerance",V3)))</formula>
    </cfRule>
    <cfRule type="containsText" dxfId="4058" priority="120" operator="containsText" text="Numerical outturn within 5% Tolerance">
      <formula>NOT(ISERROR(SEARCH("Numerical outturn within 5% Tolerance",V3)))</formula>
    </cfRule>
    <cfRule type="containsText" dxfId="4057" priority="121" operator="containsText" text="Fully Achieved">
      <formula>NOT(ISERROR(SEARCH("Fully Achieved",V3)))</formula>
    </cfRule>
    <cfRule type="containsText" dxfId="4056" priority="122" operator="containsText" text="Update Not Provided">
      <formula>NOT(ISERROR(SEARCH("Update Not Provided",V3)))</formula>
    </cfRule>
    <cfRule type="containsText" dxfId="4055" priority="123" operator="containsText" text="Deferred">
      <formula>NOT(ISERROR(SEARCH("Deferred",V3)))</formula>
    </cfRule>
    <cfRule type="containsText" dxfId="4054" priority="124" operator="containsText" text="Update Not Provided">
      <formula>NOT(ISERROR(SEARCH("Update Not Provided",V3)))</formula>
    </cfRule>
    <cfRule type="containsText" dxfId="4053" priority="125" operator="containsText" text="Not Yet Due">
      <formula>NOT(ISERROR(SEARCH("Not Yet Due",V3)))</formula>
    </cfRule>
    <cfRule type="containsText" dxfId="4052" priority="126" operator="containsText" text="Deleted">
      <formula>NOT(ISERROR(SEARCH("Deleted",V3)))</formula>
    </cfRule>
    <cfRule type="containsText" dxfId="4051" priority="127" operator="containsText" text="Completed Behind Schedule">
      <formula>NOT(ISERROR(SEARCH("Completed Behind Schedule",V3)))</formula>
    </cfRule>
    <cfRule type="containsText" dxfId="4050" priority="128" operator="containsText" text="Off Target">
      <formula>NOT(ISERROR(SEARCH("Off Target",V3)))</formula>
    </cfRule>
    <cfRule type="containsText" dxfId="4049" priority="129" operator="containsText" text="In Danger of Falling Behind Target">
      <formula>NOT(ISERROR(SEARCH("In Danger of Falling Behind Target",V3)))</formula>
    </cfRule>
    <cfRule type="containsText" dxfId="4048" priority="130" operator="containsText" text="Fully Achieved">
      <formula>NOT(ISERROR(SEARCH("Fully Achieved",V3)))</formula>
    </cfRule>
    <cfRule type="containsText" dxfId="4047" priority="131" operator="containsText" text="On track to be achieved">
      <formula>NOT(ISERROR(SEARCH("On track to be achieved",V3)))</formula>
    </cfRule>
  </conditionalFormatting>
  <conditionalFormatting sqref="R60 M60">
    <cfRule type="containsText" dxfId="4046" priority="104" operator="containsText" text="Deferred">
      <formula>NOT(ISERROR(SEARCH("Deferred",M60)))</formula>
    </cfRule>
    <cfRule type="containsText" dxfId="4045" priority="105" operator="containsText" text="Update Not Provided">
      <formula>NOT(ISERROR(SEARCH("Update Not Provided",M60)))</formula>
    </cfRule>
    <cfRule type="containsText" dxfId="4044" priority="106" operator="containsText" text="Not Yet Due">
      <formula>NOT(ISERROR(SEARCH("Not Yet Due",M60)))</formula>
    </cfRule>
    <cfRule type="containsText" dxfId="4043" priority="107" operator="containsText" text="Deleted">
      <formula>NOT(ISERROR(SEARCH("Deleted",M60)))</formula>
    </cfRule>
    <cfRule type="containsText" dxfId="4042" priority="108" operator="containsText" text="Completed Behind Schedule">
      <formula>NOT(ISERROR(SEARCH("Completed Behind Schedule",M60)))</formula>
    </cfRule>
    <cfRule type="containsText" dxfId="4041" priority="109" operator="containsText" text="Off Target">
      <formula>NOT(ISERROR(SEARCH("Off Target",M60)))</formula>
    </cfRule>
    <cfRule type="containsText" dxfId="4040" priority="110" operator="containsText" text="In Danger of Falling Behind Target">
      <formula>NOT(ISERROR(SEARCH("In Danger of Falling Behind Target",M60)))</formula>
    </cfRule>
    <cfRule type="containsText" dxfId="4039" priority="111" operator="containsText" text="Fully Achieved">
      <formula>NOT(ISERROR(SEARCH("Fully Achieved",M60)))</formula>
    </cfRule>
    <cfRule type="containsText" dxfId="4038" priority="112" operator="containsText" text="On track to be achieved">
      <formula>NOT(ISERROR(SEARCH("On track to be achieved",M60)))</formula>
    </cfRule>
  </conditionalFormatting>
  <conditionalFormatting sqref="V60">
    <cfRule type="containsText" dxfId="4037" priority="85" operator="containsText" text="Deleted">
      <formula>NOT(ISERROR(SEARCH("Deleted",V60)))</formula>
    </cfRule>
    <cfRule type="containsText" dxfId="4036" priority="86" operator="containsText" text="Deferred">
      <formula>NOT(ISERROR(SEARCH("Deferred",V60)))</formula>
    </cfRule>
    <cfRule type="containsText" dxfId="4035" priority="87" operator="containsText" text="Completion date within reasonable tolerance">
      <formula>NOT(ISERROR(SEARCH("Completion date within reasonable tolerance",V60)))</formula>
    </cfRule>
    <cfRule type="containsText" dxfId="4034" priority="88" operator="containsText" text="completed significantly after target deadline">
      <formula>NOT(ISERROR(SEARCH("completed significantly after target deadline",V60)))</formula>
    </cfRule>
    <cfRule type="containsText" dxfId="4033" priority="89" operator="containsText" text="Off target">
      <formula>NOT(ISERROR(SEARCH("Off target",V60)))</formula>
    </cfRule>
    <cfRule type="containsText" dxfId="4032" priority="90" operator="containsText" text="Target partially met">
      <formula>NOT(ISERROR(SEARCH("Target partially met",V60)))</formula>
    </cfRule>
    <cfRule type="containsText" dxfId="4031" priority="91" operator="containsText" text="Numerical outturn within 10% tolerance">
      <formula>NOT(ISERROR(SEARCH("Numerical outturn within 10% tolerance",V60)))</formula>
    </cfRule>
    <cfRule type="containsText" dxfId="4030" priority="92" operator="containsText" text="Numerical outturn within 5% Tolerance">
      <formula>NOT(ISERROR(SEARCH("Numerical outturn within 5% Tolerance",V60)))</formula>
    </cfRule>
    <cfRule type="containsText" dxfId="4029" priority="93" operator="containsText" text="Fully Achieved">
      <formula>NOT(ISERROR(SEARCH("Fully Achieved",V60)))</formula>
    </cfRule>
    <cfRule type="containsText" dxfId="4028" priority="94" operator="containsText" text="Update Not Provided">
      <formula>NOT(ISERROR(SEARCH("Update Not Provided",V60)))</formula>
    </cfRule>
    <cfRule type="containsText" dxfId="4027" priority="95" operator="containsText" text="Deferred">
      <formula>NOT(ISERROR(SEARCH("Deferred",V60)))</formula>
    </cfRule>
    <cfRule type="containsText" dxfId="4026" priority="96" operator="containsText" text="Update Not Provided">
      <formula>NOT(ISERROR(SEARCH("Update Not Provided",V60)))</formula>
    </cfRule>
    <cfRule type="containsText" dxfId="4025" priority="97" operator="containsText" text="Not Yet Due">
      <formula>NOT(ISERROR(SEARCH("Not Yet Due",V60)))</formula>
    </cfRule>
    <cfRule type="containsText" dxfId="4024" priority="98" operator="containsText" text="Deleted">
      <formula>NOT(ISERROR(SEARCH("Deleted",V60)))</formula>
    </cfRule>
    <cfRule type="containsText" dxfId="4023" priority="99" operator="containsText" text="Completed Behind Schedule">
      <formula>NOT(ISERROR(SEARCH("Completed Behind Schedule",V60)))</formula>
    </cfRule>
    <cfRule type="containsText" dxfId="4022" priority="100" operator="containsText" text="Off Target">
      <formula>NOT(ISERROR(SEARCH("Off Target",V60)))</formula>
    </cfRule>
    <cfRule type="containsText" dxfId="4021" priority="101" operator="containsText" text="In Danger of Falling Behind Target">
      <formula>NOT(ISERROR(SEARCH("In Danger of Falling Behind Target",V60)))</formula>
    </cfRule>
    <cfRule type="containsText" dxfId="4020" priority="102" operator="containsText" text="Fully Achieved">
      <formula>NOT(ISERROR(SEARCH("Fully Achieved",V60)))</formula>
    </cfRule>
    <cfRule type="containsText" dxfId="4019" priority="103" operator="containsText" text="On track to be achieved">
      <formula>NOT(ISERROR(SEARCH("On track to be achieved",V60)))</formula>
    </cfRule>
  </conditionalFormatting>
  <conditionalFormatting sqref="R61 M61">
    <cfRule type="containsText" dxfId="4018" priority="76" operator="containsText" text="Deferred">
      <formula>NOT(ISERROR(SEARCH("Deferred",M61)))</formula>
    </cfRule>
    <cfRule type="containsText" dxfId="4017" priority="77" operator="containsText" text="Update Not Provided">
      <formula>NOT(ISERROR(SEARCH("Update Not Provided",M61)))</formula>
    </cfRule>
    <cfRule type="containsText" dxfId="4016" priority="78" operator="containsText" text="Not Yet Due">
      <formula>NOT(ISERROR(SEARCH("Not Yet Due",M61)))</formula>
    </cfRule>
    <cfRule type="containsText" dxfId="4015" priority="79" operator="containsText" text="Deleted">
      <formula>NOT(ISERROR(SEARCH("Deleted",M61)))</formula>
    </cfRule>
    <cfRule type="containsText" dxfId="4014" priority="80" operator="containsText" text="Completed Behind Schedule">
      <formula>NOT(ISERROR(SEARCH("Completed Behind Schedule",M61)))</formula>
    </cfRule>
    <cfRule type="containsText" dxfId="4013" priority="81" operator="containsText" text="Off Target">
      <formula>NOT(ISERROR(SEARCH("Off Target",M61)))</formula>
    </cfRule>
    <cfRule type="containsText" dxfId="4012" priority="82" operator="containsText" text="In Danger of Falling Behind Target">
      <formula>NOT(ISERROR(SEARCH("In Danger of Falling Behind Target",M61)))</formula>
    </cfRule>
    <cfRule type="containsText" dxfId="4011" priority="83" operator="containsText" text="Fully Achieved">
      <formula>NOT(ISERROR(SEARCH("Fully Achieved",M61)))</formula>
    </cfRule>
    <cfRule type="containsText" dxfId="4010" priority="84" operator="containsText" text="On track to be achieved">
      <formula>NOT(ISERROR(SEARCH("On track to be achieved",M61)))</formula>
    </cfRule>
  </conditionalFormatting>
  <conditionalFormatting sqref="V61">
    <cfRule type="containsText" dxfId="4009" priority="57" operator="containsText" text="Deleted">
      <formula>NOT(ISERROR(SEARCH("Deleted",V61)))</formula>
    </cfRule>
    <cfRule type="containsText" dxfId="4008" priority="58" operator="containsText" text="Deferred">
      <formula>NOT(ISERROR(SEARCH("Deferred",V61)))</formula>
    </cfRule>
    <cfRule type="containsText" dxfId="4007" priority="59" operator="containsText" text="Completion date within reasonable tolerance">
      <formula>NOT(ISERROR(SEARCH("Completion date within reasonable tolerance",V61)))</formula>
    </cfRule>
    <cfRule type="containsText" dxfId="4006" priority="60" operator="containsText" text="completed significantly after target deadline">
      <formula>NOT(ISERROR(SEARCH("completed significantly after target deadline",V61)))</formula>
    </cfRule>
    <cfRule type="containsText" dxfId="4005" priority="61" operator="containsText" text="Off target">
      <formula>NOT(ISERROR(SEARCH("Off target",V61)))</formula>
    </cfRule>
    <cfRule type="containsText" dxfId="4004" priority="62" operator="containsText" text="Target partially met">
      <formula>NOT(ISERROR(SEARCH("Target partially met",V61)))</formula>
    </cfRule>
    <cfRule type="containsText" dxfId="4003" priority="63" operator="containsText" text="Numerical outturn within 10% tolerance">
      <formula>NOT(ISERROR(SEARCH("Numerical outturn within 10% tolerance",V61)))</formula>
    </cfRule>
    <cfRule type="containsText" dxfId="4002" priority="64" operator="containsText" text="Numerical outturn within 5% Tolerance">
      <formula>NOT(ISERROR(SEARCH("Numerical outturn within 5% Tolerance",V61)))</formula>
    </cfRule>
    <cfRule type="containsText" dxfId="4001" priority="65" operator="containsText" text="Fully Achieved">
      <formula>NOT(ISERROR(SEARCH("Fully Achieved",V61)))</formula>
    </cfRule>
    <cfRule type="containsText" dxfId="4000" priority="66" operator="containsText" text="Update Not Provided">
      <formula>NOT(ISERROR(SEARCH("Update Not Provided",V61)))</formula>
    </cfRule>
    <cfRule type="containsText" dxfId="3999" priority="67" operator="containsText" text="Deferred">
      <formula>NOT(ISERROR(SEARCH("Deferred",V61)))</formula>
    </cfRule>
    <cfRule type="containsText" dxfId="3998" priority="68" operator="containsText" text="Update Not Provided">
      <formula>NOT(ISERROR(SEARCH("Update Not Provided",V61)))</formula>
    </cfRule>
    <cfRule type="containsText" dxfId="3997" priority="69" operator="containsText" text="Not Yet Due">
      <formula>NOT(ISERROR(SEARCH("Not Yet Due",V61)))</formula>
    </cfRule>
    <cfRule type="containsText" dxfId="3996" priority="70" operator="containsText" text="Deleted">
      <formula>NOT(ISERROR(SEARCH("Deleted",V61)))</formula>
    </cfRule>
    <cfRule type="containsText" dxfId="3995" priority="71" operator="containsText" text="Completed Behind Schedule">
      <formula>NOT(ISERROR(SEARCH("Completed Behind Schedule",V61)))</formula>
    </cfRule>
    <cfRule type="containsText" dxfId="3994" priority="72" operator="containsText" text="Off Target">
      <formula>NOT(ISERROR(SEARCH("Off Target",V61)))</formula>
    </cfRule>
    <cfRule type="containsText" dxfId="3993" priority="73" operator="containsText" text="In Danger of Falling Behind Target">
      <formula>NOT(ISERROR(SEARCH("In Danger of Falling Behind Target",V61)))</formula>
    </cfRule>
    <cfRule type="containsText" dxfId="3992" priority="74" operator="containsText" text="Fully Achieved">
      <formula>NOT(ISERROR(SEARCH("Fully Achieved",V61)))</formula>
    </cfRule>
    <cfRule type="containsText" dxfId="3991" priority="75" operator="containsText" text="On track to be achieved">
      <formula>NOT(ISERROR(SEARCH("On track to be achieved",V61)))</formula>
    </cfRule>
  </conditionalFormatting>
  <conditionalFormatting sqref="R54 M54">
    <cfRule type="containsText" dxfId="3990" priority="48" operator="containsText" text="Deferred">
      <formula>NOT(ISERROR(SEARCH("Deferred",M54)))</formula>
    </cfRule>
    <cfRule type="containsText" dxfId="3989" priority="49" operator="containsText" text="Update Not Provided">
      <formula>NOT(ISERROR(SEARCH("Update Not Provided",M54)))</formula>
    </cfRule>
    <cfRule type="containsText" dxfId="3988" priority="50" operator="containsText" text="Not Yet Due">
      <formula>NOT(ISERROR(SEARCH("Not Yet Due",M54)))</formula>
    </cfRule>
    <cfRule type="containsText" dxfId="3987" priority="51" operator="containsText" text="Deleted">
      <formula>NOT(ISERROR(SEARCH("Deleted",M54)))</formula>
    </cfRule>
    <cfRule type="containsText" dxfId="3986" priority="52" operator="containsText" text="Completed Behind Schedule">
      <formula>NOT(ISERROR(SEARCH("Completed Behind Schedule",M54)))</formula>
    </cfRule>
    <cfRule type="containsText" dxfId="3985" priority="53" operator="containsText" text="Off Target">
      <formula>NOT(ISERROR(SEARCH("Off Target",M54)))</formula>
    </cfRule>
    <cfRule type="containsText" dxfId="3984" priority="54" operator="containsText" text="In Danger of Falling Behind Target">
      <formula>NOT(ISERROR(SEARCH("In Danger of Falling Behind Target",M54)))</formula>
    </cfRule>
    <cfRule type="containsText" dxfId="3983" priority="55" operator="containsText" text="Fully Achieved">
      <formula>NOT(ISERROR(SEARCH("Fully Achieved",M54)))</formula>
    </cfRule>
    <cfRule type="containsText" dxfId="3982" priority="56" operator="containsText" text="On track to be achieved">
      <formula>NOT(ISERROR(SEARCH("On track to be achieved",M54)))</formula>
    </cfRule>
  </conditionalFormatting>
  <conditionalFormatting sqref="V54">
    <cfRule type="containsText" dxfId="3981" priority="29" operator="containsText" text="Deleted">
      <formula>NOT(ISERROR(SEARCH("Deleted",V54)))</formula>
    </cfRule>
    <cfRule type="containsText" dxfId="3980" priority="30" operator="containsText" text="Deferred">
      <formula>NOT(ISERROR(SEARCH("Deferred",V54)))</formula>
    </cfRule>
    <cfRule type="containsText" dxfId="3979" priority="31" operator="containsText" text="Completion date within reasonable tolerance">
      <formula>NOT(ISERROR(SEARCH("Completion date within reasonable tolerance",V54)))</formula>
    </cfRule>
    <cfRule type="containsText" dxfId="3978" priority="32" operator="containsText" text="completed significantly after target deadline">
      <formula>NOT(ISERROR(SEARCH("completed significantly after target deadline",V54)))</formula>
    </cfRule>
    <cfRule type="containsText" dxfId="3977" priority="33" operator="containsText" text="Off target">
      <formula>NOT(ISERROR(SEARCH("Off target",V54)))</formula>
    </cfRule>
    <cfRule type="containsText" dxfId="3976" priority="34" operator="containsText" text="Target partially met">
      <formula>NOT(ISERROR(SEARCH("Target partially met",V54)))</formula>
    </cfRule>
    <cfRule type="containsText" dxfId="3975" priority="35" operator="containsText" text="Numerical outturn within 10% tolerance">
      <formula>NOT(ISERROR(SEARCH("Numerical outturn within 10% tolerance",V54)))</formula>
    </cfRule>
    <cfRule type="containsText" dxfId="3974" priority="36" operator="containsText" text="Numerical outturn within 5% Tolerance">
      <formula>NOT(ISERROR(SEARCH("Numerical outturn within 5% Tolerance",V54)))</formula>
    </cfRule>
    <cfRule type="containsText" dxfId="3973" priority="37" operator="containsText" text="Fully Achieved">
      <formula>NOT(ISERROR(SEARCH("Fully Achieved",V54)))</formula>
    </cfRule>
    <cfRule type="containsText" dxfId="3972" priority="38" operator="containsText" text="Update Not Provided">
      <formula>NOT(ISERROR(SEARCH("Update Not Provided",V54)))</formula>
    </cfRule>
    <cfRule type="containsText" dxfId="3971" priority="39" operator="containsText" text="Deferred">
      <formula>NOT(ISERROR(SEARCH("Deferred",V54)))</formula>
    </cfRule>
    <cfRule type="containsText" dxfId="3970" priority="40" operator="containsText" text="Update Not Provided">
      <formula>NOT(ISERROR(SEARCH("Update Not Provided",V54)))</formula>
    </cfRule>
    <cfRule type="containsText" dxfId="3969" priority="41" operator="containsText" text="Not Yet Due">
      <formula>NOT(ISERROR(SEARCH("Not Yet Due",V54)))</formula>
    </cfRule>
    <cfRule type="containsText" dxfId="3968" priority="42" operator="containsText" text="Deleted">
      <formula>NOT(ISERROR(SEARCH("Deleted",V54)))</formula>
    </cfRule>
    <cfRule type="containsText" dxfId="3967" priority="43" operator="containsText" text="Completed Behind Schedule">
      <formula>NOT(ISERROR(SEARCH("Completed Behind Schedule",V54)))</formula>
    </cfRule>
    <cfRule type="containsText" dxfId="3966" priority="44" operator="containsText" text="Off Target">
      <formula>NOT(ISERROR(SEARCH("Off Target",V54)))</formula>
    </cfRule>
    <cfRule type="containsText" dxfId="3965" priority="45" operator="containsText" text="In Danger of Falling Behind Target">
      <formula>NOT(ISERROR(SEARCH("In Danger of Falling Behind Target",V54)))</formula>
    </cfRule>
    <cfRule type="containsText" dxfId="3964" priority="46" operator="containsText" text="Fully Achieved">
      <formula>NOT(ISERROR(SEARCH("Fully Achieved",V54)))</formula>
    </cfRule>
    <cfRule type="containsText" dxfId="3963" priority="47" operator="containsText" text="On track to be achieved">
      <formula>NOT(ISERROR(SEARCH("On track to be achieved",V54)))</formula>
    </cfRule>
  </conditionalFormatting>
  <conditionalFormatting sqref="R53 M53">
    <cfRule type="containsText" dxfId="3962" priority="20" operator="containsText" text="Deferred">
      <formula>NOT(ISERROR(SEARCH("Deferred",M53)))</formula>
    </cfRule>
    <cfRule type="containsText" dxfId="3961" priority="21" operator="containsText" text="Update Not Provided">
      <formula>NOT(ISERROR(SEARCH("Update Not Provided",M53)))</formula>
    </cfRule>
    <cfRule type="containsText" dxfId="3960" priority="22" operator="containsText" text="Not Yet Due">
      <formula>NOT(ISERROR(SEARCH("Not Yet Due",M53)))</formula>
    </cfRule>
    <cfRule type="containsText" dxfId="3959" priority="23" operator="containsText" text="Deleted">
      <formula>NOT(ISERROR(SEARCH("Deleted",M53)))</formula>
    </cfRule>
    <cfRule type="containsText" dxfId="3958" priority="24" operator="containsText" text="Completed Behind Schedule">
      <formula>NOT(ISERROR(SEARCH("Completed Behind Schedule",M53)))</formula>
    </cfRule>
    <cfRule type="containsText" dxfId="3957" priority="25" operator="containsText" text="Off Target">
      <formula>NOT(ISERROR(SEARCH("Off Target",M53)))</formula>
    </cfRule>
    <cfRule type="containsText" dxfId="3956" priority="26" operator="containsText" text="In Danger of Falling Behind Target">
      <formula>NOT(ISERROR(SEARCH("In Danger of Falling Behind Target",M53)))</formula>
    </cfRule>
    <cfRule type="containsText" dxfId="3955" priority="27" operator="containsText" text="Fully Achieved">
      <formula>NOT(ISERROR(SEARCH("Fully Achieved",M53)))</formula>
    </cfRule>
    <cfRule type="containsText" dxfId="3954" priority="28" operator="containsText" text="On track to be achieved">
      <formula>NOT(ISERROR(SEARCH("On track to be achieved",M53)))</formula>
    </cfRule>
  </conditionalFormatting>
  <conditionalFormatting sqref="V53">
    <cfRule type="containsText" dxfId="3953" priority="1" operator="containsText" text="Deleted">
      <formula>NOT(ISERROR(SEARCH("Deleted",V53)))</formula>
    </cfRule>
    <cfRule type="containsText" dxfId="3952" priority="2" operator="containsText" text="Deferred">
      <formula>NOT(ISERROR(SEARCH("Deferred",V53)))</formula>
    </cfRule>
    <cfRule type="containsText" dxfId="3951" priority="3" operator="containsText" text="Completion date within reasonable tolerance">
      <formula>NOT(ISERROR(SEARCH("Completion date within reasonable tolerance",V53)))</formula>
    </cfRule>
    <cfRule type="containsText" dxfId="3950" priority="4" operator="containsText" text="completed significantly after target deadline">
      <formula>NOT(ISERROR(SEARCH("completed significantly after target deadline",V53)))</formula>
    </cfRule>
    <cfRule type="containsText" dxfId="3949" priority="5" operator="containsText" text="Off target">
      <formula>NOT(ISERROR(SEARCH("Off target",V53)))</formula>
    </cfRule>
    <cfRule type="containsText" dxfId="3948" priority="6" operator="containsText" text="Target partially met">
      <formula>NOT(ISERROR(SEARCH("Target partially met",V53)))</formula>
    </cfRule>
    <cfRule type="containsText" dxfId="3947" priority="7" operator="containsText" text="Numerical outturn within 10% tolerance">
      <formula>NOT(ISERROR(SEARCH("Numerical outturn within 10% tolerance",V53)))</formula>
    </cfRule>
    <cfRule type="containsText" dxfId="3946" priority="8" operator="containsText" text="Numerical outturn within 5% Tolerance">
      <formula>NOT(ISERROR(SEARCH("Numerical outturn within 5% Tolerance",V53)))</formula>
    </cfRule>
    <cfRule type="containsText" dxfId="3945" priority="9" operator="containsText" text="Fully Achieved">
      <formula>NOT(ISERROR(SEARCH("Fully Achieved",V53)))</formula>
    </cfRule>
    <cfRule type="containsText" dxfId="3944" priority="10" operator="containsText" text="Update Not Provided">
      <formula>NOT(ISERROR(SEARCH("Update Not Provided",V53)))</formula>
    </cfRule>
    <cfRule type="containsText" dxfId="3943" priority="11" operator="containsText" text="Deferred">
      <formula>NOT(ISERROR(SEARCH("Deferred",V53)))</formula>
    </cfRule>
    <cfRule type="containsText" dxfId="3942" priority="12" operator="containsText" text="Update Not Provided">
      <formula>NOT(ISERROR(SEARCH("Update Not Provided",V53)))</formula>
    </cfRule>
    <cfRule type="containsText" dxfId="3941" priority="13" operator="containsText" text="Not Yet Due">
      <formula>NOT(ISERROR(SEARCH("Not Yet Due",V53)))</formula>
    </cfRule>
    <cfRule type="containsText" dxfId="3940" priority="14" operator="containsText" text="Deleted">
      <formula>NOT(ISERROR(SEARCH("Deleted",V53)))</formula>
    </cfRule>
    <cfRule type="containsText" dxfId="3939" priority="15" operator="containsText" text="Completed Behind Schedule">
      <formula>NOT(ISERROR(SEARCH("Completed Behind Schedule",V53)))</formula>
    </cfRule>
    <cfRule type="containsText" dxfId="3938" priority="16" operator="containsText" text="Off Target">
      <formula>NOT(ISERROR(SEARCH("Off Target",V53)))</formula>
    </cfRule>
    <cfRule type="containsText" dxfId="3937" priority="17" operator="containsText" text="In Danger of Falling Behind Target">
      <formula>NOT(ISERROR(SEARCH("In Danger of Falling Behind Target",V53)))</formula>
    </cfRule>
    <cfRule type="containsText" dxfId="3936" priority="18" operator="containsText" text="Fully Achieved">
      <formula>NOT(ISERROR(SEARCH("Fully Achieved",V53)))</formula>
    </cfRule>
    <cfRule type="containsText" dxfId="3935" priority="19" operator="containsText" text="On track to be achieved">
      <formula>NOT(ISERROR(SEARCH("On track to be achieved",V53)))</formula>
    </cfRule>
  </conditionalFormatting>
  <dataValidations xWindow="1497" yWindow="641" count="3">
    <dataValidation type="list" allowBlank="1" showInputMessage="1" showErrorMessage="1" promptTitle="Is target on track?" prompt="Please choose an option from the drop down list that best describes the current situation for this target." sqref="M3:M131 R3:R131">
      <formula1>#REF!</formula1>
    </dataValidation>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formula1>$A$168:$A$176</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109375" defaultRowHeight="14.4"/>
  <cols>
    <col min="1" max="1" width="12.88671875" style="107" customWidth="1"/>
    <col min="2" max="2" width="55.44140625" style="107" customWidth="1"/>
    <col min="3" max="3" width="46.5546875" style="130" customWidth="1"/>
    <col min="4" max="10" width="26.109375" style="107" customWidth="1"/>
    <col min="11" max="14" width="9.109375" style="105" customWidth="1"/>
    <col min="15" max="15" width="16.5546875" style="105" hidden="1" customWidth="1"/>
    <col min="16" max="19" width="9.109375" style="105" hidden="1" customWidth="1"/>
    <col min="20" max="20" width="24.88671875" style="105" hidden="1" customWidth="1"/>
    <col min="21" max="25" width="9.109375" style="105" hidden="1" customWidth="1"/>
    <col min="26" max="26" width="0" style="105" hidden="1" customWidth="1"/>
    <col min="27" max="46" width="9.109375" style="105"/>
    <col min="47" max="16384" width="9.109375" style="107"/>
  </cols>
  <sheetData>
    <row r="1" spans="1:46" s="97" customFormat="1" ht="24" customHeight="1">
      <c r="A1" s="96" t="s">
        <v>90</v>
      </c>
      <c r="C1" s="98"/>
    </row>
    <row r="2" spans="1:46" s="100" customFormat="1" ht="63">
      <c r="A2" s="139" t="s">
        <v>118</v>
      </c>
      <c r="B2" s="139" t="s">
        <v>0</v>
      </c>
      <c r="C2" s="139" t="s">
        <v>1</v>
      </c>
      <c r="D2" s="140" t="s">
        <v>119</v>
      </c>
      <c r="E2" s="140" t="s">
        <v>120</v>
      </c>
      <c r="F2" s="140" t="s">
        <v>121</v>
      </c>
      <c r="G2" s="140" t="s">
        <v>122</v>
      </c>
      <c r="H2" s="140" t="s">
        <v>123</v>
      </c>
      <c r="I2" s="140" t="s">
        <v>124</v>
      </c>
      <c r="J2" s="140" t="s">
        <v>125</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127</v>
      </c>
    </row>
    <row r="4" spans="1:46" ht="99.75" customHeight="1" thickTop="1" thickBot="1">
      <c r="A4" s="102" t="str">
        <f>'1. All Data'!B3</f>
        <v>VFM 01</v>
      </c>
      <c r="B4" s="134" t="str">
        <f>'1. All Data'!C3</f>
        <v xml:space="preserve">Successful Delivery of Elections </v>
      </c>
      <c r="C4" s="135" t="str">
        <f>'1. All Data'!D3</f>
        <v>Successfully Deliver Staffordshire County Council Elections</v>
      </c>
      <c r="D4" s="131" t="str">
        <f>'1. All Data'!H3</f>
        <v>Fully Achieved</v>
      </c>
      <c r="E4" s="104"/>
      <c r="F4" s="132">
        <f>'1. All Data'!M3</f>
        <v>0</v>
      </c>
      <c r="G4" s="104"/>
      <c r="H4" s="133">
        <f>'1. All Data'!R3</f>
        <v>0</v>
      </c>
      <c r="I4" s="104"/>
      <c r="J4" s="133">
        <f>'1. All Data'!V3</f>
        <v>0</v>
      </c>
      <c r="O4" s="106" t="s">
        <v>129</v>
      </c>
      <c r="Y4" s="104" t="s">
        <v>128</v>
      </c>
    </row>
    <row r="5" spans="1:46" ht="99.75" customHeight="1" thickTop="1" thickBot="1">
      <c r="A5" s="102" t="str">
        <f>'1. All Data'!B4</f>
        <v>VFM 02</v>
      </c>
      <c r="B5" s="134" t="str">
        <f>'1. All Data'!C4</f>
        <v xml:space="preserve">Successful Delivery of Elections </v>
      </c>
      <c r="C5" s="135" t="str">
        <f>'1. All Data'!D4</f>
        <v>Successfully Deliver PFCC Election as PARO with all constituent authorities submitting returns by 11 May</v>
      </c>
      <c r="D5" s="131" t="str">
        <f>'1. All Data'!H4</f>
        <v>Fully Achieved</v>
      </c>
      <c r="E5" s="104"/>
      <c r="F5" s="132">
        <f>'1. All Data'!M4</f>
        <v>0</v>
      </c>
      <c r="G5" s="104"/>
      <c r="H5" s="133">
        <f>'1. All Data'!R4</f>
        <v>0</v>
      </c>
      <c r="I5" s="104"/>
      <c r="J5" s="133">
        <f>'1. All Data'!V4</f>
        <v>0</v>
      </c>
      <c r="O5" s="106" t="s">
        <v>130</v>
      </c>
      <c r="T5" s="108"/>
      <c r="Y5" s="109" t="s">
        <v>131</v>
      </c>
    </row>
    <row r="6" spans="1:46" ht="88.8" thickTop="1" thickBot="1">
      <c r="A6" s="102" t="str">
        <f>'1. All Data'!B5</f>
        <v>VFM 03</v>
      </c>
      <c r="B6" s="134" t="str">
        <f>'1. All Data'!C5</f>
        <v>Implementation of Boundary Review Outcomes</v>
      </c>
      <c r="C6" s="135" t="str">
        <f>'1. All Data'!D5</f>
        <v xml:space="preserve">Prepare for amended boundaries and complete Polling Place Review </v>
      </c>
      <c r="D6" s="131" t="str">
        <f>'1. All Data'!H5</f>
        <v>On Track to be Achieved</v>
      </c>
      <c r="E6" s="104"/>
      <c r="F6" s="132">
        <f>'1. All Data'!M5</f>
        <v>0</v>
      </c>
      <c r="G6" s="104"/>
      <c r="H6" s="133">
        <f>'1. All Data'!R5</f>
        <v>0</v>
      </c>
      <c r="I6" s="104"/>
      <c r="J6" s="133">
        <f>'1. All Data'!V5</f>
        <v>0</v>
      </c>
      <c r="O6" s="110" t="s">
        <v>126</v>
      </c>
      <c r="T6" s="111" t="s">
        <v>131</v>
      </c>
    </row>
    <row r="7" spans="1:46" ht="99.75" customHeight="1" thickTop="1">
      <c r="A7" s="102" t="str">
        <f>'1. All Data'!B6</f>
        <v>VFM 04</v>
      </c>
      <c r="B7" s="134" t="str">
        <f>'1. All Data'!C6</f>
        <v xml:space="preserve">Embracing Digital Opportunities </v>
      </c>
      <c r="C7" s="135" t="str">
        <f>'1. All Data'!D6</f>
        <v>Maintain GeoPlaces Gold Standard in ESBC related categories</v>
      </c>
      <c r="D7" s="131" t="str">
        <f>'1. All Data'!H6</f>
        <v>On Track to be Achieved</v>
      </c>
      <c r="E7" s="104"/>
      <c r="F7" s="132">
        <f>'1. All Data'!M6</f>
        <v>0</v>
      </c>
      <c r="G7" s="104"/>
      <c r="H7" s="133">
        <f>'1. All Data'!R6</f>
        <v>0</v>
      </c>
      <c r="I7" s="104"/>
      <c r="J7" s="133">
        <f>'1. All Data'!V6</f>
        <v>0</v>
      </c>
      <c r="T7" s="111" t="s">
        <v>132</v>
      </c>
    </row>
    <row r="8" spans="1:46" ht="99.75" customHeight="1">
      <c r="A8" s="102" t="str">
        <f>'1. All Data'!B7</f>
        <v>VFM 05</v>
      </c>
      <c r="B8" s="134" t="str">
        <f>'1. All Data'!C7</f>
        <v xml:space="preserve">Embracing Digital Opportunities </v>
      </c>
      <c r="C8" s="135" t="str">
        <f>'1. All Data'!D7</f>
        <v xml:space="preserve">Establish a process for reviewing digital services that begins by identifying the intended outcome, designing the process and considering the technology most suitable to deliver that outcome </v>
      </c>
      <c r="D8" s="131" t="str">
        <f>'1. All Data'!H7</f>
        <v>On Track to be Achieved</v>
      </c>
      <c r="E8" s="104"/>
      <c r="F8" s="132">
        <f>'1. All Data'!M7</f>
        <v>0</v>
      </c>
      <c r="G8" s="104"/>
      <c r="H8" s="133">
        <f>'1. All Data'!R7</f>
        <v>0</v>
      </c>
      <c r="I8" s="104"/>
      <c r="J8" s="133">
        <f>'1. All Data'!V7</f>
        <v>0</v>
      </c>
      <c r="T8" s="111" t="s">
        <v>128</v>
      </c>
    </row>
    <row r="9" spans="1:46" ht="99.75" customHeight="1">
      <c r="A9" s="102" t="str">
        <f>'1. All Data'!B8</f>
        <v>VFM 06</v>
      </c>
      <c r="B9" s="134" t="str">
        <f>'1. All Data'!C8</f>
        <v xml:space="preserve">Embracing Digital Opportunities </v>
      </c>
      <c r="C9" s="135" t="str">
        <f>'1. All Data'!D8</f>
        <v>Implement Phase 1 of the UPRN project</v>
      </c>
      <c r="D9" s="131" t="str">
        <f>'1. All Data'!H8</f>
        <v>On Track to be Achieved</v>
      </c>
      <c r="E9" s="103"/>
      <c r="F9" s="132">
        <f>'1. All Data'!M8</f>
        <v>0</v>
      </c>
      <c r="G9" s="104"/>
      <c r="H9" s="133">
        <f>'1. All Data'!R8</f>
        <v>0</v>
      </c>
      <c r="I9" s="104"/>
      <c r="J9" s="133">
        <f>'1. All Data'!V8</f>
        <v>0</v>
      </c>
    </row>
    <row r="10" spans="1:46" ht="99.75" customHeight="1">
      <c r="A10" s="102" t="str">
        <f>'1. All Data'!B9</f>
        <v>VFM 07</v>
      </c>
      <c r="B10" s="134" t="str">
        <f>'1. All Data'!C9</f>
        <v xml:space="preserve">Embracing Digital Opportunities </v>
      </c>
      <c r="C10" s="135" t="str">
        <f>'1. All Data'!D9</f>
        <v>Complete Feasibility Study investigating the possibility of introducing online customer accounts</v>
      </c>
      <c r="D10" s="131" t="str">
        <f>'1. All Data'!H9</f>
        <v>On Track to be Achieved</v>
      </c>
      <c r="E10" s="103"/>
      <c r="F10" s="132">
        <f>'1. All Data'!M9</f>
        <v>0</v>
      </c>
      <c r="G10" s="104"/>
      <c r="H10" s="133">
        <f>'1. All Data'!R9</f>
        <v>0</v>
      </c>
      <c r="I10" s="104"/>
      <c r="J10" s="133">
        <f>'1. All Data'!V9</f>
        <v>0</v>
      </c>
    </row>
    <row r="11" spans="1:46" ht="99.75" customHeight="1">
      <c r="A11" s="102" t="str">
        <f>'1. All Data'!B10</f>
        <v>VFM 08</v>
      </c>
      <c r="B11" s="134" t="str">
        <f>'1. All Data'!C10</f>
        <v>Continue to Develop Effective Communications</v>
      </c>
      <c r="C11" s="135" t="str">
        <f>'1. All Data'!D10</f>
        <v xml:space="preserve">Implement Corporate E-Newsletter solution </v>
      </c>
      <c r="D11" s="131" t="str">
        <f>'1. All Data'!H10</f>
        <v>Fully Achieved</v>
      </c>
      <c r="E11" s="103"/>
      <c r="F11" s="132">
        <f>'1. All Data'!M10</f>
        <v>0</v>
      </c>
      <c r="G11" s="104"/>
      <c r="H11" s="133">
        <f>'1. All Data'!R10</f>
        <v>0</v>
      </c>
      <c r="I11" s="104"/>
      <c r="J11" s="133">
        <f>'1. All Data'!V10</f>
        <v>0</v>
      </c>
    </row>
    <row r="12" spans="1:46" ht="99.75" customHeight="1">
      <c r="A12" s="102" t="str">
        <f>'1. All Data'!B11</f>
        <v>VFM 09</v>
      </c>
      <c r="B12" s="134" t="str">
        <f>'1. All Data'!C11</f>
        <v>Continue to Develop Effective Communications</v>
      </c>
      <c r="C12" s="135" t="str">
        <f>'1. All Data'!D11</f>
        <v>Leader’s Blog live on the Council Website</v>
      </c>
      <c r="D12" s="131" t="str">
        <f>'1. All Data'!H11</f>
        <v>Fully Achieved</v>
      </c>
      <c r="E12" s="104"/>
      <c r="F12" s="132">
        <f>'1. All Data'!M11</f>
        <v>0</v>
      </c>
      <c r="G12" s="104"/>
      <c r="H12" s="133">
        <f>'1. All Data'!R11</f>
        <v>0</v>
      </c>
      <c r="I12" s="111"/>
      <c r="J12" s="133">
        <f>'1. All Data'!V11</f>
        <v>0</v>
      </c>
    </row>
    <row r="13" spans="1:46" ht="99.75" customHeight="1">
      <c r="A13" s="102" t="str">
        <f>'1. All Data'!B12</f>
        <v>VFM 10</v>
      </c>
      <c r="B13" s="134" t="str">
        <f>'1. All Data'!C12</f>
        <v>Continue to Develop Effective Communications</v>
      </c>
      <c r="C13" s="135" t="str">
        <f>'1. All Data'!D12</f>
        <v>New Targeted Cabinet Video Messaging commences</v>
      </c>
      <c r="D13" s="131" t="str">
        <f>'1. All Data'!H12</f>
        <v>Fully Achieved</v>
      </c>
      <c r="E13" s="104"/>
      <c r="F13" s="132">
        <f>'1. All Data'!M12</f>
        <v>0</v>
      </c>
      <c r="G13" s="104"/>
      <c r="H13" s="133">
        <f>'1. All Data'!R12</f>
        <v>0</v>
      </c>
      <c r="I13" s="104"/>
      <c r="J13" s="133">
        <f>'1. All Data'!V12</f>
        <v>0</v>
      </c>
    </row>
    <row r="14" spans="1:46" ht="99.75" customHeight="1">
      <c r="A14" s="102" t="str">
        <f>'1. All Data'!B13</f>
        <v>VFM 11</v>
      </c>
      <c r="B14" s="134" t="str">
        <f>'1. All Data'!C13</f>
        <v>Continue to Develop Effective Communications</v>
      </c>
      <c r="C14" s="135" t="str">
        <f>'1. All Data'!D13</f>
        <v>Develop New Communications Strategy</v>
      </c>
      <c r="D14" s="131" t="str">
        <f>'1. All Data'!H13</f>
        <v>Not Yet Due</v>
      </c>
      <c r="E14" s="104"/>
      <c r="F14" s="132">
        <f>'1. All Data'!M13</f>
        <v>0</v>
      </c>
      <c r="G14" s="104"/>
      <c r="H14" s="133">
        <f>'1. All Data'!R13</f>
        <v>0</v>
      </c>
      <c r="I14" s="104"/>
      <c r="J14" s="133">
        <f>'1. All Data'!V13</f>
        <v>0</v>
      </c>
    </row>
    <row r="15" spans="1:46" ht="99.75" customHeight="1">
      <c r="A15" s="102" t="str">
        <f>'1. All Data'!B14</f>
        <v>VFM 12</v>
      </c>
      <c r="B15" s="134" t="str">
        <f>'1. All Data'!C14</f>
        <v>LGA Peer Review</v>
      </c>
      <c r="C15" s="135" t="str">
        <f>'1. All Data'!D14</f>
        <v xml:space="preserve">Work with the LGA to deliver a peer review to another council/s to build up to hosting one in East Staffordshire </v>
      </c>
      <c r="D15" s="131" t="str">
        <f>'1. All Data'!H14</f>
        <v>Not Yet Due</v>
      </c>
      <c r="E15" s="104"/>
      <c r="F15" s="132">
        <f>'1. All Data'!M14</f>
        <v>0</v>
      </c>
      <c r="G15" s="104"/>
      <c r="H15" s="133">
        <f>'1. All Data'!R14</f>
        <v>0</v>
      </c>
      <c r="I15" s="104"/>
      <c r="J15" s="133">
        <f>'1. All Data'!V14</f>
        <v>0</v>
      </c>
    </row>
    <row r="16" spans="1:46" ht="99.75" customHeight="1">
      <c r="A16" s="102" t="str">
        <f>'1. All Data'!B15</f>
        <v>VFM 13</v>
      </c>
      <c r="B16" s="134" t="str">
        <f>'1. All Data'!C15</f>
        <v>Improved Resilience Planning</v>
      </c>
      <c r="C16" s="135" t="str">
        <f>'1. All Data'!D15</f>
        <v>Complete a Review of our Emergency and Business Continuity Planning approach</v>
      </c>
      <c r="D16" s="131" t="str">
        <f>'1. All Data'!H15</f>
        <v>On Track to be Achieved</v>
      </c>
      <c r="E16" s="104"/>
      <c r="F16" s="132">
        <f>'1. All Data'!M15</f>
        <v>0</v>
      </c>
      <c r="G16" s="104"/>
      <c r="H16" s="133">
        <f>'1. All Data'!R15</f>
        <v>0</v>
      </c>
      <c r="I16" s="104"/>
      <c r="J16" s="133">
        <f>'1. All Data'!V15</f>
        <v>0</v>
      </c>
    </row>
    <row r="17" spans="1:10" ht="99.75" customHeight="1">
      <c r="A17" s="102" t="str">
        <f>'1. All Data'!B16</f>
        <v>VFM 14</v>
      </c>
      <c r="B17" s="134" t="str">
        <f>'1. All Data'!C16</f>
        <v>Investigate Cloud Services</v>
      </c>
      <c r="C17" s="135" t="str">
        <f>'1. All Data'!D16</f>
        <v>Provide report looking at the benefits/issues with Cloud Computing for ESBC</v>
      </c>
      <c r="D17" s="131" t="str">
        <f>'1. All Data'!H16</f>
        <v>Not Yet Due</v>
      </c>
      <c r="E17" s="104"/>
      <c r="F17" s="132">
        <f>'1. All Data'!M16</f>
        <v>0</v>
      </c>
      <c r="G17" s="104"/>
      <c r="H17" s="133">
        <f>'1. All Data'!R16</f>
        <v>0</v>
      </c>
      <c r="I17" s="104"/>
      <c r="J17" s="133">
        <f>'1. All Data'!V16</f>
        <v>0</v>
      </c>
    </row>
    <row r="18" spans="1:10" ht="99.75" customHeight="1">
      <c r="A18" s="102" t="str">
        <f>'1. All Data'!B17</f>
        <v>VFM 15</v>
      </c>
      <c r="B18" s="134" t="str">
        <f>'1. All Data'!C17</f>
        <v>ICT Business Support</v>
      </c>
      <c r="C18" s="135" t="str">
        <f>'1. All Data'!D17</f>
        <v>Continue with strategic support to OWBC – Two update reports</v>
      </c>
      <c r="D18" s="131" t="str">
        <f>'1. All Data'!H17</f>
        <v>On Track to be Achieved</v>
      </c>
      <c r="E18" s="104"/>
      <c r="F18" s="132">
        <f>'1. All Data'!M17</f>
        <v>0</v>
      </c>
      <c r="G18" s="104"/>
      <c r="H18" s="133">
        <f>'1. All Data'!R17</f>
        <v>0</v>
      </c>
      <c r="I18" s="104"/>
      <c r="J18" s="133">
        <f>'1. All Data'!V17</f>
        <v>0</v>
      </c>
    </row>
    <row r="19" spans="1:10" ht="99.75" customHeight="1">
      <c r="A19" s="102" t="str">
        <f>'1. All Data'!B18</f>
        <v>VFM 16</v>
      </c>
      <c r="B19" s="134" t="str">
        <f>'1. All Data'!C18</f>
        <v>ICT Business Support</v>
      </c>
      <c r="C19" s="135" t="str">
        <f>'1. All Data'!D18</f>
        <v>Complete Desktop refresh</v>
      </c>
      <c r="D19" s="131" t="str">
        <f>'1. All Data'!H18</f>
        <v>On Track to be Achieved</v>
      </c>
      <c r="E19" s="103"/>
      <c r="F19" s="132">
        <f>'1. All Data'!M18</f>
        <v>0</v>
      </c>
      <c r="G19" s="104"/>
      <c r="H19" s="133">
        <f>'1. All Data'!R18</f>
        <v>0</v>
      </c>
      <c r="I19" s="104"/>
      <c r="J19" s="133">
        <f>'1. All Data'!V18</f>
        <v>0</v>
      </c>
    </row>
    <row r="20" spans="1:10" ht="99.75" customHeight="1">
      <c r="A20" s="102" t="str">
        <f>'1. All Data'!B19</f>
        <v>VFM 17</v>
      </c>
      <c r="B20" s="134" t="str">
        <f>'1. All Data'!C19</f>
        <v>Review of Council Committees</v>
      </c>
      <c r="C20" s="135" t="str">
        <f>'1. All Data'!D19</f>
        <v>Complete a Review of Council Committee Functions</v>
      </c>
      <c r="D20" s="131" t="str">
        <f>'1. All Data'!H19</f>
        <v>On Track to be Achieved</v>
      </c>
      <c r="E20" s="103"/>
      <c r="F20" s="132">
        <f>'1. All Data'!M19</f>
        <v>0</v>
      </c>
      <c r="G20" s="104"/>
      <c r="H20" s="133">
        <f>'1. All Data'!R19</f>
        <v>0</v>
      </c>
      <c r="I20" s="104"/>
      <c r="J20" s="133">
        <f>'1. All Data'!V19</f>
        <v>0</v>
      </c>
    </row>
    <row r="21" spans="1:10" ht="99.75" customHeight="1">
      <c r="A21" s="102" t="str">
        <f>'1. All Data'!B20</f>
        <v>VFM 18</v>
      </c>
      <c r="B21" s="134" t="str">
        <f>'1. All Data'!C20</f>
        <v>Responding to Significant Local Government Finance Changes and Assessing the Impact on the Council’s Financial Position</v>
      </c>
      <c r="C21" s="135" t="str">
        <f>'1. All Data'!D20</f>
        <v xml:space="preserve">Activities Throughout the Year Reported in Line with the Timed Responses </v>
      </c>
      <c r="D21" s="131" t="str">
        <f>'1. All Data'!H20</f>
        <v>On Track to be Achieved</v>
      </c>
      <c r="E21" s="104"/>
      <c r="F21" s="132">
        <f>'1. All Data'!M20</f>
        <v>0</v>
      </c>
      <c r="G21" s="104"/>
      <c r="H21" s="133">
        <f>'1. All Data'!R20</f>
        <v>0</v>
      </c>
      <c r="I21" s="104"/>
      <c r="J21" s="133">
        <f>'1. All Data'!V20</f>
        <v>0</v>
      </c>
    </row>
    <row r="22" spans="1:10" ht="99.75" customHeight="1">
      <c r="A22" s="102" t="str">
        <f>'1. All Data'!B21</f>
        <v>VFM 19</v>
      </c>
      <c r="B22" s="134" t="str">
        <f>'1. All Data'!C21</f>
        <v>Set the MTFS for 2022/23 onwards</v>
      </c>
      <c r="C22" s="135" t="str">
        <f>'1. All Data'!D21</f>
        <v xml:space="preserve">Set Budget for Council Approval  </v>
      </c>
      <c r="D22" s="131" t="str">
        <f>'1. All Data'!H21</f>
        <v>Not Yet Due</v>
      </c>
      <c r="E22" s="104"/>
      <c r="F22" s="132">
        <f>'1. All Data'!M21</f>
        <v>0</v>
      </c>
      <c r="G22" s="104"/>
      <c r="H22" s="133">
        <f>'1. All Data'!R21</f>
        <v>0</v>
      </c>
      <c r="I22" s="104"/>
      <c r="J22" s="133">
        <f>'1. All Data'!V21</f>
        <v>0</v>
      </c>
    </row>
    <row r="23" spans="1:10" ht="99.75" customHeight="1">
      <c r="A23" s="102" t="str">
        <f>'1. All Data'!B22</f>
        <v>VFM 20</v>
      </c>
      <c r="B23" s="134" t="str">
        <f>'1. All Data'!C22</f>
        <v xml:space="preserve">Having an approved Statement of Accounts </v>
      </c>
      <c r="C23" s="135" t="str">
        <f>'1. All Data'!D22</f>
        <v xml:space="preserve">Submit Statement of Accounts to Audit Committee by the earlier Statutory Deadline </v>
      </c>
      <c r="D23" s="131" t="str">
        <f>'1. All Data'!H22</f>
        <v>On Track to be Achieved</v>
      </c>
      <c r="E23" s="104"/>
      <c r="F23" s="132">
        <f>'1. All Data'!M22</f>
        <v>0</v>
      </c>
      <c r="G23" s="104"/>
      <c r="H23" s="133">
        <f>'1. All Data'!R22</f>
        <v>0</v>
      </c>
      <c r="I23" s="104"/>
      <c r="J23" s="133">
        <f>'1. All Data'!V22</f>
        <v>0</v>
      </c>
    </row>
    <row r="24" spans="1:10" ht="99.75" customHeight="1">
      <c r="A24" s="102" t="str">
        <f>'1. All Data'!B23</f>
        <v>VFM 21</v>
      </c>
      <c r="B24" s="134" t="str">
        <f>'1. All Data'!C23</f>
        <v>Continue to Improve Financial Resilience</v>
      </c>
      <c r="C24" s="135" t="str">
        <f>'1. All Data'!D23</f>
        <v>Review and Refresh Financial Regulations</v>
      </c>
      <c r="D24" s="131" t="str">
        <f>'1. All Data'!H23</f>
        <v>Not Yet Due</v>
      </c>
      <c r="E24" s="104"/>
      <c r="F24" s="132">
        <f>'1. All Data'!M23</f>
        <v>0</v>
      </c>
      <c r="G24" s="104"/>
      <c r="H24" s="133">
        <f>'1. All Data'!R23</f>
        <v>0</v>
      </c>
      <c r="I24" s="104"/>
      <c r="J24" s="133">
        <f>'1. All Data'!V23</f>
        <v>0</v>
      </c>
    </row>
    <row r="25" spans="1:10" ht="99.75" customHeight="1">
      <c r="A25" s="102" t="str">
        <f>'1. All Data'!B24</f>
        <v>VFM 22</v>
      </c>
      <c r="B25" s="134" t="str">
        <f>'1. All Data'!C24</f>
        <v>Continue to Improve Financial Resilience</v>
      </c>
      <c r="C25" s="135" t="str">
        <f>'1. All Data'!D24</f>
        <v>Review and Refresh Contract Procedure Rules</v>
      </c>
      <c r="D25" s="131" t="str">
        <f>'1. All Data'!H24</f>
        <v>Not Yet Due</v>
      </c>
      <c r="E25" s="104"/>
      <c r="F25" s="132">
        <f>'1. All Data'!M24</f>
        <v>0</v>
      </c>
      <c r="G25" s="104"/>
      <c r="H25" s="133">
        <f>'1. All Data'!R24</f>
        <v>0</v>
      </c>
      <c r="I25" s="104"/>
      <c r="J25" s="133">
        <f>'1. All Data'!V24</f>
        <v>0</v>
      </c>
    </row>
    <row r="26" spans="1:10" ht="99.75" customHeight="1">
      <c r="A26" s="102" t="str">
        <f>'1. All Data'!B25</f>
        <v>VFM 23</v>
      </c>
      <c r="B26" s="134" t="str">
        <f>'1. All Data'!C25</f>
        <v>Increasing Staffing Availability Through Reduced Sickness</v>
      </c>
      <c r="C26" s="135" t="str">
        <f>'1. All Data'!D25</f>
        <v>Short Term Sickness Days Average:
2.7 days</v>
      </c>
      <c r="D26" s="131" t="str">
        <f>'1. All Data'!H25</f>
        <v>On Track to be Achieved</v>
      </c>
      <c r="E26" s="104"/>
      <c r="F26" s="132">
        <f>'1. All Data'!M25</f>
        <v>0</v>
      </c>
      <c r="G26" s="111"/>
      <c r="H26" s="133">
        <f>'1. All Data'!R25</f>
        <v>0</v>
      </c>
      <c r="I26" s="104"/>
      <c r="J26" s="133">
        <f>'1. All Data'!V25</f>
        <v>0</v>
      </c>
    </row>
    <row r="27" spans="1:10" ht="99.75" customHeight="1">
      <c r="A27" s="102" t="str">
        <f>'1. All Data'!B26</f>
        <v>VFM 24</v>
      </c>
      <c r="B27" s="134" t="str">
        <f>'1. All Data'!C26</f>
        <v>Maintain Timely Payment of Creditors</v>
      </c>
      <c r="C27" s="135" t="str">
        <f>'1. All Data'!D26</f>
        <v>Average Time To Pay Creditors: 
Within 10 days of receipt of invoice</v>
      </c>
      <c r="D27" s="131" t="str">
        <f>'1. All Data'!H26</f>
        <v>On Track to be Achieved</v>
      </c>
      <c r="E27" s="104"/>
      <c r="F27" s="132">
        <f>'1. All Data'!M26</f>
        <v>0</v>
      </c>
      <c r="G27" s="104"/>
      <c r="H27" s="133">
        <f>'1. All Data'!R26</f>
        <v>0</v>
      </c>
      <c r="I27" s="104"/>
      <c r="J27" s="133">
        <f>'1. All Data'!V26</f>
        <v>0</v>
      </c>
    </row>
    <row r="28" spans="1:10" ht="99.75" customHeight="1">
      <c r="A28" s="102" t="str">
        <f>'1. All Data'!B27</f>
        <v>VFM 25</v>
      </c>
      <c r="B28" s="134" t="str">
        <f>'1. All Data'!C27</f>
        <v>Maintain Robust Mechanisms for Contract Managing the Leisure Service Arrangements</v>
      </c>
      <c r="C28" s="135" t="str">
        <f>'1. All Data'!D27</f>
        <v>Report on the performance of the Leisure Operator on a quarterly basis</v>
      </c>
      <c r="D28" s="131" t="str">
        <f>'1. All Data'!H27</f>
        <v>On Track to be Achieved</v>
      </c>
      <c r="E28" s="103"/>
      <c r="F28" s="132">
        <f>'1. All Data'!M27</f>
        <v>0</v>
      </c>
      <c r="G28" s="104"/>
      <c r="H28" s="133">
        <f>'1. All Data'!R27</f>
        <v>0</v>
      </c>
      <c r="I28" s="104"/>
      <c r="J28" s="133">
        <f>'1. All Data'!V27</f>
        <v>0</v>
      </c>
    </row>
    <row r="29" spans="1:10" ht="99.75" customHeight="1">
      <c r="A29" s="102" t="str">
        <f>'1. All Data'!B28</f>
        <v>VFM 26</v>
      </c>
      <c r="B29" s="134" t="str">
        <f>'1. All Data'!C28</f>
        <v xml:space="preserve">Work with Leisure Operator to Continue to Provide High Quality Sports Facilities </v>
      </c>
      <c r="C29" s="135" t="str">
        <f>'1. All Data'!D28</f>
        <v xml:space="preserve">Replace the Artificial Turf Pitch at Shobnall Leisure Complex* </v>
      </c>
      <c r="D29" s="131" t="str">
        <f>'1. All Data'!H28</f>
        <v>In Danger of Falling Behind Target</v>
      </c>
      <c r="E29" s="104"/>
      <c r="F29" s="132">
        <f>'1. All Data'!M28</f>
        <v>0</v>
      </c>
      <c r="G29" s="112"/>
      <c r="H29" s="133">
        <f>'1. All Data'!R28</f>
        <v>0</v>
      </c>
      <c r="I29" s="104"/>
      <c r="J29" s="133">
        <f>'1. All Data'!V28</f>
        <v>0</v>
      </c>
    </row>
    <row r="30" spans="1:10" ht="99.75" customHeight="1">
      <c r="A30" s="102" t="str">
        <f>'1. All Data'!B29</f>
        <v>VFM 27</v>
      </c>
      <c r="B30" s="134" t="str">
        <f>'1. All Data'!C29</f>
        <v>Procurement of Grounds Maintenance Contractor</v>
      </c>
      <c r="C30" s="135" t="str">
        <f>'1. All Data'!D29</f>
        <v xml:space="preserve">Complete the procurement of the Grounds Maintenance contract </v>
      </c>
      <c r="D30" s="131" t="str">
        <f>'1. All Data'!H29</f>
        <v>On Track to be Achieved</v>
      </c>
      <c r="E30" s="104"/>
      <c r="F30" s="132">
        <f>'1. All Data'!M29</f>
        <v>0</v>
      </c>
      <c r="G30" s="104"/>
      <c r="H30" s="133">
        <f>'1. All Data'!R29</f>
        <v>0</v>
      </c>
      <c r="I30" s="104"/>
      <c r="J30" s="133">
        <f>'1. All Data'!V29</f>
        <v>0</v>
      </c>
    </row>
    <row r="31" spans="1:10" ht="99.75" customHeight="1">
      <c r="A31" s="102" t="str">
        <f>'1. All Data'!B30</f>
        <v>VFM 28</v>
      </c>
      <c r="B31" s="134" t="str">
        <f>'1. All Data'!C30</f>
        <v>Developing Tourism within the Borough</v>
      </c>
      <c r="C31" s="135" t="str">
        <f>'1. All Data'!D30</f>
        <v>Provide a first year update on the progress of the Tourism Plan including the investigation of options for a showcase event for local tourism businesses in a post Covid-19 environment</v>
      </c>
      <c r="D31" s="131" t="str">
        <f>'1. All Data'!H30</f>
        <v>Not Yet Due</v>
      </c>
      <c r="E31" s="104"/>
      <c r="F31" s="132">
        <f>'1. All Data'!M30</f>
        <v>0</v>
      </c>
      <c r="G31" s="104"/>
      <c r="H31" s="133">
        <f>'1. All Data'!R30</f>
        <v>0</v>
      </c>
      <c r="I31" s="104"/>
      <c r="J31" s="133">
        <f>'1. All Data'!V30</f>
        <v>0</v>
      </c>
    </row>
    <row r="32" spans="1:10" ht="99.75" customHeight="1">
      <c r="A32" s="102" t="str">
        <f>'1. All Data'!B31</f>
        <v>VFM 29</v>
      </c>
      <c r="B32" s="134" t="str">
        <f>'1. All Data'!C31</f>
        <v>Improve Awareness of Council Services, Venues and Initiatives</v>
      </c>
      <c r="C32" s="135" t="str">
        <f>'1. All Data'!D31</f>
        <v xml:space="preserve">Develop marketing plans for each service area and achieve 85% completion of 21/22 marketing targets </v>
      </c>
      <c r="D32" s="131" t="str">
        <f>'1. All Data'!H31</f>
        <v>On Track to be Achieved</v>
      </c>
      <c r="E32" s="103"/>
      <c r="F32" s="132">
        <f>'1. All Data'!M31</f>
        <v>0</v>
      </c>
      <c r="G32" s="104"/>
      <c r="H32" s="133">
        <f>'1. All Data'!R31</f>
        <v>0</v>
      </c>
      <c r="I32" s="104"/>
      <c r="J32" s="133">
        <f>'1. All Data'!V31</f>
        <v>0</v>
      </c>
    </row>
    <row r="33" spans="1:10" ht="99.75" customHeight="1">
      <c r="A33" s="102" t="str">
        <f>'1. All Data'!B32</f>
        <v>VFM 30</v>
      </c>
      <c r="B33" s="134" t="str">
        <f>'1. All Data'!C32</f>
        <v>Improve Awareness of Council Services, Venues and Initiatives</v>
      </c>
      <c r="C33" s="135" t="str">
        <f>'1. All Data'!D32</f>
        <v>Deliver a minimum of 5 events to promote East Staffordshire and ESBC services and report performance to councillors each quarter*</v>
      </c>
      <c r="D33" s="131" t="str">
        <f>'1. All Data'!H32</f>
        <v>On Track to be Achieved</v>
      </c>
      <c r="E33" s="104"/>
      <c r="F33" s="132">
        <f>'1. All Data'!M32</f>
        <v>0</v>
      </c>
      <c r="G33" s="104"/>
      <c r="H33" s="133">
        <f>'1. All Data'!R32</f>
        <v>0</v>
      </c>
      <c r="I33" s="104"/>
      <c r="J33" s="133">
        <f>'1. All Data'!V32</f>
        <v>0</v>
      </c>
    </row>
    <row r="34" spans="1:10" ht="99.75" customHeight="1">
      <c r="A34" s="102" t="str">
        <f>'1. All Data'!B33</f>
        <v>VFM 31</v>
      </c>
      <c r="B34" s="134" t="str">
        <f>'1. All Data'!C33</f>
        <v>Improve Awareness of Council Services, Venues and Initiatives</v>
      </c>
      <c r="C34" s="135" t="str">
        <f>'1. All Data'!D33</f>
        <v xml:space="preserve">Provide marketing support across ESBC departments and develop a minimum of 6 marketing campaigns around key events and projects across the council </v>
      </c>
      <c r="D34" s="131" t="str">
        <f>'1. All Data'!H33</f>
        <v>On Track to be Achieved</v>
      </c>
      <c r="E34" s="104"/>
      <c r="F34" s="132">
        <f>'1. All Data'!M33</f>
        <v>0</v>
      </c>
      <c r="G34" s="104"/>
      <c r="H34" s="133">
        <f>'1. All Data'!R33</f>
        <v>0</v>
      </c>
      <c r="I34" s="104"/>
      <c r="J34" s="133">
        <f>'1. All Data'!V33</f>
        <v>0</v>
      </c>
    </row>
    <row r="35" spans="1:10" ht="99.75" customHeight="1">
      <c r="A35" s="102" t="str">
        <f>'1. All Data'!B34</f>
        <v>VFM 32</v>
      </c>
      <c r="B35" s="134" t="str">
        <f>'1. All Data'!C34</f>
        <v>Continue to develop SMARTER working practices for Planning</v>
      </c>
      <c r="C35" s="135" t="str">
        <f>'1. All Data'!D34</f>
        <v>Prepare the ‘Assure’ Migration Project Plan</v>
      </c>
      <c r="D35" s="131" t="str">
        <f>'1. All Data'!H34</f>
        <v>Fully Achieved</v>
      </c>
      <c r="E35" s="103"/>
      <c r="F35" s="132">
        <f>'1. All Data'!M34</f>
        <v>0</v>
      </c>
      <c r="G35" s="104"/>
      <c r="H35" s="133">
        <f>'1. All Data'!R34</f>
        <v>0</v>
      </c>
      <c r="I35" s="104"/>
      <c r="J35" s="133">
        <f>'1. All Data'!V34</f>
        <v>0</v>
      </c>
    </row>
    <row r="36" spans="1:10" ht="99.75" customHeight="1">
      <c r="A36" s="102" t="str">
        <f>'1. All Data'!B35</f>
        <v>VFM 33</v>
      </c>
      <c r="B36" s="134" t="str">
        <f>'1. All Data'!C35</f>
        <v>Continue to develop SMARTER working practices for Planning</v>
      </c>
      <c r="C36" s="135" t="str">
        <f>'1. All Data'!D35</f>
        <v xml:space="preserve">Implement new Online Mapping System Improvements </v>
      </c>
      <c r="D36" s="131" t="str">
        <f>'1. All Data'!H35</f>
        <v>On Track to be Achieved</v>
      </c>
      <c r="E36" s="104"/>
      <c r="F36" s="132">
        <f>'1. All Data'!M35</f>
        <v>0</v>
      </c>
      <c r="G36" s="104"/>
      <c r="H36" s="133">
        <f>'1. All Data'!R35</f>
        <v>0</v>
      </c>
      <c r="I36" s="104"/>
      <c r="J36" s="133">
        <f>'1. All Data'!V35</f>
        <v>0</v>
      </c>
    </row>
    <row r="37" spans="1:10" ht="99.75" customHeight="1">
      <c r="A37" s="102" t="str">
        <f>'1. All Data'!B36</f>
        <v>VFM 34</v>
      </c>
      <c r="B37" s="134" t="str">
        <f>'1. All Data'!C36</f>
        <v>Continuing to inform and improve Planning awareness with Members</v>
      </c>
      <c r="C37" s="135" t="str">
        <f>'1. All Data'!D36</f>
        <v xml:space="preserve">At least 2 briefings delivered to elected members during the year </v>
      </c>
      <c r="D37" s="131" t="str">
        <f>'1. All Data'!H36</f>
        <v>On Track to be Achieved</v>
      </c>
      <c r="E37" s="103"/>
      <c r="F37" s="132">
        <f>'1. All Data'!M36</f>
        <v>0</v>
      </c>
      <c r="G37" s="104"/>
      <c r="H37" s="133">
        <f>'1. All Data'!R36</f>
        <v>0</v>
      </c>
      <c r="I37" s="104"/>
      <c r="J37" s="133">
        <f>'1. All Data'!V36</f>
        <v>0</v>
      </c>
    </row>
    <row r="38" spans="1:10" ht="99.75" customHeight="1">
      <c r="A38" s="102" t="str">
        <f>'1. All Data'!B37</f>
        <v>VFM 35</v>
      </c>
      <c r="B38" s="134" t="str">
        <f>'1. All Data'!C37</f>
        <v>Continuing to inform and improve Planning awareness with Members</v>
      </c>
      <c r="C38" s="135" t="str">
        <f>'1. All Data'!D37</f>
        <v>Targeted Planning Committee Briefings - 10 throughout the year</v>
      </c>
      <c r="D38" s="131" t="str">
        <f>'1. All Data'!H37</f>
        <v>On Track to be Achieved</v>
      </c>
      <c r="E38" s="104"/>
      <c r="F38" s="132">
        <f>'1. All Data'!M37</f>
        <v>0</v>
      </c>
      <c r="G38" s="112"/>
      <c r="H38" s="133">
        <f>'1. All Data'!R37</f>
        <v>0</v>
      </c>
      <c r="I38" s="104"/>
      <c r="J38" s="133">
        <f>'1. All Data'!V37</f>
        <v>0</v>
      </c>
    </row>
    <row r="39" spans="1:10" ht="99.75" customHeight="1">
      <c r="A39" s="102" t="str">
        <f>'1. All Data'!B38</f>
        <v>VFM 36</v>
      </c>
      <c r="B39" s="134" t="str">
        <f>'1. All Data'!C38</f>
        <v xml:space="preserve">Monitor Local Plan Performance </v>
      </c>
      <c r="C39" s="135" t="str">
        <f>'1. All Data'!D38</f>
        <v>Authority Monitoring Report  Prepared</v>
      </c>
      <c r="D39" s="131" t="str">
        <f>'1. All Data'!H38</f>
        <v>On Track to be Achieved</v>
      </c>
      <c r="E39" s="103"/>
      <c r="F39" s="132">
        <f>'1. All Data'!M38</f>
        <v>0</v>
      </c>
      <c r="G39" s="112"/>
      <c r="H39" s="133">
        <f>'1. All Data'!R38</f>
        <v>0</v>
      </c>
      <c r="I39" s="104"/>
      <c r="J39" s="133">
        <f>'1. All Data'!V38</f>
        <v>0</v>
      </c>
    </row>
    <row r="40" spans="1:10" ht="99.75" customHeight="1">
      <c r="A40" s="102" t="str">
        <f>'1. All Data'!B39</f>
        <v>VFM 37</v>
      </c>
      <c r="B40" s="134" t="str">
        <f>'1. All Data'!C39</f>
        <v>Monitor Local Plan Performance</v>
      </c>
      <c r="C40" s="135" t="str">
        <f>'1. All Data'!D39</f>
        <v xml:space="preserve">SHLAA completed </v>
      </c>
      <c r="D40" s="131" t="str">
        <f>'1. All Data'!H39</f>
        <v>On Track to be Achieved</v>
      </c>
      <c r="E40" s="104"/>
      <c r="F40" s="132">
        <f>'1. All Data'!M39</f>
        <v>0</v>
      </c>
      <c r="G40" s="104"/>
      <c r="H40" s="133">
        <f>'1. All Data'!R39</f>
        <v>0</v>
      </c>
      <c r="I40" s="104"/>
      <c r="J40" s="133">
        <f>'1. All Data'!V39</f>
        <v>0</v>
      </c>
    </row>
    <row r="41" spans="1:10" ht="99.75" customHeight="1">
      <c r="A41" s="102" t="str">
        <f>'1. All Data'!B40</f>
        <v>VFM 38</v>
      </c>
      <c r="B41" s="134" t="str">
        <f>'1. All Data'!C40</f>
        <v xml:space="preserve">Monitor Local Plan Performance </v>
      </c>
      <c r="C41" s="135" t="str">
        <f>'1. All Data'!D40</f>
        <v>Consider review of the Local Plan</v>
      </c>
      <c r="D41" s="131" t="str">
        <f>'1. All Data'!H40</f>
        <v>On Track to be Achieved</v>
      </c>
      <c r="E41" s="104"/>
      <c r="F41" s="132">
        <f>'1. All Data'!M40</f>
        <v>0</v>
      </c>
      <c r="G41" s="104"/>
      <c r="H41" s="133">
        <f>'1. All Data'!R40</f>
        <v>0</v>
      </c>
      <c r="I41" s="104"/>
      <c r="J41" s="133">
        <f>'1. All Data'!V40</f>
        <v>0</v>
      </c>
    </row>
    <row r="42" spans="1:10" ht="99.75" customHeight="1">
      <c r="A42" s="102" t="str">
        <f>'1. All Data'!B41</f>
        <v>VFM 39</v>
      </c>
      <c r="B42" s="134" t="str">
        <f>'1. All Data'!C41</f>
        <v>New and Refreshed Planning Policies</v>
      </c>
      <c r="C42" s="135" t="str">
        <f>'1. All Data'!D41</f>
        <v xml:space="preserve">Publish Infrastructure Funding Statement </v>
      </c>
      <c r="D42" s="131" t="str">
        <f>'1. All Data'!H41</f>
        <v>On Track to be Achieved</v>
      </c>
      <c r="E42" s="103"/>
      <c r="F42" s="132">
        <f>'1. All Data'!M41</f>
        <v>0</v>
      </c>
      <c r="G42" s="112"/>
      <c r="H42" s="133">
        <f>'1. All Data'!R41</f>
        <v>0</v>
      </c>
      <c r="I42" s="112"/>
      <c r="J42" s="133">
        <f>'1. All Data'!V41</f>
        <v>0</v>
      </c>
    </row>
    <row r="43" spans="1:10" ht="99.75" customHeight="1">
      <c r="A43" s="102" t="str">
        <f>'1. All Data'!B42</f>
        <v>VFM 40</v>
      </c>
      <c r="B43" s="134" t="str">
        <f>'1. All Data'!C42</f>
        <v>New and Refreshed Planning Policies</v>
      </c>
      <c r="C43" s="135" t="str">
        <f>'1. All Data'!D42</f>
        <v>S106 Prioritisation Report Approved</v>
      </c>
      <c r="D43" s="131" t="str">
        <f>'1. All Data'!H42</f>
        <v>On Track to be Achieved</v>
      </c>
      <c r="E43" s="103"/>
      <c r="F43" s="132">
        <f>'1. All Data'!M42</f>
        <v>0</v>
      </c>
      <c r="G43" s="104"/>
      <c r="H43" s="133">
        <f>'1. All Data'!R42</f>
        <v>0</v>
      </c>
      <c r="I43" s="104"/>
      <c r="J43" s="133">
        <f>'1. All Data'!V42</f>
        <v>0</v>
      </c>
    </row>
    <row r="44" spans="1:10" ht="99.75" customHeight="1">
      <c r="A44" s="102" t="str">
        <f>'1. All Data'!B43</f>
        <v>VFM 41</v>
      </c>
      <c r="B44" s="134" t="str">
        <f>'1. All Data'!C43</f>
        <v>New and Refreshed Planning Policies</v>
      </c>
      <c r="C44" s="135" t="str">
        <f>'1. All Data'!D43</f>
        <v>S106 Monitoring Fee Report Approved</v>
      </c>
      <c r="D44" s="131" t="str">
        <f>'1. All Data'!H43</f>
        <v>On Track to be Achieved</v>
      </c>
      <c r="E44" s="103"/>
      <c r="F44" s="132">
        <f>'1. All Data'!M43</f>
        <v>0</v>
      </c>
      <c r="G44" s="104"/>
      <c r="H44" s="133">
        <f>'1. All Data'!R43</f>
        <v>0</v>
      </c>
      <c r="I44" s="104"/>
      <c r="J44" s="133">
        <f>'1. All Data'!V43</f>
        <v>0</v>
      </c>
    </row>
    <row r="45" spans="1:10" ht="99.75" customHeight="1">
      <c r="A45" s="102" t="str">
        <f>'1. All Data'!B44</f>
        <v>VFM 42</v>
      </c>
      <c r="B45" s="134" t="str">
        <f>'1. All Data'!C44</f>
        <v>Continue to Maximise Income Through Effective Collection Processes</v>
      </c>
      <c r="C45" s="135" t="str">
        <f>'1. All Data'!D44</f>
        <v xml:space="preserve">Collection Rates of Council Tax: 98%
(Previously BVPI 9) </v>
      </c>
      <c r="D45" s="131" t="str">
        <f>'1. All Data'!H44</f>
        <v>On Track to be Achieved</v>
      </c>
      <c r="E45" s="104"/>
      <c r="F45" s="132">
        <f>'1. All Data'!M44</f>
        <v>0</v>
      </c>
      <c r="G45" s="104"/>
      <c r="H45" s="133">
        <f>'1. All Data'!R44</f>
        <v>0</v>
      </c>
      <c r="I45" s="104"/>
      <c r="J45" s="133">
        <f>'1. All Data'!V44</f>
        <v>0</v>
      </c>
    </row>
    <row r="46" spans="1:10" ht="99.75" customHeight="1">
      <c r="A46" s="102" t="str">
        <f>'1. All Data'!B46</f>
        <v>VFM 44</v>
      </c>
      <c r="B46" s="134" t="str">
        <f>'1. All Data'!C46</f>
        <v xml:space="preserve">Continue to Maximise Income Through Effective Collection Processes: Reduce Former Years Arrears </v>
      </c>
      <c r="C46" s="135" t="str">
        <f>'1. All Data'!D46</f>
        <v>Former Years Arrears for Council Tax;
£2,500,000</v>
      </c>
      <c r="D46" s="131" t="str">
        <f>'1. All Data'!H46</f>
        <v>On Track to be Achieved</v>
      </c>
      <c r="E46" s="104"/>
      <c r="F46" s="132">
        <f>'1. All Data'!M46</f>
        <v>0</v>
      </c>
      <c r="G46" s="104"/>
      <c r="H46" s="133">
        <f>'1. All Data'!R46</f>
        <v>0</v>
      </c>
      <c r="I46" s="104"/>
      <c r="J46" s="133">
        <f>'1. All Data'!V46</f>
        <v>0</v>
      </c>
    </row>
    <row r="47" spans="1:10" ht="99.75" customHeight="1">
      <c r="A47" s="102" t="str">
        <f>'1. All Data'!B47</f>
        <v>VFM 45</v>
      </c>
      <c r="B47" s="134" t="str">
        <f>'1. All Data'!C47</f>
        <v xml:space="preserve">Continue to Maximise Income Through Effective Collection Processes: Reduce Former Years Arrears </v>
      </c>
      <c r="C47" s="135" t="str">
        <f>'1. All Data'!D47</f>
        <v>Former Years Arrears for NNDR;
£1,500,000</v>
      </c>
      <c r="D47" s="131" t="str">
        <f>'1. All Data'!H47</f>
        <v>On Track to be Achieved</v>
      </c>
      <c r="E47" s="104"/>
      <c r="F47" s="132">
        <f>'1. All Data'!M47</f>
        <v>0</v>
      </c>
      <c r="G47" s="104"/>
      <c r="H47" s="133">
        <f>'1. All Data'!R47</f>
        <v>0</v>
      </c>
      <c r="I47" s="104"/>
      <c r="J47" s="133">
        <f>'1. All Data'!V47</f>
        <v>0</v>
      </c>
    </row>
    <row r="48" spans="1:10" ht="99.75" customHeight="1">
      <c r="A48" s="102" t="str">
        <f>'1. All Data'!B48</f>
        <v>VFM 46</v>
      </c>
      <c r="B48" s="134" t="str">
        <f>'1. All Data'!C48</f>
        <v xml:space="preserve">Continue to Maximise Income Through Effective Collection Processes: Reduce Former Years Arrears </v>
      </c>
      <c r="C48" s="135" t="str">
        <f>'1. All Data'!D48</f>
        <v>Former Years Arrears for Sundry Debts;
£80,000</v>
      </c>
      <c r="D48" s="131" t="str">
        <f>'1. All Data'!H48</f>
        <v>On Track to be Achieved</v>
      </c>
      <c r="E48" s="104"/>
      <c r="F48" s="132">
        <f>'1. All Data'!M48</f>
        <v>0</v>
      </c>
      <c r="G48" s="104"/>
      <c r="H48" s="133">
        <f>'1. All Data'!R48</f>
        <v>0</v>
      </c>
      <c r="I48" s="104"/>
      <c r="J48" s="133">
        <f>'1. All Data'!V48</f>
        <v>0</v>
      </c>
    </row>
    <row r="49" spans="1:47" ht="99.75" customHeight="1">
      <c r="A49" s="102" t="str">
        <f>'1. All Data'!B49</f>
        <v>VFM 47</v>
      </c>
      <c r="B49" s="134" t="str">
        <f>'1. All Data'!C49</f>
        <v>Maintaining excellent customer access to services with face-to-face and telephony enquiries</v>
      </c>
      <c r="C49" s="135" t="str">
        <f>'1. All Data'!D49</f>
        <v>99% of CSC and Telephony Team Enquiries Resolved at First Point of Contact</v>
      </c>
      <c r="D49" s="131" t="str">
        <f>'1. All Data'!H49</f>
        <v>Not Yet Due</v>
      </c>
      <c r="E49" s="104"/>
      <c r="F49" s="132">
        <f>'1. All Data'!M49</f>
        <v>0</v>
      </c>
      <c r="G49" s="104"/>
      <c r="H49" s="133">
        <f>'1. All Data'!R49</f>
        <v>0</v>
      </c>
      <c r="I49" s="104"/>
      <c r="J49" s="133">
        <f>'1. All Data'!V49</f>
        <v>0</v>
      </c>
    </row>
    <row r="50" spans="1:47" ht="99.75" customHeight="1">
      <c r="A50" s="102" t="str">
        <f>'1. All Data'!B50</f>
        <v>VFM 48</v>
      </c>
      <c r="B50" s="134" t="str">
        <f>'1. All Data'!C50</f>
        <v>Maintaining excellent customer access to services with face-to-face and telephony enquiries</v>
      </c>
      <c r="C50" s="135" t="str">
        <f>'1. All Data'!D50</f>
        <v>Minimum 75% Telephony Team Calls Answered Within 10 Seconds</v>
      </c>
      <c r="D50" s="131" t="str">
        <f>'1. All Data'!H50</f>
        <v>On Track to be Achieved</v>
      </c>
      <c r="E50" s="104"/>
      <c r="F50" s="132">
        <f>'1. All Data'!M50</f>
        <v>0</v>
      </c>
      <c r="G50" s="112"/>
      <c r="H50" s="133">
        <f>'1. All Data'!R50</f>
        <v>0</v>
      </c>
      <c r="I50" s="112"/>
      <c r="J50" s="133">
        <f>'1. All Data'!V50</f>
        <v>0</v>
      </c>
    </row>
    <row r="51" spans="1:47" ht="99.75" customHeight="1">
      <c r="A51" s="102" t="str">
        <f>'1. All Data'!B51</f>
        <v>VFM 49</v>
      </c>
      <c r="B51" s="134" t="str">
        <f>'1. All Data'!C51</f>
        <v>Continue to Improve the Ways We Provide Benefits to Those Most in Need:</v>
      </c>
      <c r="C51" s="135" t="str">
        <f>'1. All Data'!D51</f>
        <v>Time Taken to Process Benefit New Claims and Change Events (Previously NI 181)
4.5 days</v>
      </c>
      <c r="D51" s="131" t="str">
        <f>'1. All Data'!H51</f>
        <v>On Track to be Achieved</v>
      </c>
      <c r="E51" s="103"/>
      <c r="F51" s="132">
        <f>'1. All Data'!M51</f>
        <v>0</v>
      </c>
      <c r="G51" s="104"/>
      <c r="H51" s="133">
        <f>'1. All Data'!R51</f>
        <v>0</v>
      </c>
      <c r="I51" s="104"/>
      <c r="J51" s="133">
        <f>'1. All Data'!V51</f>
        <v>0</v>
      </c>
    </row>
    <row r="52" spans="1:47" ht="99.75" customHeight="1">
      <c r="A52" s="102" t="str">
        <f>'1. All Data'!B52</f>
        <v>VFM 50a</v>
      </c>
      <c r="B52" s="134" t="str">
        <f>'1. All Data'!C52</f>
        <v>Working Towards the Reduction of Claimant Error Housing Benefit Overpayments (HBOPs):</v>
      </c>
      <c r="C52" s="135" t="str">
        <f>'1. All Data'!D52</f>
        <v>% of HBOPs Overpayments Recovered During the Year; 
90%</v>
      </c>
      <c r="D52" s="131" t="str">
        <f>'1. All Data'!H52</f>
        <v>On Track to be Achieved</v>
      </c>
      <c r="E52" s="103"/>
      <c r="F52" s="132">
        <f>'1. All Data'!M52</f>
        <v>0</v>
      </c>
      <c r="G52" s="104"/>
      <c r="H52" s="133">
        <f>'1. All Data'!R52</f>
        <v>0</v>
      </c>
      <c r="I52" s="104"/>
      <c r="J52" s="133">
        <f>'1. All Data'!V52</f>
        <v>0</v>
      </c>
    </row>
    <row r="53" spans="1:47" ht="99.75" customHeight="1">
      <c r="A53" s="102" t="str">
        <f>'1. All Data'!B55</f>
        <v>VFM 51</v>
      </c>
      <c r="B53" s="134" t="str">
        <f>'1. All Data'!C55</f>
        <v>Implement the new Recovery and Write-Off Policy Changes</v>
      </c>
      <c r="C53" s="135" t="str">
        <f>'1. All Data'!D55</f>
        <v>Revised Policy changes implemented</v>
      </c>
      <c r="D53" s="131" t="str">
        <f>'1. All Data'!H55</f>
        <v>Fully Achieved</v>
      </c>
      <c r="E53" s="104"/>
      <c r="F53" s="132">
        <f>'1. All Data'!M55</f>
        <v>0</v>
      </c>
      <c r="G53" s="104"/>
      <c r="H53" s="133">
        <f>'1. All Data'!R55</f>
        <v>0</v>
      </c>
      <c r="I53" s="104"/>
      <c r="J53" s="133">
        <f>'1. All Data'!V55</f>
        <v>0</v>
      </c>
    </row>
    <row r="54" spans="1:47" ht="87.6">
      <c r="A54" s="102" t="str">
        <f>'1. All Data'!B56</f>
        <v>VFM 52</v>
      </c>
      <c r="B54" s="134" t="str">
        <f>'1. All Data'!C56</f>
        <v>Review and develop a new Local Council Tax Reduction Scheme</v>
      </c>
      <c r="C54" s="135" t="str">
        <f>'1. All Data'!D56</f>
        <v>Local Council Tax Reduction Scheme approved</v>
      </c>
      <c r="D54" s="131" t="str">
        <f>'1. All Data'!H56</f>
        <v>Not Yet Due</v>
      </c>
      <c r="E54" s="103"/>
      <c r="F54" s="132">
        <f>'1. All Data'!M56</f>
        <v>0</v>
      </c>
      <c r="G54" s="112"/>
      <c r="H54" s="133">
        <f>'1. All Data'!R56</f>
        <v>0</v>
      </c>
      <c r="I54" s="104"/>
      <c r="J54" s="133">
        <f>'1. All Data'!V56</f>
        <v>0</v>
      </c>
    </row>
    <row r="55" spans="1:47" ht="99.75" customHeight="1">
      <c r="A55" s="102" t="str">
        <f>'1. All Data'!B57</f>
        <v>VFM 53</v>
      </c>
      <c r="B55" s="134" t="str">
        <f>'1. All Data'!C57</f>
        <v>SMARTER Working in RBCC</v>
      </c>
      <c r="C55" s="135" t="str">
        <f>'1. All Data'!D57</f>
        <v>Report on automation opportunities within RBCC software</v>
      </c>
      <c r="D55" s="131" t="str">
        <f>'1. All Data'!H57</f>
        <v>Not Yet Due</v>
      </c>
      <c r="E55" s="104"/>
      <c r="F55" s="132">
        <f>'1. All Data'!M57</f>
        <v>0</v>
      </c>
      <c r="G55" s="104"/>
      <c r="H55" s="133">
        <f>'1. All Data'!R57</f>
        <v>0</v>
      </c>
      <c r="I55" s="104"/>
      <c r="J55" s="133">
        <f>'1. All Data'!V57</f>
        <v>0</v>
      </c>
    </row>
    <row r="56" spans="1:47" ht="99.75" customHeight="1">
      <c r="A56" s="102" t="str">
        <f>'1. All Data'!B58</f>
        <v>VFM 54</v>
      </c>
      <c r="B56" s="134" t="str">
        <f>'1. All Data'!C58</f>
        <v>SMARTER Working in RBCC</v>
      </c>
      <c r="C56" s="135" t="str">
        <f>'1. All Data'!D58</f>
        <v xml:space="preserve">Report on Operations of the Council’s CSCs </v>
      </c>
      <c r="D56" s="131" t="str">
        <f>'1. All Data'!H58</f>
        <v>Not Yet Due</v>
      </c>
      <c r="E56" s="104"/>
      <c r="F56" s="132">
        <f>'1. All Data'!M58</f>
        <v>0</v>
      </c>
      <c r="G56" s="104"/>
      <c r="H56" s="133">
        <f>'1. All Data'!R58</f>
        <v>0</v>
      </c>
      <c r="I56" s="104"/>
      <c r="J56" s="133">
        <f>'1. All Data'!V58</f>
        <v>0</v>
      </c>
      <c r="AU56" s="105"/>
    </row>
    <row r="57" spans="1:47" s="118" customFormat="1" ht="87.6">
      <c r="A57" s="102" t="str">
        <f>'1. All Data'!B59</f>
        <v>VFM 55a</v>
      </c>
      <c r="B57" s="134" t="str">
        <f>'1. All Data'!C59</f>
        <v>Strategic Procurement Activities</v>
      </c>
      <c r="C57" s="135" t="str">
        <f>'1. All Data'!D59</f>
        <v>Dry Recycling Treatment Procurement concluded</v>
      </c>
      <c r="D57" s="131" t="str">
        <f>'1. All Data'!H59</f>
        <v>Fully Achieved</v>
      </c>
      <c r="E57" s="103"/>
      <c r="F57" s="132">
        <f>'1. All Data'!M59</f>
        <v>0</v>
      </c>
      <c r="G57" s="104"/>
      <c r="H57" s="133">
        <f>'1. All Data'!R59</f>
        <v>0</v>
      </c>
      <c r="I57" s="104"/>
      <c r="J57" s="133">
        <f>'1. All Data'!V59</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Data'!B62</f>
        <v>VFM 56</v>
      </c>
      <c r="B58" s="134" t="str">
        <f>'1. All Data'!C62</f>
        <v>Strategic Procurement Activities</v>
      </c>
      <c r="C58" s="135" t="str">
        <f>'1. All Data'!D62</f>
        <v>Implementation of new operational fleet</v>
      </c>
      <c r="D58" s="131" t="str">
        <f>'1. All Data'!H62</f>
        <v>On Track to be Achieved</v>
      </c>
      <c r="E58" s="104"/>
      <c r="F58" s="132">
        <f>'1. All Data'!M62</f>
        <v>0</v>
      </c>
      <c r="G58" s="104"/>
      <c r="H58" s="133">
        <f>'1. All Data'!R62</f>
        <v>0</v>
      </c>
      <c r="I58" s="104"/>
      <c r="J58" s="133">
        <f>'1. All Data'!V62</f>
        <v>0</v>
      </c>
    </row>
    <row r="59" spans="1:47" ht="99.75" customHeight="1">
      <c r="A59" s="102" t="str">
        <f>'1. All Data'!B63</f>
        <v>VFM 57</v>
      </c>
      <c r="B59" s="134" t="str">
        <f>'1. All Data'!C63</f>
        <v>Strategic Procurement Activities</v>
      </c>
      <c r="C59" s="135" t="str">
        <f>'1. All Data'!D63</f>
        <v>Installation of new electric charging points for electric fleet</v>
      </c>
      <c r="D59" s="131" t="str">
        <f>'1. All Data'!H63</f>
        <v>On Track to be Achieved</v>
      </c>
      <c r="E59" s="103"/>
      <c r="F59" s="132">
        <f>'1. All Data'!M63</f>
        <v>0</v>
      </c>
      <c r="G59" s="104"/>
      <c r="H59" s="133">
        <f>'1. All Data'!R63</f>
        <v>0</v>
      </c>
      <c r="I59" s="104"/>
      <c r="J59" s="133">
        <f>'1. All Data'!V63</f>
        <v>0</v>
      </c>
    </row>
    <row r="60" spans="1:47" ht="99.75" customHeight="1">
      <c r="A60" s="102" t="str">
        <f>'1. All Data'!B64</f>
        <v>VFM 58</v>
      </c>
      <c r="B60" s="134" t="str">
        <f>'1. All Data'!C64</f>
        <v>Further Development of SMARTER working (Waste Collection)</v>
      </c>
      <c r="C60" s="135" t="str">
        <f>'1. All Data'!D64</f>
        <v xml:space="preserve">90% milestones achieved on the revised Project Plan focusing on Shared Service delivery  </v>
      </c>
      <c r="D60" s="131" t="str">
        <f>'1. All Data'!H64</f>
        <v>On Track to be Achieved</v>
      </c>
      <c r="E60" s="104"/>
      <c r="F60" s="132">
        <f>'1. All Data'!M64</f>
        <v>0</v>
      </c>
      <c r="G60" s="119"/>
      <c r="H60" s="133">
        <f>'1. All Data'!R64</f>
        <v>0</v>
      </c>
      <c r="I60" s="119"/>
      <c r="J60" s="133">
        <f>'1. All Data'!V64</f>
        <v>0</v>
      </c>
    </row>
    <row r="61" spans="1:47" s="123" customFormat="1" ht="69.75" customHeight="1">
      <c r="A61" s="102" t="str">
        <f>'1. All Data'!B65</f>
        <v>VFM 59</v>
      </c>
      <c r="B61" s="134" t="str">
        <f>'1. All Data'!C65</f>
        <v>Further Development of SMARTER working (Waste Collection)</v>
      </c>
      <c r="C61" s="135" t="str">
        <f>'1. All Data'!D65</f>
        <v>Initiate new recycling communication campaign post Scrutiny Review</v>
      </c>
      <c r="D61" s="131" t="str">
        <f>'1. All Data'!H65</f>
        <v>Not Yet Due</v>
      </c>
      <c r="E61" s="103"/>
      <c r="F61" s="132">
        <f>'1. All Data'!M65</f>
        <v>0</v>
      </c>
      <c r="G61" s="121"/>
      <c r="H61" s="133">
        <f>'1. All Data'!R65</f>
        <v>0</v>
      </c>
      <c r="I61" s="121"/>
      <c r="J61" s="133">
        <f>'1. All Data'!V65</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Data'!B66</f>
        <v>VFM 60</v>
      </c>
      <c r="B62" s="134" t="str">
        <f>'1. All Data'!C66</f>
        <v>Further Development of SMARTER working  (Street Cleaning)</v>
      </c>
      <c r="C62" s="135" t="str">
        <f>'1. All Data'!D66</f>
        <v>New Street Cleaning Policies</v>
      </c>
      <c r="D62" s="131" t="str">
        <f>'1. All Data'!H66</f>
        <v>Not Yet Due</v>
      </c>
      <c r="E62" s="104"/>
      <c r="F62" s="132">
        <f>'1. All Data'!M66</f>
        <v>0</v>
      </c>
      <c r="G62" s="104"/>
      <c r="H62" s="133">
        <f>'1. All Data'!R66</f>
        <v>0</v>
      </c>
      <c r="I62" s="104"/>
      <c r="J62" s="133">
        <f>'1. All Data'!V66</f>
        <v>0</v>
      </c>
    </row>
    <row r="63" spans="1:47" ht="99.75" customHeight="1">
      <c r="A63" s="102" t="str">
        <f>'1. All Data'!B67</f>
        <v>VFM 61</v>
      </c>
      <c r="B63" s="134" t="str">
        <f>'1. All Data'!C67</f>
        <v>Further Development of SMARTER working  (Street Cleaning)</v>
      </c>
      <c r="C63" s="135" t="str">
        <f>'1. All Data'!D67</f>
        <v xml:space="preserve">90% milestones achieved on the revised Project Plan </v>
      </c>
      <c r="D63" s="131" t="str">
        <f>'1. All Data'!H67</f>
        <v>On Track to be Achieved</v>
      </c>
      <c r="E63" s="104"/>
      <c r="F63" s="132">
        <f>'1. All Data'!M67</f>
        <v>0</v>
      </c>
      <c r="G63" s="104"/>
      <c r="H63" s="133">
        <f>'1. All Data'!R67</f>
        <v>0</v>
      </c>
      <c r="I63" s="104"/>
      <c r="J63" s="133">
        <f>'1. All Data'!V67</f>
        <v>0</v>
      </c>
    </row>
    <row r="64" spans="1:47" ht="99.75" customHeight="1">
      <c r="A64" s="102" t="str">
        <f>'1. All Data'!B68</f>
        <v>VFM 62</v>
      </c>
      <c r="B64" s="134" t="str">
        <f>'1. All Data'!C68</f>
        <v xml:space="preserve">Respond to Government (Waste) Policy Announcements </v>
      </c>
      <c r="C64" s="135" t="str">
        <f>'1. All Data'!D68</f>
        <v>Complete responses to Government consultations in line with consultation deadlines</v>
      </c>
      <c r="D64" s="131" t="str">
        <f>'1. All Data'!H68</f>
        <v>Fully Achieved</v>
      </c>
      <c r="E64" s="104"/>
      <c r="F64" s="132">
        <f>'1. All Data'!M68</f>
        <v>0</v>
      </c>
      <c r="G64" s="104"/>
      <c r="H64" s="133">
        <f>'1. All Data'!R68</f>
        <v>0</v>
      </c>
      <c r="I64" s="104"/>
      <c r="J64" s="133">
        <f>'1. All Data'!V68</f>
        <v>0</v>
      </c>
    </row>
    <row r="65" spans="1:10" ht="99.75" customHeight="1">
      <c r="A65" s="102" t="str">
        <f>'1. All Data'!B69</f>
        <v>VFM 63</v>
      </c>
      <c r="B65" s="134" t="str">
        <f>'1. All Data'!C69</f>
        <v>Delivering Better Services to Support Homelessness</v>
      </c>
      <c r="C65" s="135" t="str">
        <f>'1. All Data'!D69</f>
        <v xml:space="preserve">Project to maximise VFM and improve pathways out of supported housing - Project Initiation and approval of approach </v>
      </c>
      <c r="D65" s="131" t="str">
        <f>'1. All Data'!H69</f>
        <v>Fully Achieved</v>
      </c>
      <c r="E65" s="104"/>
      <c r="F65" s="132">
        <f>'1. All Data'!M69</f>
        <v>0</v>
      </c>
      <c r="G65" s="104"/>
      <c r="H65" s="133">
        <f>'1. All Data'!R69</f>
        <v>0</v>
      </c>
      <c r="I65" s="104"/>
      <c r="J65" s="133">
        <f>'1. All Data'!V69</f>
        <v>0</v>
      </c>
    </row>
    <row r="66" spans="1:10" ht="99.75" customHeight="1">
      <c r="A66" s="102" t="str">
        <f>'1. All Data'!B70</f>
        <v>VFM 64</v>
      </c>
      <c r="B66" s="134" t="str">
        <f>'1. All Data'!C70</f>
        <v>Development of the Selective Licensing Scheme</v>
      </c>
      <c r="C66" s="135" t="str">
        <f>'1. All Data'!D70</f>
        <v>Selective Licensing Fourth Year Review Complete</v>
      </c>
      <c r="D66" s="131" t="str">
        <f>'1. All Data'!H70</f>
        <v>On Track to be Achieved</v>
      </c>
      <c r="E66" s="104"/>
      <c r="F66" s="132">
        <f>'1. All Data'!M70</f>
        <v>0</v>
      </c>
      <c r="G66" s="104"/>
      <c r="H66" s="133">
        <f>'1. All Data'!R70</f>
        <v>0</v>
      </c>
      <c r="I66" s="104"/>
      <c r="J66" s="133">
        <f>'1. All Data'!V70</f>
        <v>0</v>
      </c>
    </row>
    <row r="67" spans="1:10" ht="99.75" customHeight="1">
      <c r="A67" s="102" t="str">
        <f>'1. All Data'!B71</f>
        <v>VFM 65</v>
      </c>
      <c r="B67" s="134" t="str">
        <f>'1. All Data'!C71</f>
        <v>Development of the Selective Licensing Scheme</v>
      </c>
      <c r="C67" s="135" t="str">
        <f>'1. All Data'!D71</f>
        <v>New Selective Licensing Designation completed</v>
      </c>
      <c r="D67" s="131" t="str">
        <f>'1. All Data'!H71</f>
        <v>Not Yet Due</v>
      </c>
      <c r="E67" s="104"/>
      <c r="F67" s="132">
        <f>'1. All Data'!M71</f>
        <v>0</v>
      </c>
      <c r="G67" s="104"/>
      <c r="H67" s="133">
        <f>'1. All Data'!R71</f>
        <v>0</v>
      </c>
      <c r="I67" s="104"/>
      <c r="J67" s="133">
        <f>'1. All Data'!V71</f>
        <v>0</v>
      </c>
    </row>
    <row r="68" spans="1:10" ht="99.75" customHeight="1">
      <c r="A68" s="102" t="str">
        <f>'1. All Data'!B72</f>
        <v>VFM 66</v>
      </c>
      <c r="B68" s="134" t="str">
        <f>'1. All Data'!C72</f>
        <v xml:space="preserve">Review of the Council’s CCTV Provision </v>
      </c>
      <c r="C68" s="135" t="str">
        <f>'1. All Data'!D72</f>
        <v xml:space="preserve">Undertake a review of CCTV provision, including a survey  of the existing fixed camera provision </v>
      </c>
      <c r="D68" s="131" t="str">
        <f>'1. All Data'!H72</f>
        <v>On Track to be Achieved</v>
      </c>
      <c r="E68" s="104"/>
      <c r="F68" s="132">
        <f>'1. All Data'!M72</f>
        <v>0</v>
      </c>
      <c r="G68" s="104"/>
      <c r="H68" s="133">
        <f>'1. All Data'!R72</f>
        <v>0</v>
      </c>
      <c r="I68" s="104"/>
      <c r="J68" s="133">
        <f>'1. All Data'!V72</f>
        <v>0</v>
      </c>
    </row>
    <row r="69" spans="1:10" ht="99.75" customHeight="1">
      <c r="A69" s="102" t="str">
        <f>'1. All Data'!B73</f>
        <v>VFM 67</v>
      </c>
      <c r="B69" s="134" t="str">
        <f>'1. All Data'!C73</f>
        <v>Review of the Council’s CCTV Provision</v>
      </c>
      <c r="C69" s="135" t="str">
        <f>'1. All Data'!D73</f>
        <v>Implement new contract for monitoring and maintenance of fixed CCTV cameras</v>
      </c>
      <c r="D69" s="131" t="str">
        <f>'1. All Data'!H73</f>
        <v>On Track to be Achieved</v>
      </c>
      <c r="E69" s="104"/>
      <c r="F69" s="132">
        <f>'1. All Data'!M73</f>
        <v>0</v>
      </c>
      <c r="G69" s="112"/>
      <c r="H69" s="133">
        <f>'1. All Data'!R73</f>
        <v>0</v>
      </c>
      <c r="I69" s="112"/>
      <c r="J69" s="133">
        <f>'1. All Data'!V73</f>
        <v>0</v>
      </c>
    </row>
    <row r="70" spans="1:10" ht="99.75" customHeight="1">
      <c r="A70" s="102" t="str">
        <f>'1. All Data'!B74</f>
        <v>VFM 68</v>
      </c>
      <c r="B70" s="134" t="str">
        <f>'1. All Data'!C74</f>
        <v>Licensing and Enforcement Activities</v>
      </c>
      <c r="C70" s="135" t="str">
        <f>'1. All Data'!D74</f>
        <v>Undertake a full review of the licensing fees and charges in accordance with the appropriate legislation</v>
      </c>
      <c r="D70" s="131" t="str">
        <f>'1. All Data'!H74</f>
        <v>Not Yet Due</v>
      </c>
      <c r="E70" s="104"/>
      <c r="F70" s="132">
        <f>'1. All Data'!M74</f>
        <v>0</v>
      </c>
      <c r="G70" s="112"/>
      <c r="H70" s="133">
        <f>'1. All Data'!R74</f>
        <v>0</v>
      </c>
      <c r="I70" s="112"/>
      <c r="J70" s="133">
        <f>'1. All Data'!V74</f>
        <v>0</v>
      </c>
    </row>
    <row r="71" spans="1:10" ht="99.75" customHeight="1">
      <c r="A71" s="102" t="str">
        <f>'1. All Data'!B75</f>
        <v>VFM 69</v>
      </c>
      <c r="B71" s="134" t="str">
        <f>'1. All Data'!C75</f>
        <v>Licensing and Enforcement Activities</v>
      </c>
      <c r="C71" s="135" t="str">
        <f>'1. All Data'!D75</f>
        <v>Undertake a review of the Gambling Act Policy</v>
      </c>
      <c r="D71" s="131" t="str">
        <f>'1. All Data'!H75</f>
        <v>On Track to be Achieved</v>
      </c>
      <c r="E71" s="104"/>
      <c r="F71" s="132">
        <f>'1. All Data'!M75</f>
        <v>0</v>
      </c>
      <c r="G71" s="112"/>
      <c r="H71" s="133">
        <f>'1. All Data'!R75</f>
        <v>0</v>
      </c>
      <c r="I71" s="112"/>
      <c r="J71" s="133">
        <f>'1. All Data'!V75</f>
        <v>0</v>
      </c>
    </row>
    <row r="72" spans="1:10" ht="99.75" customHeight="1">
      <c r="A72" s="102" t="str">
        <f>'1. All Data'!B76</f>
        <v>VFM 70</v>
      </c>
      <c r="B72" s="134" t="str">
        <f>'1. All Data'!C76</f>
        <v>Licensing and Enforcement Activities</v>
      </c>
      <c r="C72" s="135" t="str">
        <f>'1. All Data'!D76</f>
        <v>Update the Taxi License and Private Hire Policy</v>
      </c>
      <c r="D72" s="131" t="str">
        <f>'1. All Data'!H76</f>
        <v>On Track to be Achieved</v>
      </c>
      <c r="E72" s="103"/>
      <c r="F72" s="132">
        <f>'1. All Data'!M76</f>
        <v>0</v>
      </c>
      <c r="G72" s="104"/>
      <c r="H72" s="133">
        <f>'1. All Data'!R76</f>
        <v>0</v>
      </c>
      <c r="I72" s="104"/>
      <c r="J72" s="133">
        <f>'1. All Data'!V76</f>
        <v>0</v>
      </c>
    </row>
    <row r="73" spans="1:10" ht="99.75" customHeight="1">
      <c r="A73" s="102" t="str">
        <f>'1. All Data'!B77</f>
        <v>VFM 71</v>
      </c>
      <c r="B73" s="134" t="str">
        <f>'1. All Data'!C77</f>
        <v>Licensing and Enforcement Activities</v>
      </c>
      <c r="C73" s="135" t="str">
        <f>'1. All Data'!D77</f>
        <v>Conclude the review of taxi ranks in Burton and Uttoxeter</v>
      </c>
      <c r="D73" s="131" t="str">
        <f>'1. All Data'!H77</f>
        <v>Not Yet Due</v>
      </c>
      <c r="E73" s="104"/>
      <c r="F73" s="132">
        <f>'1. All Data'!M77</f>
        <v>0</v>
      </c>
      <c r="G73" s="104"/>
      <c r="H73" s="133">
        <f>'1. All Data'!R77</f>
        <v>0</v>
      </c>
      <c r="I73" s="104"/>
      <c r="J73" s="133">
        <f>'1. All Data'!V77</f>
        <v>0</v>
      </c>
    </row>
    <row r="74" spans="1:10" ht="99.75" customHeight="1">
      <c r="A74" s="102" t="str">
        <f>'1. All Data'!B79</f>
        <v>VFM 73</v>
      </c>
      <c r="B74" s="134" t="str">
        <f>'1. All Data'!C79</f>
        <v>Community &amp; Civil Enforcement (CCE)</v>
      </c>
      <c r="C74" s="135" t="str">
        <f>'1. All Data'!D79</f>
        <v xml:space="preserve">Complete a first year review of the use of the Parking App and consider proposals for further development </v>
      </c>
      <c r="D74" s="131" t="str">
        <f>'1. All Data'!H79</f>
        <v>On Track to be Achieved</v>
      </c>
      <c r="E74" s="104"/>
      <c r="F74" s="132">
        <f>'1. All Data'!M79</f>
        <v>0</v>
      </c>
      <c r="G74" s="112"/>
      <c r="H74" s="133">
        <f>'1. All Data'!R79</f>
        <v>0</v>
      </c>
      <c r="I74" s="104"/>
      <c r="J74" s="133">
        <f>'1. All Data'!V79</f>
        <v>0</v>
      </c>
    </row>
    <row r="75" spans="1:10" ht="99.75" customHeight="1">
      <c r="A75" s="102" t="str">
        <f>'1. All Data'!B82</f>
        <v>CR 03</v>
      </c>
      <c r="B75" s="134" t="str">
        <f>'1. All Data'!C82</f>
        <v>Market Hall Development Initiatives</v>
      </c>
      <c r="C75" s="135" t="str">
        <f>'1. All Data'!D82</f>
        <v>Provide an enhanced ‘Christmas offer’ to increase footfall to the town centre and Market Place area of Burton upon Trent during this annual peak period*</v>
      </c>
      <c r="D75" s="131" t="str">
        <f>'1. All Data'!H82</f>
        <v>Not Yet Due</v>
      </c>
      <c r="E75" s="104"/>
      <c r="F75" s="132">
        <f>'1. All Data'!M82</f>
        <v>0</v>
      </c>
      <c r="G75" s="104"/>
      <c r="H75" s="133">
        <f>'1. All Data'!R82</f>
        <v>0</v>
      </c>
      <c r="I75" s="104"/>
      <c r="J75" s="133">
        <f>'1. All Data'!V82</f>
        <v>0</v>
      </c>
    </row>
    <row r="76" spans="1:10" ht="99.75" customHeight="1">
      <c r="A76" s="102" t="str">
        <f>'1. All Data'!B84</f>
        <v>CR 05</v>
      </c>
      <c r="B76" s="134" t="str">
        <f>'1. All Data'!C84</f>
        <v>Increase Capacity at Stapenhill Cemetery</v>
      </c>
      <c r="C76" s="135" t="str">
        <f>'1. All Data'!D84</f>
        <v>Progress the Cemetery expansion plans including further groundwork investigations</v>
      </c>
      <c r="D76" s="131" t="str">
        <f>'1. All Data'!H84</f>
        <v>Not Yet Due</v>
      </c>
      <c r="E76" s="104"/>
      <c r="F76" s="132">
        <f>'1. All Data'!M84</f>
        <v>0</v>
      </c>
      <c r="G76" s="104"/>
      <c r="H76" s="133">
        <f>'1. All Data'!R84</f>
        <v>0</v>
      </c>
      <c r="I76" s="104"/>
      <c r="J76" s="133">
        <f>'1. All Data'!V84</f>
        <v>0</v>
      </c>
    </row>
    <row r="77" spans="1:10" ht="147">
      <c r="A77" s="102" t="str">
        <f>'1. All Data'!B85</f>
        <v>CR 06</v>
      </c>
      <c r="B77" s="134" t="str">
        <f>'1. All Data'!C85</f>
        <v xml:space="preserve">Supporting Sports and Leisure Delivery Partners </v>
      </c>
      <c r="C77" s="135" t="str">
        <f>'1. All Data'!D85</f>
        <v>Identify and respond to appropriate opportunities to support the Birmingham 2022 Commonwealth Games-including the Queen’s Baton Relay and supporting cultural activities</v>
      </c>
      <c r="D77" s="131" t="str">
        <f>'1. All Data'!H85</f>
        <v>On Track to be Achieved</v>
      </c>
      <c r="E77" s="103"/>
      <c r="F77" s="132">
        <f>'1. All Data'!M85</f>
        <v>0</v>
      </c>
      <c r="G77" s="104"/>
      <c r="H77" s="133">
        <f>'1. All Data'!R85</f>
        <v>0</v>
      </c>
      <c r="I77" s="104"/>
      <c r="J77" s="133">
        <f>'1. All Data'!V85</f>
        <v>0</v>
      </c>
    </row>
    <row r="78" spans="1:10" ht="99.75" customHeight="1">
      <c r="A78" s="102" t="str">
        <f>'1. All Data'!B88</f>
        <v>CR 09</v>
      </c>
      <c r="B78" s="134" t="str">
        <f>'1. All Data'!C88</f>
        <v>Minor Planning Applications Determined Within 8 Weeks</v>
      </c>
      <c r="C78" s="135" t="str">
        <f>'1. All Data'!D88</f>
        <v>Top Quartile as measured against relevant MHCLG figures</v>
      </c>
      <c r="D78" s="131" t="str">
        <f>'1. All Data'!H88</f>
        <v>On Track to be Achieved</v>
      </c>
      <c r="E78" s="103"/>
      <c r="F78" s="132">
        <f>'1. All Data'!M88</f>
        <v>0</v>
      </c>
      <c r="G78" s="111"/>
      <c r="H78" s="133">
        <f>'1. All Data'!R88</f>
        <v>0</v>
      </c>
      <c r="I78" s="111"/>
      <c r="J78" s="133">
        <f>'1. All Data'!V88</f>
        <v>0</v>
      </c>
    </row>
    <row r="79" spans="1:10" ht="99.75" customHeight="1">
      <c r="A79" s="102" t="str">
        <f>'1. All Data'!B89</f>
        <v>CR 10</v>
      </c>
      <c r="B79" s="134" t="str">
        <f>'1. All Data'!C89</f>
        <v>Other Planning Applications Determined in 8 Weeks</v>
      </c>
      <c r="C79" s="135" t="str">
        <f>'1. All Data'!D89</f>
        <v>Top Quartile as measured against relevant MHCLG figures</v>
      </c>
      <c r="D79" s="131" t="str">
        <f>'1. All Data'!H89</f>
        <v>On Track to be Achieved</v>
      </c>
      <c r="E79" s="103"/>
      <c r="F79" s="132">
        <f>'1. All Data'!M89</f>
        <v>0</v>
      </c>
      <c r="G79" s="104"/>
      <c r="H79" s="133">
        <f>'1. All Data'!R89</f>
        <v>0</v>
      </c>
      <c r="I79" s="104"/>
      <c r="J79" s="133">
        <f>'1. All Data'!V89</f>
        <v>0</v>
      </c>
    </row>
    <row r="80" spans="1:10" ht="99.75" customHeight="1">
      <c r="A80" s="102" t="str">
        <f>'1. All Data'!B90</f>
        <v>CR 11</v>
      </c>
      <c r="B80" s="134" t="str">
        <f>'1. All Data'!C90</f>
        <v>Supporting Neighbourhood Plans</v>
      </c>
      <c r="C80" s="135" t="str">
        <f>'1. All Data'!D90</f>
        <v>Rolleston Neighbourhood Plan Made</v>
      </c>
      <c r="D80" s="131" t="str">
        <f>'1. All Data'!H90</f>
        <v>Fully Achieved</v>
      </c>
      <c r="E80" s="104"/>
      <c r="F80" s="132">
        <f>'1. All Data'!M90</f>
        <v>0</v>
      </c>
      <c r="G80" s="104"/>
      <c r="H80" s="133">
        <f>'1. All Data'!R90</f>
        <v>0</v>
      </c>
      <c r="I80" s="104"/>
      <c r="J80" s="133">
        <f>'1. All Data'!V90</f>
        <v>0</v>
      </c>
    </row>
    <row r="81" spans="1:46" ht="99.75" customHeight="1">
      <c r="A81" s="102" t="str">
        <f>'1. All Data'!B91</f>
        <v>CR 12</v>
      </c>
      <c r="B81" s="134" t="str">
        <f>'1. All Data'!C91</f>
        <v>New and Refreshed Planning Policies</v>
      </c>
      <c r="C81" s="135" t="str">
        <f>'1. All Data'!D91</f>
        <v>Tourism Technical Guide Finalised</v>
      </c>
      <c r="D81" s="131" t="str">
        <f>'1. All Data'!H91</f>
        <v>Not Yet Due</v>
      </c>
      <c r="E81" s="104"/>
      <c r="F81" s="132">
        <f>'1. All Data'!M91</f>
        <v>0</v>
      </c>
      <c r="G81" s="104"/>
      <c r="H81" s="133">
        <f>'1. All Data'!R91</f>
        <v>0</v>
      </c>
      <c r="I81" s="104"/>
      <c r="J81" s="133">
        <f>'1. All Data'!V91</f>
        <v>0</v>
      </c>
    </row>
    <row r="82" spans="1:46" s="118" customFormat="1" ht="87.6">
      <c r="A82" s="102" t="str">
        <f>'1. All Data'!B92</f>
        <v>CR 13</v>
      </c>
      <c r="B82" s="134" t="str">
        <f>'1. All Data'!C92</f>
        <v>Deliver transformative regeneration for Burton upon Trent working in partnership with the Burton Towns Fund board</v>
      </c>
      <c r="C82" s="135" t="str">
        <f>'1. All Data'!D92</f>
        <v>Agree the Heads of Terms with MHCLG for Burton’s Towns Fund bid</v>
      </c>
      <c r="D82" s="131" t="str">
        <f>'1. All Data'!H92</f>
        <v>Fully Achieved</v>
      </c>
      <c r="E82" s="103"/>
      <c r="F82" s="132">
        <f>'1. All Data'!M92</f>
        <v>0</v>
      </c>
      <c r="G82" s="104"/>
      <c r="H82" s="133">
        <f>'1. All Data'!R92</f>
        <v>0</v>
      </c>
      <c r="I82" s="104"/>
      <c r="J82" s="133">
        <f>'1. All Data'!V92</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Data'!B93</f>
        <v>CR 14</v>
      </c>
      <c r="B83" s="134" t="str">
        <f>'1. All Data'!C93</f>
        <v>Deliver transformative regeneration for Burton upon Trent working in partnership with the Burton Towns Fund board</v>
      </c>
      <c r="C83" s="135" t="str">
        <f>'1. All Data'!D93</f>
        <v xml:space="preserve">Submit project confirmations and up to 2 shovel ready proposals to MHCLG </v>
      </c>
      <c r="D83" s="131" t="str">
        <f>'1. All Data'!H93</f>
        <v>Fully Achieved</v>
      </c>
      <c r="E83" s="104"/>
      <c r="F83" s="132">
        <f>'1. All Data'!M93</f>
        <v>0</v>
      </c>
      <c r="G83" s="128"/>
      <c r="H83" s="133">
        <f>'1. All Data'!R93</f>
        <v>0</v>
      </c>
      <c r="I83" s="128"/>
      <c r="J83" s="133">
        <f>'1. All Data'!V93</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Data'!B94</f>
        <v>CR 15</v>
      </c>
      <c r="B84" s="134" t="str">
        <f>'1. All Data'!C94</f>
        <v>Deliver transformative regeneration for Burton upon Trent working in partnership with the Burton Towns Fund board</v>
      </c>
      <c r="C84" s="135" t="str">
        <f>'1. All Data'!D94</f>
        <v xml:space="preserve">Develop a business case for the High Street Property Intervention project and support strategic partners in developing business cases for the remaining Towns Fund projects </v>
      </c>
      <c r="D84" s="131" t="str">
        <f>'1. All Data'!H94</f>
        <v>On Track to be Achieved</v>
      </c>
      <c r="E84" s="103"/>
      <c r="F84" s="132">
        <f>'1. All Data'!M94</f>
        <v>0</v>
      </c>
      <c r="G84" s="104"/>
      <c r="H84" s="133">
        <f>'1. All Data'!R94</f>
        <v>0</v>
      </c>
      <c r="I84" s="104"/>
      <c r="J84" s="133">
        <f>'1. All Data'!V94</f>
        <v>0</v>
      </c>
    </row>
    <row r="85" spans="1:46" ht="99.75" customHeight="1">
      <c r="A85" s="102" t="str">
        <f>'1. All Data'!B95</f>
        <v>CR 16</v>
      </c>
      <c r="B85" s="134" t="str">
        <f>'1. All Data'!C95</f>
        <v>Deliver transformative regeneration for Burton upon Trent working in partnership with the Burton Towns Fund board</v>
      </c>
      <c r="C85" s="135" t="str">
        <f>'1. All Data'!D95</f>
        <v>Submit the Summary Documents for all the  Burton Towns Fund projects to MHCLG</v>
      </c>
      <c r="D85" s="131" t="str">
        <f>'1. All Data'!H95</f>
        <v>Not Yet Due</v>
      </c>
      <c r="E85" s="103"/>
      <c r="F85" s="132">
        <f>'1. All Data'!M95</f>
        <v>0</v>
      </c>
      <c r="G85" s="104"/>
      <c r="H85" s="133">
        <f>'1. All Data'!R95</f>
        <v>0</v>
      </c>
      <c r="I85" s="104"/>
      <c r="J85" s="133">
        <f>'1. All Data'!V95</f>
        <v>0</v>
      </c>
    </row>
    <row r="86" spans="1:46" ht="99.75" customHeight="1">
      <c r="A86" s="102" t="str">
        <f>'1. All Data'!B96</f>
        <v>CR 17</v>
      </c>
      <c r="B86" s="134" t="str">
        <f>'1. All Data'!C96</f>
        <v>Support the regeneration of Uttoxeter through the Uttoxeter Masterplan</v>
      </c>
      <c r="C86" s="135" t="str">
        <f>'1. All Data'!D96</f>
        <v xml:space="preserve">Following consultation brought forward, review progress against the implementation of the Uttoxeter Masterplan – explore and bid for monies from the levelling up fund </v>
      </c>
      <c r="D86" s="131" t="str">
        <f>'1. All Data'!H96</f>
        <v>On Track to be Achieved</v>
      </c>
      <c r="E86" s="103"/>
      <c r="F86" s="132">
        <f>'1. All Data'!M96</f>
        <v>0</v>
      </c>
      <c r="G86" s="112"/>
      <c r="H86" s="133">
        <f>'1. All Data'!R96</f>
        <v>0</v>
      </c>
      <c r="I86" s="104"/>
      <c r="J86" s="133">
        <f>'1. All Data'!V96</f>
        <v>0</v>
      </c>
    </row>
    <row r="87" spans="1:46" ht="99.75" customHeight="1">
      <c r="A87" s="102" t="str">
        <f>'1. All Data'!B97</f>
        <v>CR 18</v>
      </c>
      <c r="B87" s="134" t="str">
        <f>'1. All Data'!C97</f>
        <v>Support the regeneration of Uttoxeter through the Uttoxeter Masterplan</v>
      </c>
      <c r="C87" s="135" t="str">
        <f>'1. All Data'!D97</f>
        <v>Work with Staffordshire County Council to develop a sustainable bus and parking strategy for Uttoxeter</v>
      </c>
      <c r="D87" s="131" t="str">
        <f>'1. All Data'!H97</f>
        <v>Not Yet Due</v>
      </c>
      <c r="E87" s="103"/>
      <c r="F87" s="132">
        <f>'1. All Data'!M97</f>
        <v>0</v>
      </c>
      <c r="G87" s="104"/>
      <c r="H87" s="133">
        <f>'1. All Data'!R97</f>
        <v>0</v>
      </c>
      <c r="I87" s="104"/>
      <c r="J87" s="133">
        <f>'1. All Data'!V97</f>
        <v>0</v>
      </c>
    </row>
    <row r="88" spans="1:46" ht="99.75" customHeight="1">
      <c r="A88" s="102" t="str">
        <f>'1. All Data'!B98</f>
        <v>CR 19</v>
      </c>
      <c r="B88" s="134" t="str">
        <f>'1. All Data'!C98</f>
        <v>Support the delivery of affordable housing on brownfield land through the utilisation of S106 commuted sums</v>
      </c>
      <c r="C88" s="135" t="str">
        <f>'1. All Data'!D98</f>
        <v>Review and update the Brownfield and Infill Regeneration Strategy in line with new Government guidance and policy</v>
      </c>
      <c r="D88" s="131" t="str">
        <f>'1. All Data'!H98</f>
        <v>Not Yet Due</v>
      </c>
      <c r="E88" s="103"/>
      <c r="F88" s="132">
        <f>'1. All Data'!M98</f>
        <v>0</v>
      </c>
      <c r="G88" s="104"/>
      <c r="H88" s="133">
        <f>'1. All Data'!R98</f>
        <v>0</v>
      </c>
      <c r="I88" s="104"/>
      <c r="J88" s="133">
        <f>'1. All Data'!V98</f>
        <v>0</v>
      </c>
    </row>
    <row r="89" spans="1:46" ht="99.75" customHeight="1">
      <c r="A89" s="102" t="str">
        <f>'1. All Data'!B99</f>
        <v>CR 20</v>
      </c>
      <c r="B89" s="134" t="str">
        <f>'1. All Data'!C99</f>
        <v>Improve the Washlands as a regional attraction</v>
      </c>
      <c r="C89" s="135" t="str">
        <f>'1. All Data'!D99</f>
        <v xml:space="preserve">Undertake a feasibility study to inform the development of a Washlands Visitor Centre </v>
      </c>
      <c r="D89" s="131" t="str">
        <f>'1. All Data'!H99</f>
        <v>On Track to be Achieved</v>
      </c>
      <c r="E89" s="104"/>
      <c r="F89" s="132">
        <f>'1. All Data'!M99</f>
        <v>0</v>
      </c>
      <c r="G89" s="104"/>
      <c r="H89" s="133">
        <f>'1. All Data'!R99</f>
        <v>0</v>
      </c>
      <c r="I89" s="104"/>
      <c r="J89" s="133">
        <f>'1. All Data'!V99</f>
        <v>0</v>
      </c>
    </row>
    <row r="90" spans="1:46" ht="99.75" customHeight="1">
      <c r="A90" s="102" t="str">
        <f>'1. All Data'!B101</f>
        <v>CR 22</v>
      </c>
      <c r="B90" s="134" t="str">
        <f>'1. All Data'!C101</f>
        <v>Support economic growth in East Staffordshire</v>
      </c>
      <c r="C90" s="135" t="str">
        <f>'1. All Data'!D101</f>
        <v>Working with the Worklessness Action Group and local MP, as appropriate, support the delivery of three physical or virtual job fairs</v>
      </c>
      <c r="D90" s="131" t="str">
        <f>'1. All Data'!H101</f>
        <v>On Track to be Achieved</v>
      </c>
      <c r="E90" s="103"/>
      <c r="F90" s="132">
        <f>'1. All Data'!M101</f>
        <v>0</v>
      </c>
      <c r="G90" s="104"/>
      <c r="H90" s="133">
        <f>'1. All Data'!R101</f>
        <v>0</v>
      </c>
      <c r="I90" s="104"/>
      <c r="J90" s="133">
        <f>'1. All Data'!V101</f>
        <v>0</v>
      </c>
    </row>
    <row r="91" spans="1:46" ht="99.75" customHeight="1">
      <c r="A91" s="102" t="str">
        <f>'1. All Data'!B102</f>
        <v>CR 23</v>
      </c>
      <c r="B91" s="134" t="str">
        <f>'1. All Data'!C102</f>
        <v>Support economic growth in East Staffordshire</v>
      </c>
      <c r="C91" s="135" t="str">
        <f>'1. All Data'!D102</f>
        <v>Administer the Small Business Fund grant scheme to support the growth of small businesses and start-ups</v>
      </c>
      <c r="D91" s="131" t="str">
        <f>'1. All Data'!H102</f>
        <v>On Track to be Achieved</v>
      </c>
      <c r="E91" s="104"/>
      <c r="F91" s="132">
        <f>'1. All Data'!M102</f>
        <v>0</v>
      </c>
      <c r="G91" s="104"/>
      <c r="H91" s="133">
        <f>'1. All Data'!R102</f>
        <v>0</v>
      </c>
      <c r="I91" s="104"/>
      <c r="J91" s="133">
        <f>'1. All Data'!V102</f>
        <v>0</v>
      </c>
    </row>
    <row r="92" spans="1:46" ht="99.75" customHeight="1">
      <c r="A92" s="102" t="str">
        <f>'1. All Data'!B103</f>
        <v>CR 24</v>
      </c>
      <c r="B92" s="134" t="str">
        <f>'1. All Data'!C103</f>
        <v>Support economic growth in East Staffordshire</v>
      </c>
      <c r="C92" s="135" t="str">
        <f>'1. All Data'!D103</f>
        <v>Hold 4 engagement events with Town Centre retailers</v>
      </c>
      <c r="D92" s="131" t="str">
        <f>'1. All Data'!H103</f>
        <v>Not Yet Due</v>
      </c>
      <c r="E92" s="103"/>
      <c r="F92" s="132">
        <f>'1. All Data'!M103</f>
        <v>0</v>
      </c>
      <c r="G92" s="104"/>
      <c r="H92" s="133">
        <f>'1. All Data'!R103</f>
        <v>0</v>
      </c>
      <c r="I92" s="104"/>
      <c r="J92" s="133">
        <f>'1. All Data'!V103</f>
        <v>0</v>
      </c>
    </row>
    <row r="93" spans="1:46" ht="99.75" customHeight="1">
      <c r="A93" s="102" t="str">
        <f>'1. All Data'!B104</f>
        <v>CR 25</v>
      </c>
      <c r="B93" s="134" t="str">
        <f>'1. All Data'!C104</f>
        <v>Support economic growth in East Staffordshire</v>
      </c>
      <c r="C93" s="135" t="str">
        <f>'1. All Data'!D104</f>
        <v>Consider creating a Business Improvement District in Uttoxeter</v>
      </c>
      <c r="D93" s="131" t="str">
        <f>'1. All Data'!H104</f>
        <v>Not Yet Due</v>
      </c>
      <c r="E93" s="103"/>
      <c r="F93" s="132">
        <f>'1. All Data'!M104</f>
        <v>0</v>
      </c>
      <c r="G93" s="104"/>
      <c r="H93" s="133">
        <f>'1. All Data'!R104</f>
        <v>0</v>
      </c>
      <c r="I93" s="104"/>
      <c r="J93" s="133">
        <f>'1. All Data'!V104</f>
        <v>0</v>
      </c>
    </row>
    <row r="94" spans="1:46" ht="99.75" customHeight="1">
      <c r="A94" s="102" t="str">
        <f>'1. All Data'!B105</f>
        <v>CR 26</v>
      </c>
      <c r="B94" s="134" t="str">
        <f>'1. All Data'!C105</f>
        <v>Support economic growth in East Staffordshire</v>
      </c>
      <c r="C94" s="135" t="str">
        <f>'1. All Data'!D105</f>
        <v>Commission inward investment consultants to drive private investment in Burton</v>
      </c>
      <c r="D94" s="131" t="str">
        <f>'1. All Data'!H105</f>
        <v>Not Yet Due</v>
      </c>
      <c r="E94" s="103"/>
      <c r="F94" s="132">
        <f>'1. All Data'!M105</f>
        <v>0</v>
      </c>
      <c r="G94" s="104"/>
      <c r="H94" s="133">
        <f>'1. All Data'!R105</f>
        <v>0</v>
      </c>
      <c r="I94" s="104"/>
      <c r="J94" s="133">
        <f>'1. All Data'!V105</f>
        <v>0</v>
      </c>
    </row>
    <row r="95" spans="1:46" ht="99.75" customHeight="1">
      <c r="A95" s="102" t="str">
        <f>'1. All Data'!B106</f>
        <v>CR 27</v>
      </c>
      <c r="B95" s="134" t="str">
        <f>'1. All Data'!C106</f>
        <v>New and Refreshed Planning Policies</v>
      </c>
      <c r="C95" s="135" t="str">
        <f>'1. All Data'!D106</f>
        <v>Produce Guidance on achieving Biodiversity net gains through Planning</v>
      </c>
      <c r="D95" s="131" t="str">
        <f>'1. All Data'!H106</f>
        <v>Not Yet Due</v>
      </c>
      <c r="E95" s="103"/>
      <c r="F95" s="132">
        <f>'1. All Data'!M106</f>
        <v>0</v>
      </c>
      <c r="G95" s="104"/>
      <c r="H95" s="133">
        <f>'1. All Data'!R106</f>
        <v>0</v>
      </c>
      <c r="I95" s="104"/>
      <c r="J95" s="133">
        <f>'1. All Data'!V106</f>
        <v>0</v>
      </c>
    </row>
    <row r="96" spans="1:46" ht="99.75" customHeight="1">
      <c r="A96" s="102" t="str">
        <f>'1. All Data'!B107</f>
        <v>CR 28</v>
      </c>
      <c r="B96" s="134" t="str">
        <f>'1. All Data'!C107</f>
        <v>New and Refreshed Planning Policies</v>
      </c>
      <c r="C96" s="135" t="str">
        <f>'1. All Data'!D107</f>
        <v>Draft Local Sustainable Development (Climate Change SPD)</v>
      </c>
      <c r="D96" s="131" t="str">
        <f>'1. All Data'!H107</f>
        <v>Not Yet Due</v>
      </c>
      <c r="E96" s="104"/>
      <c r="F96" s="132">
        <f>'1. All Data'!M107</f>
        <v>0</v>
      </c>
      <c r="G96" s="104"/>
      <c r="H96" s="133">
        <f>'1. All Data'!R107</f>
        <v>0</v>
      </c>
      <c r="I96" s="104"/>
      <c r="J96" s="133">
        <f>'1. All Data'!V107</f>
        <v>0</v>
      </c>
    </row>
    <row r="97" spans="1:10" ht="99.75" customHeight="1">
      <c r="A97" s="102" t="str">
        <f>'1. All Data'!B108</f>
        <v>CR 29</v>
      </c>
      <c r="B97" s="134" t="str">
        <f>'1. All Data'!C108</f>
        <v>Partnership Working</v>
      </c>
      <c r="C97" s="135" t="str">
        <f>'1. All Data'!D108</f>
        <v>Review the Council’s internal procedures and training in support of the Prevent Agenda</v>
      </c>
      <c r="D97" s="131" t="str">
        <f>'1. All Data'!H108</f>
        <v>Not Yet Due</v>
      </c>
      <c r="E97" s="104"/>
      <c r="F97" s="132">
        <f>'1. All Data'!M108</f>
        <v>0</v>
      </c>
      <c r="G97" s="104"/>
      <c r="H97" s="133">
        <f>'1. All Data'!R108</f>
        <v>0</v>
      </c>
      <c r="I97" s="104"/>
      <c r="J97" s="133">
        <f>'1. All Data'!V108</f>
        <v>0</v>
      </c>
    </row>
    <row r="98" spans="1:10" ht="99.75" customHeight="1">
      <c r="A98" s="102" t="str">
        <f>'1. All Data'!B109</f>
        <v>CR 30</v>
      </c>
      <c r="B98" s="134" t="str">
        <f>'1. All Data'!C109</f>
        <v>Partnership Working</v>
      </c>
      <c r="C98" s="135" t="str">
        <f>'1. All Data'!D109</f>
        <v>Consider the introduction of a Parish Council Forum/other communication channels</v>
      </c>
      <c r="D98" s="131" t="str">
        <f>'1. All Data'!H109</f>
        <v>Fully Achieved</v>
      </c>
      <c r="E98" s="103"/>
      <c r="F98" s="132">
        <f>'1. All Data'!M109</f>
        <v>0</v>
      </c>
      <c r="G98" s="112"/>
      <c r="H98" s="133">
        <f>'1. All Data'!R109</f>
        <v>0</v>
      </c>
      <c r="I98" s="104"/>
      <c r="J98" s="133">
        <f>'1. All Data'!V109</f>
        <v>0</v>
      </c>
    </row>
    <row r="99" spans="1:10" ht="99.75" customHeight="1">
      <c r="A99" s="102" t="str">
        <f>'1. All Data'!B110</f>
        <v>EHB 01</v>
      </c>
      <c r="B99" s="134" t="str">
        <f>'1. All Data'!C110</f>
        <v>Open Spaces Initiatives</v>
      </c>
      <c r="C99" s="135" t="str">
        <f>'1. All Data'!D110</f>
        <v>Achieve a minimum of 2 In Bloom gold awards for our In Bloom entries across the Borough*</v>
      </c>
      <c r="D99" s="131" t="str">
        <f>'1. All Data'!H110</f>
        <v>On Track to be Achieved</v>
      </c>
      <c r="E99" s="104"/>
      <c r="F99" s="132">
        <f>'1. All Data'!M110</f>
        <v>0</v>
      </c>
      <c r="G99" s="111"/>
      <c r="H99" s="133">
        <f>'1. All Data'!R110</f>
        <v>0</v>
      </c>
      <c r="I99" s="104"/>
      <c r="J99" s="133">
        <f>'1. All Data'!V110</f>
        <v>0</v>
      </c>
    </row>
    <row r="100" spans="1:10" ht="99.75" customHeight="1">
      <c r="A100" s="102" t="str">
        <f>'1. All Data'!B111</f>
        <v>EHB 02</v>
      </c>
      <c r="B100" s="134" t="str">
        <f>'1. All Data'!C111</f>
        <v>Open Spaces Initiatives</v>
      </c>
      <c r="C100" s="135" t="str">
        <f>'1. All Data'!D111</f>
        <v>Provide a first year update report on progress with the Parks Development Plan</v>
      </c>
      <c r="D100" s="131" t="str">
        <f>'1. All Data'!H111</f>
        <v>Not Yet Due</v>
      </c>
      <c r="E100" s="104"/>
      <c r="F100" s="132">
        <f>'1. All Data'!M111</f>
        <v>0</v>
      </c>
      <c r="G100" s="104"/>
      <c r="H100" s="133">
        <f>'1. All Data'!R111</f>
        <v>0</v>
      </c>
      <c r="I100" s="104"/>
      <c r="J100" s="133">
        <f>'1. All Data'!V111</f>
        <v>0</v>
      </c>
    </row>
    <row r="101" spans="1:10" ht="99.75" customHeight="1">
      <c r="A101" s="102" t="str">
        <f>'1. All Data'!B112</f>
        <v>EHB 03</v>
      </c>
      <c r="B101" s="134" t="str">
        <f>'1. All Data'!C112</f>
        <v>Open Spaces Initiatives</v>
      </c>
      <c r="C101" s="135" t="str">
        <f>'1. All Data'!D112</f>
        <v>Enter at least 5 of our parks into the ‘It’s Your Neighbourhood Awards’ scheme and achieve a minimum of Bronze Award*</v>
      </c>
      <c r="D101" s="131" t="str">
        <f>'1. All Data'!H112</f>
        <v>Not Yet Due</v>
      </c>
      <c r="E101" s="104"/>
      <c r="F101" s="132">
        <f>'1. All Data'!M112</f>
        <v>0</v>
      </c>
      <c r="G101" s="104"/>
      <c r="H101" s="133">
        <f>'1. All Data'!R112</f>
        <v>0</v>
      </c>
      <c r="I101" s="104"/>
      <c r="J101" s="133">
        <f>'1. All Data'!V112</f>
        <v>0</v>
      </c>
    </row>
    <row r="102" spans="1:10" ht="99.75" customHeight="1">
      <c r="A102" s="102" t="str">
        <f>'1. All Data'!B113</f>
        <v>EHB 04</v>
      </c>
      <c r="B102" s="134" t="str">
        <f>'1. All Data'!C113</f>
        <v xml:space="preserve">Supporting Sports and Leisure Delivery Partners </v>
      </c>
      <c r="C102" s="135" t="str">
        <f>'1. All Data'!D113</f>
        <v xml:space="preserve">Investigate opportunities to establish and enhanced Play Day event in conjunction with Everyone Active* </v>
      </c>
      <c r="D102" s="131" t="str">
        <f>'1. All Data'!H113</f>
        <v>Deferred</v>
      </c>
      <c r="E102" s="103"/>
      <c r="F102" s="132">
        <f>'1. All Data'!M113</f>
        <v>0</v>
      </c>
      <c r="G102" s="104"/>
      <c r="H102" s="133">
        <f>'1. All Data'!R113</f>
        <v>0</v>
      </c>
      <c r="I102" s="104"/>
      <c r="J102" s="133">
        <f>'1. All Data'!V113</f>
        <v>0</v>
      </c>
    </row>
    <row r="103" spans="1:10" ht="99.75" customHeight="1">
      <c r="A103" s="102" t="str">
        <f>'1. All Data'!B114</f>
        <v>EHB 05</v>
      </c>
      <c r="B103" s="134" t="str">
        <f>'1. All Data'!C114</f>
        <v>Supporting Sports and Leisure Delivery Partners</v>
      </c>
      <c r="C103" s="135" t="str">
        <f>'1. All Data'!D114</f>
        <v>Complete a Review of Health &amp; Activity Strategy and Delivery in the Borough</v>
      </c>
      <c r="D103" s="131" t="str">
        <f>'1. All Data'!H114</f>
        <v>On Track to be Achieved</v>
      </c>
      <c r="E103" s="103"/>
      <c r="F103" s="132">
        <f>'1. All Data'!M114</f>
        <v>0</v>
      </c>
      <c r="G103" s="104"/>
      <c r="H103" s="133">
        <f>'1. All Data'!R114</f>
        <v>0</v>
      </c>
      <c r="I103" s="104"/>
      <c r="J103" s="133">
        <f>'1. All Data'!V114</f>
        <v>0</v>
      </c>
    </row>
    <row r="104" spans="1:10" ht="99.75" customHeight="1">
      <c r="A104" s="102" t="str">
        <f>'1. All Data'!B115</f>
        <v>EHB 06</v>
      </c>
      <c r="B104" s="134" t="str">
        <f>'1. All Data'!C115</f>
        <v xml:space="preserve">Maintain Performance For Street Cleansing </v>
      </c>
      <c r="C104" s="135" t="str">
        <f>'1. All Data'!D115</f>
        <v>Litter
Detritus
Graffiti
Fly-posting
0%</v>
      </c>
      <c r="D104" s="131" t="str">
        <f>'1. All Data'!H115</f>
        <v>Not Yet Due</v>
      </c>
      <c r="E104" s="104"/>
      <c r="F104" s="132">
        <f>'1. All Data'!M115</f>
        <v>0</v>
      </c>
      <c r="G104" s="104"/>
      <c r="H104" s="133">
        <f>'1. All Data'!R115</f>
        <v>0</v>
      </c>
      <c r="I104" s="104"/>
      <c r="J104" s="133">
        <f>'1. All Data'!V115</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51"/>
      <c r="B1" s="152"/>
      <c r="C1" s="153"/>
    </row>
    <row r="2" spans="1:3">
      <c r="A2" s="154"/>
      <c r="B2" s="155"/>
      <c r="C2" s="156"/>
    </row>
    <row r="3" spans="1:3">
      <c r="A3" s="154"/>
      <c r="B3" s="155"/>
      <c r="C3" s="156"/>
    </row>
    <row r="4" spans="1:3">
      <c r="A4" s="154"/>
      <c r="B4" s="155"/>
      <c r="C4" s="156"/>
    </row>
    <row r="5" spans="1:3">
      <c r="A5" s="154"/>
      <c r="B5" s="155"/>
      <c r="C5" s="156"/>
    </row>
    <row r="6" spans="1:3">
      <c r="A6" s="154"/>
      <c r="B6" s="155"/>
      <c r="C6" s="156"/>
    </row>
    <row r="7" spans="1:3">
      <c r="A7" s="154"/>
      <c r="B7" s="155"/>
      <c r="C7" s="156"/>
    </row>
    <row r="8" spans="1:3">
      <c r="A8" s="154"/>
      <c r="B8" s="155"/>
      <c r="C8" s="156"/>
    </row>
    <row r="9" spans="1:3">
      <c r="A9" s="154"/>
      <c r="B9" s="155"/>
      <c r="C9" s="156"/>
    </row>
    <row r="10" spans="1:3">
      <c r="A10" s="154"/>
      <c r="B10" s="155"/>
      <c r="C10" s="156"/>
    </row>
    <row r="11" spans="1:3">
      <c r="A11" s="154"/>
      <c r="B11" s="155"/>
      <c r="C11" s="156"/>
    </row>
    <row r="12" spans="1:3">
      <c r="A12" s="154"/>
      <c r="B12" s="155"/>
      <c r="C12" s="156"/>
    </row>
    <row r="13" spans="1:3">
      <c r="A13" s="154"/>
      <c r="B13" s="155"/>
      <c r="C13" s="156"/>
    </row>
    <row r="14" spans="1:3">
      <c r="A14" s="154"/>
      <c r="B14" s="155"/>
      <c r="C14" s="156"/>
    </row>
    <row r="15" spans="1:3">
      <c r="A15" s="154"/>
      <c r="B15" s="155"/>
      <c r="C15" s="156"/>
    </row>
    <row r="16" spans="1:3">
      <c r="A16" s="154"/>
      <c r="B16" s="155"/>
      <c r="C16" s="156"/>
    </row>
    <row r="17" spans="1:3">
      <c r="A17" s="154"/>
      <c r="B17" s="155"/>
      <c r="C17" s="156"/>
    </row>
    <row r="18" spans="1:3">
      <c r="A18" s="157"/>
      <c r="B18" s="158"/>
      <c r="C18" s="1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E7" activeCellId="1" sqref="C7:C9 E7:E9"/>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3" t="s">
        <v>850</v>
      </c>
      <c r="C2" s="365" t="s">
        <v>99</v>
      </c>
      <c r="D2" s="366"/>
      <c r="E2" s="367" t="s">
        <v>100</v>
      </c>
      <c r="F2" s="368"/>
      <c r="G2" s="369" t="s">
        <v>101</v>
      </c>
      <c r="H2" s="369"/>
    </row>
    <row r="3" spans="1:40" ht="50.25" customHeight="1" thickTop="1" thickBot="1">
      <c r="B3" s="364"/>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Priority'!C5+'2a. % By Priority'!C6</f>
        <v>88</v>
      </c>
      <c r="D5" s="52">
        <f>'2a. % By Priority'!G5</f>
        <v>0.96703296703296704</v>
      </c>
      <c r="E5" s="53">
        <f>'2a. % By Priority'!C7</f>
        <v>3</v>
      </c>
      <c r="F5" s="43">
        <f>'2a. % By Priority'!G7</f>
        <v>3.2967032967032968E-2</v>
      </c>
      <c r="G5" s="63">
        <f>'2a. % By Priority'!C10+'2a. % By Priority'!C11</f>
        <v>0</v>
      </c>
      <c r="H5" s="64">
        <f>'2a. % By Priority'!G10</f>
        <v>0</v>
      </c>
      <c r="I5" s="49"/>
      <c r="J5" s="23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23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Priority'!C23+'2a. % By Priority'!C24</f>
        <v>57</v>
      </c>
      <c r="D7" s="52">
        <f>'2a. % By Priority'!G23</f>
        <v>0.96610169491525422</v>
      </c>
      <c r="E7" s="59">
        <f>'2a. % By Priority'!C25</f>
        <v>2</v>
      </c>
      <c r="F7" s="43">
        <f>'2a. % By Priority'!G25</f>
        <v>3.3898305084745763E-2</v>
      </c>
      <c r="G7" s="63">
        <f>'2a. % By Priority'!C28+'2a. % By Priority'!C29</f>
        <v>0</v>
      </c>
      <c r="H7" s="64">
        <f>'2a. % By Priority'!G28</f>
        <v>0</v>
      </c>
      <c r="I7" s="49"/>
      <c r="J7" s="23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Priority'!C41+'2a. % By Priority'!C42</f>
        <v>0</v>
      </c>
      <c r="D8" s="52">
        <f>'2a. % By Priority'!G41</f>
        <v>0</v>
      </c>
      <c r="E8" s="59">
        <f>'2a. % By Priority'!C43</f>
        <v>0</v>
      </c>
      <c r="F8" s="43">
        <f>'2a. % By Priority'!G43</f>
        <v>0</v>
      </c>
      <c r="G8" s="63">
        <f>'2a. % By Priority'!C46+'2a. % By Priority'!C47</f>
        <v>0</v>
      </c>
      <c r="H8" s="64">
        <f>'2a. % By Priority'!G46</f>
        <v>0</v>
      </c>
      <c r="I8" s="49"/>
      <c r="J8" s="23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Priority'!C59+'2a. % By Priority'!C60</f>
        <v>0</v>
      </c>
      <c r="D9" s="52">
        <f>'2a. % By Priority'!G59</f>
        <v>0</v>
      </c>
      <c r="E9" s="59">
        <f>'2a. % By Priority'!C61</f>
        <v>0</v>
      </c>
      <c r="F9" s="43">
        <f>'2a. % By Priority'!G61</f>
        <v>0</v>
      </c>
      <c r="G9" s="63">
        <f>'2a. % By Priority'!C64+'2a. % By Priority'!C65</f>
        <v>0</v>
      </c>
      <c r="H9" s="64">
        <f>'2a. % By Priority'!G64</f>
        <v>0</v>
      </c>
      <c r="I9" s="49"/>
      <c r="J9" s="23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23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Portfolio'!C5+'3a. % by Portfolio'!C6</f>
        <v>18</v>
      </c>
      <c r="D11" s="68">
        <f>'3a. % by Portfolio'!G5</f>
        <v>1</v>
      </c>
      <c r="E11" s="69">
        <f>'3a. % by Portfolio'!C7</f>
        <v>0</v>
      </c>
      <c r="F11" s="70">
        <f>'3a. % by Portfolio'!G7</f>
        <v>0</v>
      </c>
      <c r="G11" s="71">
        <f>'3a. % by Portfolio'!C10+'3a. % by Portfolio'!C11</f>
        <v>0</v>
      </c>
      <c r="H11" s="72">
        <f>'3a. % by Portfolio'!G10</f>
        <v>0</v>
      </c>
      <c r="I11" s="49"/>
      <c r="J11" s="23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Portfolio'!C24+'3a. % by Portfolio'!C25</f>
        <v>24</v>
      </c>
      <c r="D12" s="68">
        <f>'3a. % by Portfolio'!G24</f>
        <v>0.96000000000000008</v>
      </c>
      <c r="E12" s="73">
        <f>'3a. % by Portfolio'!C26</f>
        <v>1</v>
      </c>
      <c r="F12" s="70">
        <f>'3a. % by Portfolio'!G26</f>
        <v>0.04</v>
      </c>
      <c r="G12" s="71">
        <f>'3a. % by Portfolio'!C29+'3a. % by Portfolio'!C30</f>
        <v>0</v>
      </c>
      <c r="H12" s="72">
        <f>'3a. % by Portfolio'!G29</f>
        <v>0</v>
      </c>
      <c r="I12" s="49"/>
      <c r="J12" s="23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67">
        <f>'3a. % by Portfolio'!C42+'3a. % by Portfolio'!C43</f>
        <v>9</v>
      </c>
      <c r="D13" s="68">
        <f>'3a. % by Portfolio'!G42</f>
        <v>0.9</v>
      </c>
      <c r="E13" s="73">
        <f>'3a. % by Portfolio'!C44</f>
        <v>1</v>
      </c>
      <c r="F13" s="70">
        <f>'3a. % by Portfolio'!G44</f>
        <v>0.1</v>
      </c>
      <c r="G13" s="71">
        <f>'3a. % by Portfolio'!C47+'3a. % by Portfolio'!C48</f>
        <v>0</v>
      </c>
      <c r="H13" s="72">
        <f>'3a. % by Portfolio'!G47</f>
        <v>0</v>
      </c>
      <c r="I13" s="49"/>
      <c r="J13" s="23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Portfolio'!C60+'3a. % by Portfolio'!C61</f>
        <v>21</v>
      </c>
      <c r="D14" s="68">
        <f>'3a. % by Portfolio'!G60</f>
        <v>0.95454545454545459</v>
      </c>
      <c r="E14" s="73">
        <f>'3a. % by Portfolio'!C62</f>
        <v>1</v>
      </c>
      <c r="F14" s="70">
        <f>'3a. % by Portfolio'!G62</f>
        <v>4.5454545454545456E-2</v>
      </c>
      <c r="G14" s="71">
        <f>'3a. % by Portfolio'!C65+'3a. % by Portfolio'!C66</f>
        <v>0</v>
      </c>
      <c r="H14" s="72">
        <f>'3a. % by Portfolio'!G65</f>
        <v>0</v>
      </c>
      <c r="I14" s="49"/>
      <c r="J14" s="23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851</v>
      </c>
      <c r="C15" s="67">
        <f>'3a. % by Portfolio'!C78+'3a. % by Portfolio'!C79</f>
        <v>16</v>
      </c>
      <c r="D15" s="68">
        <f>'3a. % by Portfolio'!G78</f>
        <v>1</v>
      </c>
      <c r="E15" s="73">
        <f>'3a. % by Portfolio'!C80</f>
        <v>0</v>
      </c>
      <c r="F15" s="70">
        <f>'3a. % by Portfolio'!G80</f>
        <v>0</v>
      </c>
      <c r="G15" s="71">
        <f>'3a. % by Portfolio'!C83+'3a. % by Portfolio'!C84</f>
        <v>0</v>
      </c>
      <c r="H15" s="72">
        <f>'3a. % by Portfolio'!G83</f>
        <v>0</v>
      </c>
      <c r="I15" s="49"/>
      <c r="J15" s="23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3" t="s">
        <v>242</v>
      </c>
      <c r="C2" s="365" t="s">
        <v>99</v>
      </c>
      <c r="D2" s="366"/>
      <c r="E2" s="367" t="s">
        <v>100</v>
      </c>
      <c r="F2" s="368"/>
      <c r="G2" s="369" t="s">
        <v>101</v>
      </c>
      <c r="H2" s="369"/>
    </row>
    <row r="3" spans="1:40" ht="50.25" customHeight="1" thickTop="1" thickBot="1">
      <c r="B3" s="364"/>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Priority'!J5+'2a. % By Priority'!J6</f>
        <v>0</v>
      </c>
      <c r="D5" s="52" t="e">
        <f>'2a. % By Priority'!N5</f>
        <v>#DIV/0!</v>
      </c>
      <c r="E5" s="53">
        <f>'2a. % By Priority'!J7</f>
        <v>0</v>
      </c>
      <c r="F5" s="43" t="e">
        <f>'2a. % By Priority'!N7</f>
        <v>#DIV/0!</v>
      </c>
      <c r="G5" s="63">
        <f>'2a. % By Priority'!J10+'2a. % By Priority'!J11</f>
        <v>0</v>
      </c>
      <c r="H5" s="64" t="e">
        <f>'2a. % By Priority'!N10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Priority'!J23+'2a. % By Priority'!J24</f>
        <v>0</v>
      </c>
      <c r="D7" s="52" t="e">
        <f>'2a. % By Priority'!N23</f>
        <v>#DIV/0!</v>
      </c>
      <c r="E7" s="59">
        <f>'2a. % By Priority'!J25</f>
        <v>0</v>
      </c>
      <c r="F7" s="43" t="e">
        <f>'2a. % By Priority'!N25</f>
        <v>#DIV/0!</v>
      </c>
      <c r="G7" s="63">
        <f>'2a. % By Priority'!J28+'2a. % By Priority'!J29</f>
        <v>0</v>
      </c>
      <c r="H7" s="64" t="e">
        <f>'2a. % By Priority'!N28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Priority'!J41+'2a. % By Priority'!J42</f>
        <v>0</v>
      </c>
      <c r="D8" s="52">
        <f>'2a. % By Priority'!N41</f>
        <v>0</v>
      </c>
      <c r="E8" s="59">
        <f>'2a. % By Priority'!J43</f>
        <v>0</v>
      </c>
      <c r="F8" s="43">
        <f>'2a. % By Priority'!N43</f>
        <v>0</v>
      </c>
      <c r="G8" s="63">
        <f>'2a. % By Priority'!J46+'2a. % By Priority'!J47</f>
        <v>0</v>
      </c>
      <c r="H8" s="64">
        <f>'2a. % By Priority'!N46</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Priority'!J59+'2a. % By Priority'!J60</f>
        <v>0</v>
      </c>
      <c r="D9" s="52">
        <f>'2a. % By Priority'!N59</f>
        <v>0</v>
      </c>
      <c r="E9" s="59">
        <f>'2a. % By Priority'!J61</f>
        <v>0</v>
      </c>
      <c r="F9" s="43">
        <f>'2a. % By Priority'!N61</f>
        <v>0</v>
      </c>
      <c r="G9" s="63">
        <f>'2a. % By Priority'!J64+'2a. % By Priority'!J65</f>
        <v>0</v>
      </c>
      <c r="H9" s="64">
        <f>'2a. % By Priority'!N64</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Portfolio'!J5+'3a. % by Portfolio'!J6</f>
        <v>0</v>
      </c>
      <c r="D11" s="68" t="e">
        <f>'3a. % by Portfolio'!N5</f>
        <v>#DIV/0!</v>
      </c>
      <c r="E11" s="69">
        <f>'3a. % by Portfolio'!J7</f>
        <v>0</v>
      </c>
      <c r="F11" s="70" t="e">
        <f>'3a. % by Portfolio'!N7</f>
        <v>#DIV/0!</v>
      </c>
      <c r="G11" s="63">
        <f>'3a. % by Portfolio'!J10+'3a. % by Portfolio'!J11</f>
        <v>0</v>
      </c>
      <c r="H11" s="72" t="e">
        <f>'3a. % by Portfolio'!N10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Portfolio'!J24+'3a. % by Portfolio'!J25</f>
        <v>0</v>
      </c>
      <c r="D12" s="68" t="e">
        <f>'3a. % by Portfolio'!N24</f>
        <v>#DIV/0!</v>
      </c>
      <c r="E12" s="73">
        <f>'3a. % by Portfolio'!J26</f>
        <v>0</v>
      </c>
      <c r="F12" s="70" t="e">
        <f>'3a. % by Portfolio'!N26</f>
        <v>#DIV/0!</v>
      </c>
      <c r="G12" s="63">
        <f>'3a. % by Portfolio'!J29+'3a. % by Portfolio'!J30</f>
        <v>0</v>
      </c>
      <c r="H12" s="72" t="e">
        <f>'3a. % by Portfolio'!N29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111</v>
      </c>
      <c r="C13" s="67">
        <f>'3a. % by Portfolio'!J42+'3a. % by Portfolio'!J43</f>
        <v>0</v>
      </c>
      <c r="D13" s="68" t="e">
        <f>'3a. % by Portfolio'!N42</f>
        <v>#DIV/0!</v>
      </c>
      <c r="E13" s="73">
        <f>'3a. % by Portfolio'!J44</f>
        <v>0</v>
      </c>
      <c r="F13" s="70" t="e">
        <f>'3a. % by Portfolio'!N44</f>
        <v>#DIV/0!</v>
      </c>
      <c r="G13" s="63">
        <f>'3a. % by Portfolio'!J47+'3a. % by Portfolio'!J48</f>
        <v>0</v>
      </c>
      <c r="H13" s="72" t="e">
        <f>'3a. % by Portfolio'!N47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Portfolio'!J60+'3a. % by Portfolio'!J61</f>
        <v>0</v>
      </c>
      <c r="D14" s="68" t="e">
        <f>'3a. % by Portfolio'!N60</f>
        <v>#DIV/0!</v>
      </c>
      <c r="E14" s="73">
        <f>'3a. % by Portfolio'!J62</f>
        <v>0</v>
      </c>
      <c r="F14" s="70" t="e">
        <f>'3a. % by Portfolio'!N62</f>
        <v>#DIV/0!</v>
      </c>
      <c r="G14" s="63">
        <f>'3a. % by Portfolio'!J65+'3a. % by Portfolio'!J66</f>
        <v>0</v>
      </c>
      <c r="H14" s="72" t="e">
        <f>'3a. % by Portfolio'!N65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78</v>
      </c>
      <c r="C15" s="67">
        <f>'3a. % by Portfolio'!J78+'3a. % by Portfolio'!J79</f>
        <v>0</v>
      </c>
      <c r="D15" s="68" t="e">
        <f>'3a. % by Portfolio'!N78</f>
        <v>#DIV/0!</v>
      </c>
      <c r="E15" s="73">
        <f>'3a. % by Portfolio'!J80</f>
        <v>0</v>
      </c>
      <c r="F15" s="70" t="e">
        <f>'3a. % by Portfolio'!N80</f>
        <v>#DIV/0!</v>
      </c>
      <c r="G15" s="63">
        <f>'3a. % by Portfolio'!J83+'3a. % by Portfolio'!J84</f>
        <v>0</v>
      </c>
      <c r="H15" s="72" t="e">
        <f>'3a. % by Portfolio'!N83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3" t="s">
        <v>243</v>
      </c>
      <c r="C2" s="365" t="s">
        <v>99</v>
      </c>
      <c r="D2" s="366"/>
      <c r="E2" s="367" t="s">
        <v>100</v>
      </c>
      <c r="F2" s="368"/>
      <c r="G2" s="369" t="s">
        <v>101</v>
      </c>
      <c r="H2" s="369"/>
    </row>
    <row r="3" spans="1:40" ht="50.25" customHeight="1" thickTop="1" thickBot="1">
      <c r="B3" s="364"/>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Priority'!Q5+'2a. % By Priority'!Q6</f>
        <v>0</v>
      </c>
      <c r="D5" s="52" t="e">
        <f>'2a. % By Priority'!U5</f>
        <v>#DIV/0!</v>
      </c>
      <c r="E5" s="53">
        <f>'2a. % By Priority'!Q7</f>
        <v>0</v>
      </c>
      <c r="F5" s="43" t="e">
        <f>'2a. % By Priority'!U7</f>
        <v>#DIV/0!</v>
      </c>
      <c r="G5" s="63">
        <f>'2a. % By Priority'!Q10+'2a. % By Priority'!Q11</f>
        <v>0</v>
      </c>
      <c r="H5" s="64" t="e">
        <f>'2a. % By Priority'!U10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Priority'!Q23+'2a. % By Priority'!Q24</f>
        <v>0</v>
      </c>
      <c r="D7" s="52" t="e">
        <f>'2a. % By Priority'!U23</f>
        <v>#DIV/0!</v>
      </c>
      <c r="E7" s="59">
        <f>'2a. % By Priority'!Q25</f>
        <v>0</v>
      </c>
      <c r="F7" s="43" t="e">
        <f>'2a. % By Priority'!U25</f>
        <v>#DIV/0!</v>
      </c>
      <c r="G7" s="63">
        <f>'2a. % By Priority'!Q28+'2a. % By Priority'!Q29</f>
        <v>0</v>
      </c>
      <c r="H7" s="64" t="e">
        <f>'2a. % By Priority'!U28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Priority'!Q41+'2a. % By Priority'!Q42</f>
        <v>0</v>
      </c>
      <c r="D8" s="52">
        <f>'2a. % By Priority'!U41</f>
        <v>0</v>
      </c>
      <c r="E8" s="59">
        <f>'2a. % By Priority'!Q43</f>
        <v>0</v>
      </c>
      <c r="F8" s="43">
        <f>'2a. % By Priority'!U43</f>
        <v>0</v>
      </c>
      <c r="G8" s="63">
        <f>'2a. % By Priority'!Q46+'2a. % By Priority'!Q47</f>
        <v>0</v>
      </c>
      <c r="H8" s="64">
        <f>'2a. % By Priority'!U46</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Priority'!Q59+'2a. % By Priority'!Q60</f>
        <v>0</v>
      </c>
      <c r="D9" s="52">
        <f>'2a. % By Priority'!U59</f>
        <v>0</v>
      </c>
      <c r="E9" s="59">
        <f>'2a. % By Priority'!Q61</f>
        <v>0</v>
      </c>
      <c r="F9" s="43">
        <f>'2a. % By Priority'!U61</f>
        <v>0</v>
      </c>
      <c r="G9" s="63">
        <f>'2a. % By Priority'!Q64+'2a. % By Priority'!Q65</f>
        <v>0</v>
      </c>
      <c r="H9" s="64">
        <f>'2a. % By Priority'!U64</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67">
        <f>'3a. % by Portfolio'!Q5+'3a. % by Portfolio'!Q6</f>
        <v>0</v>
      </c>
      <c r="D11" s="68" t="e">
        <f>'3a. % by Portfolio'!U5</f>
        <v>#DIV/0!</v>
      </c>
      <c r="E11" s="69">
        <f>'3a. % by Portfolio'!Q7</f>
        <v>0</v>
      </c>
      <c r="F11" s="70" t="e">
        <f>'3a. % by Portfolio'!U7</f>
        <v>#DIV/0!</v>
      </c>
      <c r="G11" s="71">
        <f>'3a. % by Portfolio'!Q10+'3a. % by Portfolio'!Q11</f>
        <v>0</v>
      </c>
      <c r="H11" s="72" t="e">
        <f>'3a. % by Portfolio'!U10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67">
        <f>'3a. % by Portfolio'!Q24+'3a. % by Portfolio'!Q25</f>
        <v>0</v>
      </c>
      <c r="D12" s="68" t="e">
        <f>'3a. % by Portfolio'!U24</f>
        <v>#DIV/0!</v>
      </c>
      <c r="E12" s="73">
        <f>'3a. % by Portfolio'!Q26</f>
        <v>0</v>
      </c>
      <c r="F12" s="70" t="e">
        <f>'3a. % by Portfolio'!U26</f>
        <v>#DIV/0!</v>
      </c>
      <c r="G12" s="71">
        <f>'3a. % by Portfolio'!Q10+'3a. % by Portfolio'!Q11</f>
        <v>0</v>
      </c>
      <c r="H12" s="72" t="e">
        <f>'3a. % by Portfolio'!U29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67">
        <f>'3a. % by Portfolio'!Q42+'3a. % by Portfolio'!Q43</f>
        <v>0</v>
      </c>
      <c r="D13" s="68" t="e">
        <f>'3a. % by Portfolio'!U42</f>
        <v>#DIV/0!</v>
      </c>
      <c r="E13" s="73">
        <f>'3a. % by Portfolio'!Q44</f>
        <v>0</v>
      </c>
      <c r="F13" s="70" t="e">
        <f>'3a. % by Portfolio'!U44</f>
        <v>#DIV/0!</v>
      </c>
      <c r="G13" s="71">
        <f>'3a. % by Portfolio'!Q47+'3a. % by Portfolio'!Q48</f>
        <v>0</v>
      </c>
      <c r="H13" s="72" t="e">
        <f>'3a. % by Portfolio'!U47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67">
        <f>'3a. % by Portfolio'!Q60+'3a. % by Portfolio'!Q61</f>
        <v>0</v>
      </c>
      <c r="D14" s="68" t="e">
        <f>'3a. % by Portfolio'!U60</f>
        <v>#DIV/0!</v>
      </c>
      <c r="E14" s="73">
        <f>'3a. % by Portfolio'!Q62</f>
        <v>0</v>
      </c>
      <c r="F14" s="70" t="e">
        <f>'3a. % by Portfolio'!U62</f>
        <v>#DIV/0!</v>
      </c>
      <c r="G14" s="71">
        <f>'3a. % by Portfolio'!Q65+'3a. % by Portfolio'!Q66</f>
        <v>0</v>
      </c>
      <c r="H14" s="72" t="e">
        <f>'3a. % by Portfolio'!U65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248</v>
      </c>
      <c r="C15" s="67">
        <f>'3a. % by Portfolio'!Q78+'3a. % by Portfolio'!Q79</f>
        <v>0</v>
      </c>
      <c r="D15" s="68" t="e">
        <f>'3a. % by Portfolio'!U78</f>
        <v>#DIV/0!</v>
      </c>
      <c r="E15" s="73">
        <f>'3a. % by Portfolio'!Q80</f>
        <v>0</v>
      </c>
      <c r="F15" s="70" t="e">
        <f>'3a. % by Portfolio'!U80</f>
        <v>#DIV/0!</v>
      </c>
      <c r="G15" s="71">
        <f>'3a. % by Portfolio'!Q83+'3a. % by Portfolio'!Q84</f>
        <v>0</v>
      </c>
      <c r="H15" s="72" t="e">
        <f>'3a. % by Portfolio'!U83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109375" defaultRowHeight="14.4"/>
  <cols>
    <col min="1" max="1" width="9.109375" style="37"/>
    <col min="2" max="2" width="49.5546875" style="10" customWidth="1"/>
    <col min="3" max="3" width="27.4414062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105</v>
      </c>
      <c r="D1" s="39"/>
    </row>
    <row r="2" spans="1:40" ht="40.5" customHeight="1" thickTop="1" thickBot="1">
      <c r="B2" s="363" t="s">
        <v>244</v>
      </c>
      <c r="C2" s="365" t="s">
        <v>99</v>
      </c>
      <c r="D2" s="366"/>
      <c r="E2" s="367" t="s">
        <v>100</v>
      </c>
      <c r="F2" s="368"/>
      <c r="G2" s="369" t="s">
        <v>101</v>
      </c>
      <c r="H2" s="369"/>
    </row>
    <row r="3" spans="1:40" ht="50.25" customHeight="1" thickTop="1" thickBot="1">
      <c r="B3" s="364"/>
      <c r="C3" s="40" t="s">
        <v>106</v>
      </c>
      <c r="D3" s="41" t="s">
        <v>107</v>
      </c>
      <c r="E3" s="42" t="s">
        <v>106</v>
      </c>
      <c r="F3" s="43" t="s">
        <v>107</v>
      </c>
      <c r="G3" s="61" t="s">
        <v>106</v>
      </c>
      <c r="H3" s="62" t="s">
        <v>107</v>
      </c>
    </row>
    <row r="4" spans="1:40" s="48" customFormat="1" ht="22.2" thickTop="1" thickBot="1">
      <c r="A4" s="44"/>
      <c r="B4" s="45" t="s">
        <v>108</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109</v>
      </c>
      <c r="C5" s="51">
        <f>'2a. % By Priority'!X5+'2a. % By Priority'!X6</f>
        <v>0</v>
      </c>
      <c r="D5" s="52" t="e">
        <f>'2a. % By Priority'!AB5</f>
        <v>#DIV/0!</v>
      </c>
      <c r="E5" s="53">
        <f>'2a. % By Priority'!X7+'2a. % By Priority'!X8+'2a. % By Priority'!X9</f>
        <v>0</v>
      </c>
      <c r="F5" s="43" t="e">
        <f>'2a. % By Priority'!AB7</f>
        <v>#DIV/0!</v>
      </c>
      <c r="G5" s="63">
        <f>'2a. % By Priority'!X10+'2a. % By Priority'!X11</f>
        <v>0</v>
      </c>
      <c r="H5" s="64" t="e">
        <f>'2a. % By Priority'!AB10</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110</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30</v>
      </c>
      <c r="C7" s="51">
        <f>'2a. % By Priority'!X23+'2a. % By Priority'!X24</f>
        <v>0</v>
      </c>
      <c r="D7" s="52" t="e">
        <f>'2a. % By Priority'!AB23</f>
        <v>#DIV/0!</v>
      </c>
      <c r="E7" s="59">
        <f>'2a. % By Priority'!X25+'2a. % By Priority'!X26+'2a. % By Priority'!X27</f>
        <v>0</v>
      </c>
      <c r="F7" s="43" t="e">
        <f>'2a. % By Priority'!AB25</f>
        <v>#DIV/0!</v>
      </c>
      <c r="G7" s="63">
        <f>'2a. % By Priority'!X28+'2a. % By Priority'!X29</f>
        <v>0</v>
      </c>
      <c r="H7" s="64" t="e">
        <f>'2a. % By Priority'!AB28</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102</v>
      </c>
      <c r="C8" s="51">
        <f>'2a. % By Priority'!X41+'2a. % By Priority'!X42</f>
        <v>0</v>
      </c>
      <c r="D8" s="52">
        <f>SUM('2a. % By Priority'!AB41:AB42)</f>
        <v>0</v>
      </c>
      <c r="E8" s="59">
        <f>'2a. % By Priority'!X43+'2a. % By Priority'!X44+'2a. % By Priority'!X45</f>
        <v>0</v>
      </c>
      <c r="F8" s="43">
        <f>'2a. % By Priority'!AB43</f>
        <v>0</v>
      </c>
      <c r="G8" s="63">
        <f>'2a. % By Priority'!X46+'2a. % By Priority'!X47</f>
        <v>0</v>
      </c>
      <c r="H8" s="64">
        <f>'2a. % By Priority'!AB46</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29</v>
      </c>
      <c r="C9" s="51">
        <f>'2a. % By Priority'!X59+'2a. % By Priority'!X60</f>
        <v>0</v>
      </c>
      <c r="D9" s="52">
        <f>'2a. % By Priority'!AB59</f>
        <v>0</v>
      </c>
      <c r="E9" s="59">
        <f>'2a. % By Priority'!X61+'2a. % By Priority'!X62+'2a. % By Priority'!X63</f>
        <v>0</v>
      </c>
      <c r="F9" s="43">
        <f>'2a. % By Priority'!AB61</f>
        <v>0</v>
      </c>
      <c r="G9" s="63">
        <f>'2a. % By Priority'!X64+'2a. % By Priority'!X65</f>
        <v>0</v>
      </c>
      <c r="H9" s="64">
        <f>'2a. % By Priority'!AB64</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22</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80</v>
      </c>
      <c r="C11" s="51">
        <f>'3a. % by Portfolio'!X5+'3a. % by Portfolio'!X6</f>
        <v>0</v>
      </c>
      <c r="D11" s="52" t="e">
        <f>'3a. % by Portfolio'!AB5</f>
        <v>#DIV/0!</v>
      </c>
      <c r="E11" s="59">
        <f>SUM('3a. % by Portfolio'!X7:X9)</f>
        <v>0</v>
      </c>
      <c r="F11" s="43" t="e">
        <f>'3a. % by Portfolio'!AB7</f>
        <v>#DIV/0!</v>
      </c>
      <c r="G11" s="63">
        <f>'3a. % by Portfolio'!X10+'3a. % by Portfolio'!X11</f>
        <v>0</v>
      </c>
      <c r="H11" s="64" t="e">
        <f>'3a. % by Portfolio'!AB10</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79</v>
      </c>
      <c r="C12" s="51">
        <f>'3a. % by Portfolio'!X24+'3a. % by Portfolio'!X25</f>
        <v>0</v>
      </c>
      <c r="D12" s="52" t="e">
        <f>'3a. % by Portfolio'!AB24</f>
        <v>#DIV/0!</v>
      </c>
      <c r="E12" s="160">
        <f>'3a. % by Portfolio'!X26+'3a. % by Portfolio'!X27+'3a. % by Portfolio'!X28</f>
        <v>0</v>
      </c>
      <c r="F12" s="43" t="e">
        <f>'3a. % by Portfolio'!AB26</f>
        <v>#DIV/0!</v>
      </c>
      <c r="G12" s="63">
        <f>'3a. % by Portfolio'!X10+'3a. % by Portfolio'!X11</f>
        <v>0</v>
      </c>
      <c r="H12" s="64" t="e">
        <f>'3a. % by Portfolio'!AB29</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247</v>
      </c>
      <c r="C13" s="51">
        <f>'3a. % by Portfolio'!X42+'3a. % by Portfolio'!X43</f>
        <v>0</v>
      </c>
      <c r="D13" s="52" t="e">
        <f>'3a. % by Portfolio'!AB42</f>
        <v>#DIV/0!</v>
      </c>
      <c r="E13" s="160">
        <f>'3a. % by Portfolio'!X44+'3a. % by Portfolio'!X45+'3a. % by Portfolio'!X46</f>
        <v>0</v>
      </c>
      <c r="F13" s="43" t="e">
        <f>'3a. % by Portfolio'!AB44</f>
        <v>#DIV/0!</v>
      </c>
      <c r="G13" s="63">
        <f>'3a. % by Portfolio'!X47+'3a. % by Portfolio'!X48</f>
        <v>0</v>
      </c>
      <c r="H13" s="64" t="e">
        <f>'3a. % by Portfolio'!AB47</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77</v>
      </c>
      <c r="C14" s="51">
        <f>'3a. % by Portfolio'!X60+'3a. % by Portfolio'!X61</f>
        <v>0</v>
      </c>
      <c r="D14" s="52" t="e">
        <f>'3a. % by Portfolio'!AB60</f>
        <v>#DIV/0!</v>
      </c>
      <c r="E14" s="160">
        <f>'3a. % by Portfolio'!X62+'3a. % by Portfolio'!X63+'3a. % by Portfolio'!X64</f>
        <v>0</v>
      </c>
      <c r="F14" s="43" t="e">
        <f>'3a. % by Portfolio'!AB62</f>
        <v>#DIV/0!</v>
      </c>
      <c r="G14" s="63">
        <f>'3a. % by Portfolio'!X65+'3a. % by Portfolio'!X66</f>
        <v>0</v>
      </c>
      <c r="H14" s="64" t="e">
        <f>'3a. % by Portfolio'!AB65</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248</v>
      </c>
      <c r="C15" s="51">
        <f>'3a. % by Portfolio'!X78+'3a. % by Portfolio'!X79</f>
        <v>0</v>
      </c>
      <c r="D15" s="52" t="e">
        <f>'3a. % by Portfolio'!AB78</f>
        <v>#DIV/0!</v>
      </c>
      <c r="E15" s="160">
        <f>'3a. % by Portfolio'!X80+'3a. % by Portfolio'!X81+'3a. % by Portfolio'!X82</f>
        <v>0</v>
      </c>
      <c r="F15" s="43" t="e">
        <f>'3a. % by Portfolio'!AB80</f>
        <v>#DIV/0!</v>
      </c>
      <c r="G15" s="63">
        <f>'3a. % by Portfolio'!X83+'3a. % by Portfolio'!X84</f>
        <v>0</v>
      </c>
      <c r="H15" s="64" t="e">
        <f>'3a. % by Portfolio'!AB83</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zoomScale="80" zoomScaleNormal="80" workbookViewId="0">
      <selection activeCell="E43" sqref="E43:E45"/>
    </sheetView>
  </sheetViews>
  <sheetFormatPr defaultColWidth="9.109375" defaultRowHeight="13.8"/>
  <cols>
    <col min="1" max="1" width="2.109375" style="177" customWidth="1"/>
    <col min="2" max="2" width="38.88671875" style="177" customWidth="1"/>
    <col min="3" max="3" width="13.5546875" style="174" customWidth="1"/>
    <col min="4" max="4" width="13.88671875" style="174" customWidth="1"/>
    <col min="5" max="5" width="16.44140625" style="174" customWidth="1"/>
    <col min="6" max="6" width="14.109375" style="174" customWidth="1"/>
    <col min="7" max="7" width="17.109375" style="174" customWidth="1"/>
    <col min="8" max="8" width="4.5546875" style="174" customWidth="1"/>
    <col min="9" max="9" width="38.88671875" style="177" hidden="1" customWidth="1"/>
    <col min="10" max="10" width="13.5546875" style="174" hidden="1" customWidth="1"/>
    <col min="11" max="11" width="13.88671875" style="174" hidden="1" customWidth="1"/>
    <col min="12" max="12" width="16.44140625" style="174" hidden="1" customWidth="1"/>
    <col min="13" max="13" width="14.109375" style="174" hidden="1" customWidth="1"/>
    <col min="14" max="14" width="17.109375" style="174" hidden="1" customWidth="1"/>
    <col min="15" max="15" width="4.5546875" style="174" hidden="1" customWidth="1"/>
    <col min="16" max="16" width="38.88671875" style="177" hidden="1" customWidth="1"/>
    <col min="17" max="17" width="13.5546875" style="174" hidden="1" customWidth="1"/>
    <col min="18" max="18" width="13.88671875" style="174" hidden="1" customWidth="1"/>
    <col min="19" max="19" width="16.44140625" style="174" hidden="1" customWidth="1"/>
    <col min="20" max="20" width="14.109375" style="174" hidden="1" customWidth="1"/>
    <col min="21" max="21" width="17.109375" style="174" hidden="1" customWidth="1"/>
    <col min="22" max="22" width="4.5546875" style="174" hidden="1" customWidth="1"/>
    <col min="23" max="23" width="55.44140625" style="174" hidden="1" customWidth="1"/>
    <col min="24" max="24" width="14.5546875" style="174" hidden="1" customWidth="1"/>
    <col min="25" max="27" width="17.109375" style="174" hidden="1" customWidth="1"/>
    <col min="28" max="28" width="17.109375" style="201" hidden="1" customWidth="1"/>
    <col min="29" max="29" width="9.109375" style="177" hidden="1" customWidth="1"/>
    <col min="30" max="30" width="12" style="177" hidden="1" customWidth="1"/>
    <col min="31" max="32" width="0" style="177" hidden="1" customWidth="1"/>
    <col min="33" max="16384" width="9.109375" style="177"/>
  </cols>
  <sheetData>
    <row r="1" spans="2:31" s="171" customFormat="1" ht="21">
      <c r="B1" s="163" t="s">
        <v>261</v>
      </c>
      <c r="C1" s="164"/>
      <c r="D1" s="165"/>
      <c r="E1" s="165"/>
      <c r="F1" s="165"/>
      <c r="G1" s="165"/>
      <c r="H1" s="166"/>
      <c r="I1" s="163" t="s">
        <v>262</v>
      </c>
      <c r="J1" s="164"/>
      <c r="K1" s="165"/>
      <c r="L1" s="165"/>
      <c r="M1" s="165"/>
      <c r="N1" s="165"/>
      <c r="O1" s="166"/>
      <c r="P1" s="167" t="s">
        <v>263</v>
      </c>
      <c r="Q1" s="164"/>
      <c r="R1" s="165"/>
      <c r="S1" s="165"/>
      <c r="T1" s="165"/>
      <c r="U1" s="165"/>
      <c r="V1" s="166"/>
      <c r="W1" s="168" t="s">
        <v>264</v>
      </c>
      <c r="X1" s="169"/>
      <c r="Y1" s="169"/>
      <c r="Z1" s="169"/>
      <c r="AA1" s="169"/>
      <c r="AB1" s="170"/>
    </row>
    <row r="2" spans="2:31" ht="15.6">
      <c r="B2" s="172"/>
      <c r="C2" s="173"/>
      <c r="D2" s="173"/>
      <c r="E2" s="173"/>
      <c r="F2" s="173"/>
      <c r="G2" s="173"/>
      <c r="I2" s="172"/>
      <c r="J2" s="173"/>
      <c r="K2" s="173"/>
      <c r="L2" s="173"/>
      <c r="M2" s="173"/>
      <c r="N2" s="173"/>
      <c r="P2" s="172"/>
      <c r="Q2" s="173"/>
      <c r="R2" s="173"/>
      <c r="S2" s="173"/>
      <c r="T2" s="173"/>
      <c r="U2" s="173"/>
      <c r="W2" s="175"/>
      <c r="X2" s="175"/>
      <c r="Y2" s="175"/>
      <c r="Z2" s="175"/>
      <c r="AA2" s="175"/>
      <c r="AB2" s="176"/>
    </row>
    <row r="3" spans="2:31" ht="15.6">
      <c r="B3" s="178" t="s">
        <v>81</v>
      </c>
      <c r="C3" s="179"/>
      <c r="D3" s="179"/>
      <c r="E3" s="179"/>
      <c r="F3" s="179"/>
      <c r="G3" s="180"/>
      <c r="I3" s="178" t="s">
        <v>81</v>
      </c>
      <c r="J3" s="179"/>
      <c r="K3" s="179"/>
      <c r="L3" s="179"/>
      <c r="M3" s="179"/>
      <c r="N3" s="180"/>
      <c r="P3" s="178" t="s">
        <v>81</v>
      </c>
      <c r="Q3" s="179"/>
      <c r="R3" s="179"/>
      <c r="S3" s="179"/>
      <c r="T3" s="179"/>
      <c r="U3" s="180"/>
      <c r="W3" s="181" t="s">
        <v>81</v>
      </c>
      <c r="X3" s="182"/>
      <c r="Y3" s="182"/>
      <c r="Z3" s="182"/>
      <c r="AA3" s="182"/>
      <c r="AB3" s="183"/>
    </row>
    <row r="4" spans="2:31" s="174" customFormat="1" ht="39" customHeight="1">
      <c r="B4" s="184" t="s">
        <v>82</v>
      </c>
      <c r="C4" s="184" t="s">
        <v>83</v>
      </c>
      <c r="D4" s="184" t="s">
        <v>84</v>
      </c>
      <c r="E4" s="184" t="s">
        <v>85</v>
      </c>
      <c r="F4" s="184" t="s">
        <v>86</v>
      </c>
      <c r="G4" s="184" t="s">
        <v>87</v>
      </c>
      <c r="I4" s="184" t="s">
        <v>82</v>
      </c>
      <c r="J4" s="184" t="s">
        <v>83</v>
      </c>
      <c r="K4" s="184" t="s">
        <v>84</v>
      </c>
      <c r="L4" s="184" t="s">
        <v>85</v>
      </c>
      <c r="M4" s="184" t="s">
        <v>86</v>
      </c>
      <c r="N4" s="184" t="s">
        <v>87</v>
      </c>
      <c r="P4" s="184" t="s">
        <v>82</v>
      </c>
      <c r="Q4" s="184" t="s">
        <v>83</v>
      </c>
      <c r="R4" s="184" t="s">
        <v>84</v>
      </c>
      <c r="S4" s="184" t="s">
        <v>85</v>
      </c>
      <c r="T4" s="184" t="s">
        <v>86</v>
      </c>
      <c r="U4" s="184" t="s">
        <v>87</v>
      </c>
      <c r="W4" s="184" t="s">
        <v>82</v>
      </c>
      <c r="X4" s="184" t="s">
        <v>83</v>
      </c>
      <c r="Y4" s="184" t="s">
        <v>84</v>
      </c>
      <c r="Z4" s="184" t="s">
        <v>85</v>
      </c>
      <c r="AA4" s="184" t="s">
        <v>86</v>
      </c>
      <c r="AB4" s="184" t="s">
        <v>87</v>
      </c>
    </row>
    <row r="5" spans="2:31" ht="30.75" customHeight="1">
      <c r="B5" s="337" t="s">
        <v>88</v>
      </c>
      <c r="C5" s="187">
        <f>COUNTIF('1. All Data'!$H$3:$H$131,"Fully Achieved")</f>
        <v>14</v>
      </c>
      <c r="D5" s="188">
        <f>C5/C16</f>
        <v>0.10852713178294573</v>
      </c>
      <c r="E5" s="375">
        <f>D5+D6</f>
        <v>0.68217054263565891</v>
      </c>
      <c r="F5" s="188">
        <f>C5/C17</f>
        <v>0.15384615384615385</v>
      </c>
      <c r="G5" s="392">
        <f>F5+F6</f>
        <v>0.96703296703296704</v>
      </c>
      <c r="I5" s="337" t="s">
        <v>88</v>
      </c>
      <c r="J5" s="187">
        <f>COUNTIF('1. All Data'!$M$3:$M$131,"Fully Achieved")</f>
        <v>0</v>
      </c>
      <c r="K5" s="188" t="e">
        <f>J5/J16</f>
        <v>#DIV/0!</v>
      </c>
      <c r="L5" s="375" t="e">
        <f>K5+K6</f>
        <v>#DIV/0!</v>
      </c>
      <c r="M5" s="188" t="e">
        <f>J5/J17</f>
        <v>#DIV/0!</v>
      </c>
      <c r="N5" s="392" t="e">
        <f>M5+M6</f>
        <v>#DIV/0!</v>
      </c>
      <c r="P5" s="337" t="s">
        <v>88</v>
      </c>
      <c r="Q5" s="187">
        <f>COUNTIF('1. All Data'!$R$3:$R$131,"Fully Achieved")</f>
        <v>0</v>
      </c>
      <c r="R5" s="188" t="e">
        <f>Q5/Q16</f>
        <v>#DIV/0!</v>
      </c>
      <c r="S5" s="375" t="e">
        <f>R5+R6</f>
        <v>#DIV/0!</v>
      </c>
      <c r="T5" s="188" t="e">
        <f>Q5/Q17</f>
        <v>#DIV/0!</v>
      </c>
      <c r="U5" s="392" t="e">
        <f>T5+T6</f>
        <v>#DIV/0!</v>
      </c>
      <c r="W5" s="337" t="s">
        <v>88</v>
      </c>
      <c r="X5" s="187">
        <f>COUNTIF('1. All Data'!$V$3:$V$131,"Fully Achieved")</f>
        <v>0</v>
      </c>
      <c r="Y5" s="188" t="e">
        <f t="shared" ref="Y5:Y15" si="0">X5/$X$16</f>
        <v>#DIV/0!</v>
      </c>
      <c r="Z5" s="375" t="e">
        <f>SUM(Y5:Y6)</f>
        <v>#DIV/0!</v>
      </c>
      <c r="AA5" s="188" t="e">
        <f t="shared" ref="AA5:AA11" si="1">X5/$X$17</f>
        <v>#DIV/0!</v>
      </c>
      <c r="AB5" s="392" t="e">
        <f>AA5+AA6</f>
        <v>#DIV/0!</v>
      </c>
      <c r="AD5" s="392" t="e">
        <f>AB5</f>
        <v>#DIV/0!</v>
      </c>
    </row>
    <row r="6" spans="2:31" ht="30.75" customHeight="1">
      <c r="B6" s="337" t="s">
        <v>65</v>
      </c>
      <c r="C6" s="187">
        <f>COUNTIF('1. All Data'!$H$3:$H$131,"On Track to be Achieved")</f>
        <v>74</v>
      </c>
      <c r="D6" s="188">
        <f>C6/C16</f>
        <v>0.5736434108527132</v>
      </c>
      <c r="E6" s="375"/>
      <c r="F6" s="188">
        <f>C6/C17</f>
        <v>0.81318681318681318</v>
      </c>
      <c r="G6" s="392"/>
      <c r="I6" s="337" t="s">
        <v>65</v>
      </c>
      <c r="J6" s="187">
        <f>COUNTIF('1. All Data'!$M$3:$M$131,"On Track to be Achieved")</f>
        <v>0</v>
      </c>
      <c r="K6" s="188" t="e">
        <f>J6/J16</f>
        <v>#DIV/0!</v>
      </c>
      <c r="L6" s="375"/>
      <c r="M6" s="188" t="e">
        <f>J6/J17</f>
        <v>#DIV/0!</v>
      </c>
      <c r="N6" s="392"/>
      <c r="P6" s="337" t="s">
        <v>65</v>
      </c>
      <c r="Q6" s="187">
        <f>COUNTIF('1. All Data'!$R$3:$R$131,"On Track to be Achieved")</f>
        <v>0</v>
      </c>
      <c r="R6" s="188" t="e">
        <f>Q6/Q16</f>
        <v>#DIV/0!</v>
      </c>
      <c r="S6" s="375"/>
      <c r="T6" s="188" t="e">
        <f>Q6/Q17</f>
        <v>#DIV/0!</v>
      </c>
      <c r="U6" s="392"/>
      <c r="W6" s="337" t="s">
        <v>57</v>
      </c>
      <c r="X6" s="187">
        <f>COUNTIF('1. All Data'!$V$3:$V$131,"Numerical Outturn Within 5% Tolerance")</f>
        <v>0</v>
      </c>
      <c r="Y6" s="188" t="e">
        <f t="shared" si="0"/>
        <v>#DIV/0!</v>
      </c>
      <c r="Z6" s="375"/>
      <c r="AA6" s="188" t="e">
        <f t="shared" si="1"/>
        <v>#DIV/0!</v>
      </c>
      <c r="AB6" s="392"/>
      <c r="AD6" s="392"/>
    </row>
    <row r="7" spans="2:31" ht="18.75" customHeight="1">
      <c r="B7" s="378" t="s">
        <v>66</v>
      </c>
      <c r="C7" s="381">
        <f>COUNTIF('1. All Data'!$H$3:$H$131,"In Danger of Falling Behind Target")</f>
        <v>3</v>
      </c>
      <c r="D7" s="384">
        <f>C7/C16</f>
        <v>2.3255813953488372E-2</v>
      </c>
      <c r="E7" s="384">
        <f>D7</f>
        <v>2.3255813953488372E-2</v>
      </c>
      <c r="F7" s="384">
        <f>C7/C17</f>
        <v>3.2967032967032968E-2</v>
      </c>
      <c r="G7" s="387">
        <f>F7</f>
        <v>3.2967032967032968E-2</v>
      </c>
      <c r="I7" s="378" t="s">
        <v>66</v>
      </c>
      <c r="J7" s="381">
        <f>COUNTIF('1. All Data'!$M$3:$M$133,"In Danger of Falling Behind Target")</f>
        <v>0</v>
      </c>
      <c r="K7" s="384" t="e">
        <f>J7/J16</f>
        <v>#DIV/0!</v>
      </c>
      <c r="L7" s="384" t="e">
        <f>K7</f>
        <v>#DIV/0!</v>
      </c>
      <c r="M7" s="384" t="e">
        <f>J7/J17</f>
        <v>#DIV/0!</v>
      </c>
      <c r="N7" s="387" t="e">
        <f>M7</f>
        <v>#DIV/0!</v>
      </c>
      <c r="P7" s="378" t="s">
        <v>66</v>
      </c>
      <c r="Q7" s="381">
        <f>COUNTIF('1. All Data'!$R$3:$R$131,"In Danger of Falling Behind Target")</f>
        <v>0</v>
      </c>
      <c r="R7" s="384" t="e">
        <f>Q7/Q16</f>
        <v>#DIV/0!</v>
      </c>
      <c r="S7" s="384" t="e">
        <f>R7</f>
        <v>#DIV/0!</v>
      </c>
      <c r="T7" s="384" t="e">
        <f>Q7/Q17</f>
        <v>#DIV/0!</v>
      </c>
      <c r="U7" s="387" t="e">
        <f>T7</f>
        <v>#DIV/0!</v>
      </c>
      <c r="W7" s="189" t="s">
        <v>58</v>
      </c>
      <c r="X7" s="190">
        <f>COUNTIF('1. All Data'!$V$3:$V$131,"Numerical Outturn Within 10% Tolerance")</f>
        <v>0</v>
      </c>
      <c r="Y7" s="188" t="e">
        <f t="shared" si="0"/>
        <v>#DIV/0!</v>
      </c>
      <c r="Z7" s="375" t="e">
        <f>SUM(Y7:Y9)</f>
        <v>#DIV/0!</v>
      </c>
      <c r="AA7" s="188" t="e">
        <f t="shared" si="1"/>
        <v>#DIV/0!</v>
      </c>
      <c r="AB7" s="376" t="e">
        <f>SUM(AA7:AA9)</f>
        <v>#DIV/0!</v>
      </c>
      <c r="AD7" s="393" t="e">
        <f>SUM(AB7:AB11)</f>
        <v>#DIV/0!</v>
      </c>
    </row>
    <row r="8" spans="2:31" ht="19.5" customHeight="1">
      <c r="B8" s="379"/>
      <c r="C8" s="382"/>
      <c r="D8" s="385"/>
      <c r="E8" s="385"/>
      <c r="F8" s="385"/>
      <c r="G8" s="388"/>
      <c r="I8" s="379"/>
      <c r="J8" s="382"/>
      <c r="K8" s="385"/>
      <c r="L8" s="385"/>
      <c r="M8" s="385"/>
      <c r="N8" s="388"/>
      <c r="P8" s="379"/>
      <c r="Q8" s="382"/>
      <c r="R8" s="385"/>
      <c r="S8" s="385"/>
      <c r="T8" s="385"/>
      <c r="U8" s="388"/>
      <c r="W8" s="189" t="s">
        <v>59</v>
      </c>
      <c r="X8" s="190">
        <f>COUNTIF('1. All Data'!$V$3:$V$131,"Target Partially Met")</f>
        <v>0</v>
      </c>
      <c r="Y8" s="188" t="e">
        <f t="shared" si="0"/>
        <v>#DIV/0!</v>
      </c>
      <c r="Z8" s="375"/>
      <c r="AA8" s="188" t="e">
        <f t="shared" si="1"/>
        <v>#DIV/0!</v>
      </c>
      <c r="AB8" s="376"/>
      <c r="AD8" s="394"/>
    </row>
    <row r="9" spans="2:31" ht="19.5" customHeight="1">
      <c r="B9" s="380"/>
      <c r="C9" s="383"/>
      <c r="D9" s="386"/>
      <c r="E9" s="386"/>
      <c r="F9" s="386"/>
      <c r="G9" s="389"/>
      <c r="I9" s="380"/>
      <c r="J9" s="383"/>
      <c r="K9" s="386"/>
      <c r="L9" s="386"/>
      <c r="M9" s="386"/>
      <c r="N9" s="389"/>
      <c r="P9" s="380"/>
      <c r="Q9" s="383"/>
      <c r="R9" s="386"/>
      <c r="S9" s="386"/>
      <c r="T9" s="386"/>
      <c r="U9" s="389"/>
      <c r="W9" s="189" t="s">
        <v>62</v>
      </c>
      <c r="X9" s="190">
        <f>COUNTIF('1. All Data'!$V$3:$V$131,"Completion Date Within Reasonable Tolerance")</f>
        <v>0</v>
      </c>
      <c r="Y9" s="188" t="e">
        <f t="shared" si="0"/>
        <v>#DIV/0!</v>
      </c>
      <c r="Z9" s="375"/>
      <c r="AA9" s="188" t="e">
        <f t="shared" si="1"/>
        <v>#DIV/0!</v>
      </c>
      <c r="AB9" s="376"/>
      <c r="AD9" s="394"/>
    </row>
    <row r="10" spans="2:31" ht="29.25" customHeight="1">
      <c r="B10" s="191" t="s">
        <v>67</v>
      </c>
      <c r="C10" s="187">
        <f>COUNTIF('1. All Data'!H3:H131,"completed behind schedule")</f>
        <v>0</v>
      </c>
      <c r="D10" s="188">
        <f>C10/C16</f>
        <v>0</v>
      </c>
      <c r="E10" s="375">
        <f>D10+D11</f>
        <v>0</v>
      </c>
      <c r="F10" s="188">
        <f>C10/C17</f>
        <v>0</v>
      </c>
      <c r="G10" s="377">
        <f>F10+F11</f>
        <v>0</v>
      </c>
      <c r="I10" s="191" t="s">
        <v>67</v>
      </c>
      <c r="J10" s="187">
        <f>COUNTIF('1. All Data'!M3:M115,"Completed Behind Schedule")</f>
        <v>0</v>
      </c>
      <c r="K10" s="188" t="e">
        <f>J10/J16</f>
        <v>#DIV/0!</v>
      </c>
      <c r="L10" s="375" t="e">
        <f>K10+K11</f>
        <v>#DIV/0!</v>
      </c>
      <c r="M10" s="188" t="e">
        <f>J10/J17</f>
        <v>#DIV/0!</v>
      </c>
      <c r="N10" s="377" t="e">
        <f>M10+M11</f>
        <v>#DIV/0!</v>
      </c>
      <c r="P10" s="191" t="s">
        <v>67</v>
      </c>
      <c r="Q10" s="187">
        <f>COUNTIF('1. All Data'!R3:R115,"completed behind schedule")</f>
        <v>0</v>
      </c>
      <c r="R10" s="188" t="e">
        <f>Q10/Q16</f>
        <v>#DIV/0!</v>
      </c>
      <c r="S10" s="375" t="e">
        <f>R10+R11</f>
        <v>#DIV/0!</v>
      </c>
      <c r="T10" s="188" t="e">
        <f>Q10/Q17</f>
        <v>#DIV/0!</v>
      </c>
      <c r="U10" s="377" t="e">
        <f>T10+T11</f>
        <v>#DIV/0!</v>
      </c>
      <c r="W10" s="191" t="s">
        <v>61</v>
      </c>
      <c r="X10" s="187">
        <f>COUNTIF('1. All Data'!V3:V115,"Completed Significantly After Target Deadline")</f>
        <v>0</v>
      </c>
      <c r="Y10" s="188" t="e">
        <f t="shared" si="0"/>
        <v>#DIV/0!</v>
      </c>
      <c r="Z10" s="375" t="e">
        <f>SUM(Y10:Y11)</f>
        <v>#DIV/0!</v>
      </c>
      <c r="AA10" s="188" t="e">
        <f t="shared" si="1"/>
        <v>#DIV/0!</v>
      </c>
      <c r="AB10" s="377" t="e">
        <f>SUM(AA10:AA11)</f>
        <v>#DIV/0!</v>
      </c>
      <c r="AD10" s="394"/>
    </row>
    <row r="11" spans="2:31" ht="29.25" customHeight="1">
      <c r="B11" s="191" t="s">
        <v>60</v>
      </c>
      <c r="C11" s="187">
        <f>COUNTIF('1. All Data'!H3:H131,"off target")</f>
        <v>0</v>
      </c>
      <c r="D11" s="188">
        <f>C11/C16</f>
        <v>0</v>
      </c>
      <c r="E11" s="375"/>
      <c r="F11" s="188">
        <f>C11/C17</f>
        <v>0</v>
      </c>
      <c r="G11" s="377"/>
      <c r="I11" s="191" t="s">
        <v>60</v>
      </c>
      <c r="J11" s="187">
        <f>COUNTIF('1. All Data'!M3:M115,"Off Target")</f>
        <v>0</v>
      </c>
      <c r="K11" s="188" t="e">
        <f>J11/J16</f>
        <v>#DIV/0!</v>
      </c>
      <c r="L11" s="375"/>
      <c r="M11" s="188" t="e">
        <f>J11/J17</f>
        <v>#DIV/0!</v>
      </c>
      <c r="N11" s="377"/>
      <c r="P11" s="191" t="s">
        <v>60</v>
      </c>
      <c r="Q11" s="187">
        <f>COUNTIF('1. All Data'!R3:R115,"off target")</f>
        <v>0</v>
      </c>
      <c r="R11" s="188" t="e">
        <f>Q11/Q16</f>
        <v>#DIV/0!</v>
      </c>
      <c r="S11" s="375"/>
      <c r="T11" s="188" t="e">
        <f>Q11/Q17</f>
        <v>#DIV/0!</v>
      </c>
      <c r="U11" s="377"/>
      <c r="W11" s="191" t="s">
        <v>60</v>
      </c>
      <c r="X11" s="187">
        <f>COUNTIF('1. All Data'!V3:V115,"off target")</f>
        <v>0</v>
      </c>
      <c r="Y11" s="188" t="e">
        <f t="shared" si="0"/>
        <v>#DIV/0!</v>
      </c>
      <c r="Z11" s="375"/>
      <c r="AA11" s="188" t="e">
        <f t="shared" si="1"/>
        <v>#DIV/0!</v>
      </c>
      <c r="AB11" s="377"/>
      <c r="AD11" s="394"/>
    </row>
    <row r="12" spans="2:31" ht="20.25" customHeight="1">
      <c r="B12" s="192" t="s">
        <v>89</v>
      </c>
      <c r="C12" s="187">
        <f>COUNTIF('1. All Data'!H3:H131,"not yet due")</f>
        <v>37</v>
      </c>
      <c r="D12" s="193">
        <f>C12/C16</f>
        <v>0.2868217054263566</v>
      </c>
      <c r="E12" s="193">
        <f>D12</f>
        <v>0.2868217054263566</v>
      </c>
      <c r="F12" s="194"/>
      <c r="G12" s="65"/>
      <c r="I12" s="192" t="s">
        <v>89</v>
      </c>
      <c r="J12" s="187">
        <f>COUNTIF('1. All Data'!M3:M115,"not yet due")</f>
        <v>0</v>
      </c>
      <c r="K12" s="193" t="e">
        <f>J12/J16</f>
        <v>#DIV/0!</v>
      </c>
      <c r="L12" s="193" t="e">
        <f>K12</f>
        <v>#DIV/0!</v>
      </c>
      <c r="M12" s="194"/>
      <c r="N12" s="65"/>
      <c r="P12" s="192" t="s">
        <v>89</v>
      </c>
      <c r="Q12" s="187">
        <f>COUNTIF('1. All Data'!R3:R115,"not yet due")</f>
        <v>0</v>
      </c>
      <c r="R12" s="193" t="e">
        <f>Q12/Q16</f>
        <v>#DIV/0!</v>
      </c>
      <c r="S12" s="193" t="e">
        <f>R12</f>
        <v>#DIV/0!</v>
      </c>
      <c r="T12" s="194"/>
      <c r="U12" s="65"/>
      <c r="W12" s="192" t="s">
        <v>89</v>
      </c>
      <c r="X12" s="187">
        <f>COUNTIF('1. All Data'!V3:V115,"not yet due")</f>
        <v>0</v>
      </c>
      <c r="Y12" s="188" t="e">
        <f t="shared" si="0"/>
        <v>#DIV/0!</v>
      </c>
      <c r="Z12" s="193" t="e">
        <f>Y12</f>
        <v>#DIV/0!</v>
      </c>
      <c r="AA12" s="194"/>
      <c r="AB12" s="65"/>
    </row>
    <row r="13" spans="2:31" ht="20.25" customHeight="1">
      <c r="B13" s="192" t="s">
        <v>55</v>
      </c>
      <c r="C13" s="187">
        <f>COUNTIF('1. All Data'!H3:H131,"update not provided")</f>
        <v>0</v>
      </c>
      <c r="D13" s="193">
        <f>C13/C16</f>
        <v>0</v>
      </c>
      <c r="E13" s="193">
        <f>D13</f>
        <v>0</v>
      </c>
      <c r="F13" s="194"/>
      <c r="G13" s="8"/>
      <c r="I13" s="192" t="s">
        <v>55</v>
      </c>
      <c r="J13" s="187">
        <f>COUNTIF('1. All Data'!M3:M115,"update not provided")</f>
        <v>0</v>
      </c>
      <c r="K13" s="193" t="e">
        <f>J13/J16</f>
        <v>#DIV/0!</v>
      </c>
      <c r="L13" s="193" t="e">
        <f>K13</f>
        <v>#DIV/0!</v>
      </c>
      <c r="M13" s="194"/>
      <c r="N13" s="8"/>
      <c r="P13" s="192" t="s">
        <v>55</v>
      </c>
      <c r="Q13" s="187">
        <f>COUNTIF('1. All Data'!R3:R115,"update not provided")</f>
        <v>0</v>
      </c>
      <c r="R13" s="193" t="e">
        <f>Q13/Q16</f>
        <v>#DIV/0!</v>
      </c>
      <c r="S13" s="193" t="e">
        <f>R13</f>
        <v>#DIV/0!</v>
      </c>
      <c r="T13" s="194"/>
      <c r="U13" s="8"/>
      <c r="W13" s="192" t="s">
        <v>55</v>
      </c>
      <c r="X13" s="187">
        <f>COUNTIF('1. All Data'!V3:V115,"update not provided")</f>
        <v>0</v>
      </c>
      <c r="Y13" s="188" t="e">
        <f t="shared" si="0"/>
        <v>#DIV/0!</v>
      </c>
      <c r="Z13" s="193" t="e">
        <f>Y13</f>
        <v>#DIV/0!</v>
      </c>
      <c r="AA13" s="194"/>
      <c r="AB13" s="8"/>
    </row>
    <row r="14" spans="2:31" ht="15.75" customHeight="1">
      <c r="B14" s="195" t="s">
        <v>63</v>
      </c>
      <c r="C14" s="187">
        <f>COUNTIF('1. All Data'!H3:H131,"deferred")</f>
        <v>1</v>
      </c>
      <c r="D14" s="196">
        <f>C14/C16</f>
        <v>7.7519379844961239E-3</v>
      </c>
      <c r="E14" s="196">
        <f>D14</f>
        <v>7.7519379844961239E-3</v>
      </c>
      <c r="F14" s="197"/>
      <c r="G14" s="65"/>
      <c r="I14" s="195" t="s">
        <v>63</v>
      </c>
      <c r="J14" s="187">
        <f>COUNTIF('1. All Data'!M3:M115,"deferred")</f>
        <v>0</v>
      </c>
      <c r="K14" s="196" t="e">
        <f>J14/J16</f>
        <v>#DIV/0!</v>
      </c>
      <c r="L14" s="196" t="e">
        <f>K14</f>
        <v>#DIV/0!</v>
      </c>
      <c r="M14" s="197"/>
      <c r="N14" s="65"/>
      <c r="P14" s="195" t="s">
        <v>63</v>
      </c>
      <c r="Q14" s="187">
        <f>COUNTIF('1. All Data'!R3:R115,"deferred")</f>
        <v>0</v>
      </c>
      <c r="R14" s="196" t="e">
        <f>Q14/Q16</f>
        <v>#DIV/0!</v>
      </c>
      <c r="S14" s="196" t="e">
        <f>R14</f>
        <v>#DIV/0!</v>
      </c>
      <c r="T14" s="197"/>
      <c r="U14" s="65"/>
      <c r="W14" s="195" t="s">
        <v>63</v>
      </c>
      <c r="X14" s="187">
        <f>COUNTIF('1. All Data'!V3:V115,"deferred")</f>
        <v>0</v>
      </c>
      <c r="Y14" s="188" t="e">
        <f t="shared" si="0"/>
        <v>#DIV/0!</v>
      </c>
      <c r="Z14" s="193" t="e">
        <f>Y14</f>
        <v>#DIV/0!</v>
      </c>
      <c r="AA14" s="197"/>
      <c r="AB14" s="65"/>
    </row>
    <row r="15" spans="2:31" ht="15.75" customHeight="1">
      <c r="B15" s="195" t="s">
        <v>64</v>
      </c>
      <c r="C15" s="187">
        <f>COUNTIF('1. All Data'!H3:H131,"deleted")</f>
        <v>0</v>
      </c>
      <c r="D15" s="196">
        <f>C15/C16</f>
        <v>0</v>
      </c>
      <c r="E15" s="196">
        <f>D15</f>
        <v>0</v>
      </c>
      <c r="F15" s="197"/>
      <c r="G15" s="9"/>
      <c r="I15" s="195" t="s">
        <v>64</v>
      </c>
      <c r="J15" s="187">
        <f>COUNTIF('1. All Data'!M3:M115,"deleted")</f>
        <v>0</v>
      </c>
      <c r="K15" s="196" t="e">
        <f>J15/J16</f>
        <v>#DIV/0!</v>
      </c>
      <c r="L15" s="196" t="e">
        <f>K15</f>
        <v>#DIV/0!</v>
      </c>
      <c r="M15" s="197"/>
      <c r="P15" s="195" t="s">
        <v>64</v>
      </c>
      <c r="Q15" s="187">
        <f>COUNTIF('1. All Data'!R3:R115,"deleted")</f>
        <v>0</v>
      </c>
      <c r="R15" s="196" t="e">
        <f>Q15/Q16</f>
        <v>#DIV/0!</v>
      </c>
      <c r="S15" s="196" t="e">
        <f>R15</f>
        <v>#DIV/0!</v>
      </c>
      <c r="T15" s="197"/>
      <c r="U15" s="9"/>
      <c r="W15" s="195" t="s">
        <v>64</v>
      </c>
      <c r="X15" s="187">
        <f>COUNTIF('1. All Data'!V3:V115,"deleted")</f>
        <v>0</v>
      </c>
      <c r="Y15" s="188" t="e">
        <f t="shared" si="0"/>
        <v>#DIV/0!</v>
      </c>
      <c r="Z15" s="193" t="e">
        <f t="shared" ref="Z15" si="2">Y15</f>
        <v>#DIV/0!</v>
      </c>
      <c r="AA15" s="197"/>
      <c r="AB15" s="9"/>
      <c r="AE15" s="9"/>
    </row>
    <row r="16" spans="2:31" ht="15.75" customHeight="1">
      <c r="B16" s="198" t="s">
        <v>91</v>
      </c>
      <c r="C16" s="199">
        <f>SUM(C5:C15)</f>
        <v>129</v>
      </c>
      <c r="D16" s="197"/>
      <c r="E16" s="197"/>
      <c r="F16" s="65"/>
      <c r="G16" s="65"/>
      <c r="I16" s="198" t="s">
        <v>91</v>
      </c>
      <c r="J16" s="199">
        <f>SUM(J5:J15)</f>
        <v>0</v>
      </c>
      <c r="K16" s="197"/>
      <c r="L16" s="197"/>
      <c r="M16" s="65"/>
      <c r="N16" s="65"/>
      <c r="P16" s="198" t="s">
        <v>91</v>
      </c>
      <c r="Q16" s="199">
        <f>SUM(Q5:Q15)</f>
        <v>0</v>
      </c>
      <c r="R16" s="197"/>
      <c r="S16" s="197"/>
      <c r="T16" s="65"/>
      <c r="U16" s="65"/>
      <c r="W16" s="198" t="s">
        <v>91</v>
      </c>
      <c r="X16" s="199">
        <f>SUM(X5:X15)</f>
        <v>0</v>
      </c>
      <c r="Y16" s="197"/>
      <c r="Z16" s="197"/>
      <c r="AA16" s="65"/>
      <c r="AB16" s="65"/>
    </row>
    <row r="17" spans="2:28" ht="15.75" customHeight="1">
      <c r="B17" s="198" t="s">
        <v>92</v>
      </c>
      <c r="C17" s="199">
        <f>C16-C15-C14-C13-C12</f>
        <v>91</v>
      </c>
      <c r="D17" s="65"/>
      <c r="E17" s="65"/>
      <c r="F17" s="65"/>
      <c r="G17" s="65"/>
      <c r="I17" s="198" t="s">
        <v>92</v>
      </c>
      <c r="J17" s="199">
        <f>J16-J15-J14-J13-J12</f>
        <v>0</v>
      </c>
      <c r="K17" s="65"/>
      <c r="L17" s="65"/>
      <c r="M17" s="65"/>
      <c r="N17" s="65"/>
      <c r="P17" s="198" t="s">
        <v>92</v>
      </c>
      <c r="Q17" s="199">
        <f>Q16-Q15-Q14-Q13-Q12</f>
        <v>0</v>
      </c>
      <c r="R17" s="65"/>
      <c r="S17" s="65"/>
      <c r="T17" s="65"/>
      <c r="U17" s="65"/>
      <c r="W17" s="198" t="s">
        <v>92</v>
      </c>
      <c r="X17" s="199">
        <f>X16-X15-X14-X13-X12</f>
        <v>0</v>
      </c>
      <c r="Y17" s="65"/>
      <c r="Z17" s="65"/>
      <c r="AA17" s="65"/>
      <c r="AB17" s="65"/>
    </row>
    <row r="18" spans="2:28" ht="15.75" customHeight="1">
      <c r="W18" s="200"/>
      <c r="AA18" s="8"/>
    </row>
    <row r="19" spans="2:28" ht="15.75" customHeight="1">
      <c r="AA19" s="8"/>
    </row>
    <row r="20" spans="2:28" ht="15" customHeight="1">
      <c r="AA20" s="8"/>
    </row>
    <row r="21" spans="2:28" ht="19.5" customHeight="1">
      <c r="B21" s="202" t="s">
        <v>240</v>
      </c>
      <c r="C21" s="203"/>
      <c r="D21" s="203"/>
      <c r="E21" s="203"/>
      <c r="F21" s="179"/>
      <c r="G21" s="204"/>
      <c r="I21" s="202" t="s">
        <v>240</v>
      </c>
      <c r="J21" s="203"/>
      <c r="K21" s="203"/>
      <c r="L21" s="203"/>
      <c r="M21" s="179"/>
      <c r="N21" s="204"/>
      <c r="P21" s="202" t="s">
        <v>240</v>
      </c>
      <c r="Q21" s="203"/>
      <c r="R21" s="203"/>
      <c r="S21" s="203"/>
      <c r="T21" s="179"/>
      <c r="U21" s="204"/>
      <c r="W21" s="205" t="s">
        <v>135</v>
      </c>
      <c r="X21" s="182"/>
      <c r="Y21" s="182"/>
      <c r="Z21" s="182"/>
      <c r="AA21" s="182"/>
      <c r="AB21" s="183"/>
    </row>
    <row r="22" spans="2:28" ht="42" customHeight="1">
      <c r="B22" s="184" t="s">
        <v>82</v>
      </c>
      <c r="C22" s="184" t="s">
        <v>83</v>
      </c>
      <c r="D22" s="184" t="s">
        <v>84</v>
      </c>
      <c r="E22" s="184" t="s">
        <v>85</v>
      </c>
      <c r="F22" s="184" t="s">
        <v>86</v>
      </c>
      <c r="G22" s="184" t="s">
        <v>87</v>
      </c>
      <c r="I22" s="184" t="s">
        <v>82</v>
      </c>
      <c r="J22" s="184" t="s">
        <v>83</v>
      </c>
      <c r="K22" s="184" t="s">
        <v>84</v>
      </c>
      <c r="L22" s="184" t="s">
        <v>85</v>
      </c>
      <c r="M22" s="184" t="s">
        <v>86</v>
      </c>
      <c r="N22" s="184" t="s">
        <v>87</v>
      </c>
      <c r="P22" s="184" t="s">
        <v>82</v>
      </c>
      <c r="Q22" s="184" t="s">
        <v>83</v>
      </c>
      <c r="R22" s="184" t="s">
        <v>84</v>
      </c>
      <c r="S22" s="184" t="s">
        <v>85</v>
      </c>
      <c r="T22" s="184" t="s">
        <v>86</v>
      </c>
      <c r="U22" s="184" t="s">
        <v>87</v>
      </c>
      <c r="W22" s="184" t="s">
        <v>82</v>
      </c>
      <c r="X22" s="184" t="s">
        <v>83</v>
      </c>
      <c r="Y22" s="184" t="s">
        <v>84</v>
      </c>
      <c r="Z22" s="184" t="s">
        <v>85</v>
      </c>
      <c r="AA22" s="184" t="s">
        <v>86</v>
      </c>
      <c r="AB22" s="184" t="s">
        <v>87</v>
      </c>
    </row>
    <row r="23" spans="2:28" ht="21.75" customHeight="1">
      <c r="B23" s="337" t="s">
        <v>88</v>
      </c>
      <c r="C23" s="187">
        <f>COUNTIFS('1. All Data'!$AA$3:$AA$131,"Value for Money",'1. All Data'!$H$3:$H$131,"Fully Achieved")</f>
        <v>10</v>
      </c>
      <c r="D23" s="188">
        <f>C23/C34</f>
        <v>0.12987012987012986</v>
      </c>
      <c r="E23" s="375">
        <f>D23+D24</f>
        <v>0.74025974025974017</v>
      </c>
      <c r="F23" s="188">
        <f>C23/C35</f>
        <v>0.16949152542372881</v>
      </c>
      <c r="G23" s="390">
        <f>F23+F24</f>
        <v>0.96610169491525422</v>
      </c>
      <c r="I23" s="337" t="s">
        <v>88</v>
      </c>
      <c r="J23" s="187">
        <f>COUNTIFS('1. All Data'!$AA$3:$AA$131,"Value for Money",'1. All Data'!$M$3:$M$131,"Fully Achieved")</f>
        <v>0</v>
      </c>
      <c r="K23" s="188" t="e">
        <f>J23/J34</f>
        <v>#DIV/0!</v>
      </c>
      <c r="L23" s="375" t="e">
        <f>K23+K24</f>
        <v>#DIV/0!</v>
      </c>
      <c r="M23" s="188" t="e">
        <f>J23/J35</f>
        <v>#DIV/0!</v>
      </c>
      <c r="N23" s="392" t="e">
        <f>M23+M24</f>
        <v>#DIV/0!</v>
      </c>
      <c r="P23" s="337" t="s">
        <v>88</v>
      </c>
      <c r="Q23" s="187">
        <f>COUNTIFS('1. All Data'!$AA$3:$AA$131,"Value for Money",'1. All Data'!$R$3:$R$131,"Fully Achieved")</f>
        <v>0</v>
      </c>
      <c r="R23" s="188" t="e">
        <f>Q23/Q34</f>
        <v>#DIV/0!</v>
      </c>
      <c r="S23" s="375" t="e">
        <f>R23+R24</f>
        <v>#DIV/0!</v>
      </c>
      <c r="T23" s="188" t="e">
        <f>Q23/Q35</f>
        <v>#DIV/0!</v>
      </c>
      <c r="U23" s="392" t="e">
        <f>T23+T24</f>
        <v>#DIV/0!</v>
      </c>
      <c r="W23" s="337" t="s">
        <v>88</v>
      </c>
      <c r="X23" s="187">
        <f>COUNTIFS('1. All Data'!$AA$3:$AA$131,"Value for Money",'1. All Data'!$V$3:$V$131,"Fully Achieved")</f>
        <v>0</v>
      </c>
      <c r="Y23" s="188" t="e">
        <f>X23/X34</f>
        <v>#DIV/0!</v>
      </c>
      <c r="Z23" s="375" t="e">
        <f>Y23+Y24</f>
        <v>#DIV/0!</v>
      </c>
      <c r="AA23" s="188" t="e">
        <f>X23/X35</f>
        <v>#DIV/0!</v>
      </c>
      <c r="AB23" s="392" t="e">
        <f>AA23+AA24</f>
        <v>#DIV/0!</v>
      </c>
    </row>
    <row r="24" spans="2:28" ht="18.75" customHeight="1">
      <c r="B24" s="337" t="s">
        <v>65</v>
      </c>
      <c r="C24" s="187">
        <f>COUNTIFS('1. All Data'!$AA$3:$AA$131,"Value for Money",'1. All Data'!$H$3:$H$131,"On Track to be achieved")</f>
        <v>47</v>
      </c>
      <c r="D24" s="188">
        <f>C24/C34</f>
        <v>0.61038961038961037</v>
      </c>
      <c r="E24" s="375"/>
      <c r="F24" s="188">
        <f>C24/C35</f>
        <v>0.79661016949152541</v>
      </c>
      <c r="G24" s="391"/>
      <c r="I24" s="337" t="s">
        <v>65</v>
      </c>
      <c r="J24" s="187">
        <f>COUNTIFS('1. All Data'!$AA$3:$AA$131,"Value for Money",'1. All Data'!$M$3:$M$131,"On Track to be achieved")</f>
        <v>0</v>
      </c>
      <c r="K24" s="188" t="e">
        <f>J24/J34</f>
        <v>#DIV/0!</v>
      </c>
      <c r="L24" s="375"/>
      <c r="M24" s="188" t="e">
        <f>J24/J35</f>
        <v>#DIV/0!</v>
      </c>
      <c r="N24" s="392"/>
      <c r="P24" s="337" t="s">
        <v>65</v>
      </c>
      <c r="Q24" s="187">
        <f>COUNTIFS('1. All Data'!$AA$3:$AA$131,"Value for Money",'1. All Data'!$R$3:$R$131,"On Track to be achieved")</f>
        <v>0</v>
      </c>
      <c r="R24" s="188" t="e">
        <f>Q24/Q34</f>
        <v>#DIV/0!</v>
      </c>
      <c r="S24" s="375"/>
      <c r="T24" s="188" t="e">
        <f>Q24/Q35</f>
        <v>#DIV/0!</v>
      </c>
      <c r="U24" s="392"/>
      <c r="W24" s="337" t="s">
        <v>57</v>
      </c>
      <c r="X24" s="187">
        <f>COUNTIFS('1. All Data'!$AA$3:$AA$131,"Value for Money",'1. All Data'!$V$3:$V$131,"Numerical Outturn Within 5% Tolerance")</f>
        <v>0</v>
      </c>
      <c r="Y24" s="188" t="e">
        <f>X24/X34</f>
        <v>#DIV/0!</v>
      </c>
      <c r="Z24" s="375"/>
      <c r="AA24" s="188" t="e">
        <f t="shared" ref="AA24:AA29" si="3">X24/$X$35</f>
        <v>#DIV/0!</v>
      </c>
      <c r="AB24" s="392"/>
    </row>
    <row r="25" spans="2:28" ht="21" customHeight="1">
      <c r="B25" s="378" t="s">
        <v>66</v>
      </c>
      <c r="C25" s="381">
        <f>COUNTIFS('1. All Data'!$AA$3:$AA$131,"Value for Money",'1. All Data'!$H$3:$H$131,"In Danger of Falling Behind Target")</f>
        <v>2</v>
      </c>
      <c r="D25" s="384">
        <f>C25/C34</f>
        <v>2.5974025974025976E-2</v>
      </c>
      <c r="E25" s="384">
        <f>D25</f>
        <v>2.5974025974025976E-2</v>
      </c>
      <c r="F25" s="384">
        <f>C25/C35</f>
        <v>3.3898305084745763E-2</v>
      </c>
      <c r="G25" s="387">
        <f>F25</f>
        <v>3.3898305084745763E-2</v>
      </c>
      <c r="I25" s="378" t="s">
        <v>66</v>
      </c>
      <c r="J25" s="381">
        <f>COUNTIFS('1. All Data'!$AA$3:$AA$131,"Value for Money",'1. All Data'!$M$3:$M$131,"In Danger of Falling Behind Target")</f>
        <v>0</v>
      </c>
      <c r="K25" s="384" t="e">
        <f>J25/J34</f>
        <v>#DIV/0!</v>
      </c>
      <c r="L25" s="384" t="e">
        <f>K25</f>
        <v>#DIV/0!</v>
      </c>
      <c r="M25" s="384" t="e">
        <f>J25/J35</f>
        <v>#DIV/0!</v>
      </c>
      <c r="N25" s="387" t="e">
        <f>M25</f>
        <v>#DIV/0!</v>
      </c>
      <c r="P25" s="378" t="s">
        <v>66</v>
      </c>
      <c r="Q25" s="381">
        <f>COUNTIFS('1. All Data'!$AA$3:$AA$131,"Value for Money",'1. All Data'!$R$3:$R$131,"In Danger of Falling Behind Target")</f>
        <v>0</v>
      </c>
      <c r="R25" s="384" t="e">
        <f>Q25/Q34</f>
        <v>#DIV/0!</v>
      </c>
      <c r="S25" s="384" t="e">
        <f>R25</f>
        <v>#DIV/0!</v>
      </c>
      <c r="T25" s="384" t="e">
        <f>Q25/Q35</f>
        <v>#DIV/0!</v>
      </c>
      <c r="U25" s="387" t="e">
        <f>T25</f>
        <v>#DIV/0!</v>
      </c>
      <c r="W25" s="189" t="s">
        <v>58</v>
      </c>
      <c r="X25" s="190">
        <f>COUNTIFS('1. All Data'!$AA$3:$AA$131,"Value for Money",'1. All Data'!$V$3:$V$131,"Numerical Outturn Within 10% Tolerance")</f>
        <v>0</v>
      </c>
      <c r="Y25" s="188" t="e">
        <f>X25/$X$34</f>
        <v>#DIV/0!</v>
      </c>
      <c r="Z25" s="375" t="e">
        <f>SUM(Y25:Y27)</f>
        <v>#DIV/0!</v>
      </c>
      <c r="AA25" s="188" t="e">
        <f t="shared" si="3"/>
        <v>#DIV/0!</v>
      </c>
      <c r="AB25" s="376" t="e">
        <f>SUM(AA25:AA27)</f>
        <v>#DIV/0!</v>
      </c>
    </row>
    <row r="26" spans="2:28" ht="20.25" customHeight="1">
      <c r="B26" s="379"/>
      <c r="C26" s="382"/>
      <c r="D26" s="385"/>
      <c r="E26" s="385"/>
      <c r="F26" s="385"/>
      <c r="G26" s="388"/>
      <c r="I26" s="379"/>
      <c r="J26" s="382"/>
      <c r="K26" s="385"/>
      <c r="L26" s="385"/>
      <c r="M26" s="385"/>
      <c r="N26" s="388"/>
      <c r="P26" s="379"/>
      <c r="Q26" s="382"/>
      <c r="R26" s="385"/>
      <c r="S26" s="385"/>
      <c r="T26" s="385"/>
      <c r="U26" s="388"/>
      <c r="W26" s="189" t="s">
        <v>59</v>
      </c>
      <c r="X26" s="190">
        <f>COUNTIFS('1. All Data'!$AA$3:$AA$131,"Value for Money",'1. All Data'!$V$3:$V$131,"Target Partially Met")</f>
        <v>0</v>
      </c>
      <c r="Y26" s="188" t="e">
        <f>X26/$X$34</f>
        <v>#DIV/0!</v>
      </c>
      <c r="Z26" s="375"/>
      <c r="AA26" s="188" t="e">
        <f t="shared" si="3"/>
        <v>#DIV/0!</v>
      </c>
      <c r="AB26" s="376"/>
    </row>
    <row r="27" spans="2:28" ht="18.75" customHeight="1">
      <c r="B27" s="380"/>
      <c r="C27" s="383"/>
      <c r="D27" s="386"/>
      <c r="E27" s="386"/>
      <c r="F27" s="386"/>
      <c r="G27" s="389"/>
      <c r="I27" s="380"/>
      <c r="J27" s="383"/>
      <c r="K27" s="386"/>
      <c r="L27" s="386"/>
      <c r="M27" s="386"/>
      <c r="N27" s="389"/>
      <c r="P27" s="380"/>
      <c r="Q27" s="383"/>
      <c r="R27" s="386"/>
      <c r="S27" s="386"/>
      <c r="T27" s="386"/>
      <c r="U27" s="389"/>
      <c r="W27" s="189" t="s">
        <v>62</v>
      </c>
      <c r="X27" s="190">
        <f>COUNTIFS('1. All Data'!$AA$3:$AA$131,"Value for Money",'1. All Data'!$V$3:$V$131,"Completion Date Within Reasonable Tolerance")</f>
        <v>0</v>
      </c>
      <c r="Y27" s="188" t="e">
        <f>X27/$X$34</f>
        <v>#DIV/0!</v>
      </c>
      <c r="Z27" s="375"/>
      <c r="AA27" s="188" t="e">
        <f t="shared" si="3"/>
        <v>#DIV/0!</v>
      </c>
      <c r="AB27" s="376"/>
    </row>
    <row r="28" spans="2:28" ht="20.25" customHeight="1">
      <c r="B28" s="191" t="s">
        <v>67</v>
      </c>
      <c r="C28" s="187">
        <f>COUNTIFS('1. All Data'!$AA$3:$AA$131,"Value for Money",'1. All Data'!$H$3:$H$131,"Completed Behind Schedule")</f>
        <v>0</v>
      </c>
      <c r="D28" s="188">
        <f>C28/C34</f>
        <v>0</v>
      </c>
      <c r="E28" s="375">
        <f>D28+D29</f>
        <v>0</v>
      </c>
      <c r="F28" s="188">
        <f>C28/C35</f>
        <v>0</v>
      </c>
      <c r="G28" s="377">
        <f>F28+F29</f>
        <v>0</v>
      </c>
      <c r="I28" s="191" t="s">
        <v>67</v>
      </c>
      <c r="J28" s="187">
        <f>COUNTIFS('1. All Data'!$AA$3:$AA$131,"Value for Money",'1. All Data'!$M$3:$M$131,"Completed Behind Schedule")</f>
        <v>0</v>
      </c>
      <c r="K28" s="188" t="e">
        <f>J28/J34</f>
        <v>#DIV/0!</v>
      </c>
      <c r="L28" s="375" t="e">
        <f>K28+K29</f>
        <v>#DIV/0!</v>
      </c>
      <c r="M28" s="188" t="e">
        <f>J28/J35</f>
        <v>#DIV/0!</v>
      </c>
      <c r="N28" s="377" t="e">
        <f>M28+M29</f>
        <v>#DIV/0!</v>
      </c>
      <c r="P28" s="191" t="s">
        <v>67</v>
      </c>
      <c r="Q28" s="187">
        <f>COUNTIFS('1. All Data'!$AA$3:$AA$131,"Value for Money",'1. All Data'!$R$3:$R$131,"Completed Behind Schedule")</f>
        <v>0</v>
      </c>
      <c r="R28" s="188" t="e">
        <f>Q28/Q34</f>
        <v>#DIV/0!</v>
      </c>
      <c r="S28" s="375" t="e">
        <f>R28+R29</f>
        <v>#DIV/0!</v>
      </c>
      <c r="T28" s="188" t="e">
        <f>Q28/Q35</f>
        <v>#DIV/0!</v>
      </c>
      <c r="U28" s="377" t="e">
        <f>T28+T29</f>
        <v>#DIV/0!</v>
      </c>
      <c r="W28" s="191" t="s">
        <v>61</v>
      </c>
      <c r="X28" s="187">
        <f>COUNTIFS('1. All Data'!$AA$3:$AA$131,"Value for Money",'1. All Data'!$V$3:$V$131,"Completed Significantly After Target Deadline")</f>
        <v>0</v>
      </c>
      <c r="Y28" s="188" t="e">
        <f>X28/$X$34</f>
        <v>#DIV/0!</v>
      </c>
      <c r="Z28" s="375" t="e">
        <f>SUM(Y28:Y29)</f>
        <v>#DIV/0!</v>
      </c>
      <c r="AA28" s="188" t="e">
        <f t="shared" si="3"/>
        <v>#DIV/0!</v>
      </c>
      <c r="AB28" s="377" t="e">
        <f>AA28+AA29</f>
        <v>#DIV/0!</v>
      </c>
    </row>
    <row r="29" spans="2:28" ht="20.25" customHeight="1">
      <c r="B29" s="191" t="s">
        <v>60</v>
      </c>
      <c r="C29" s="187">
        <f>COUNTIFS('1. All Data'!$AA$3:$AA$131,"Value for Money",'1. All Data'!$H$3:$H$131,"Off Target")</f>
        <v>0</v>
      </c>
      <c r="D29" s="188">
        <f>C29/C34</f>
        <v>0</v>
      </c>
      <c r="E29" s="375"/>
      <c r="F29" s="188">
        <f>C29/C35</f>
        <v>0</v>
      </c>
      <c r="G29" s="377"/>
      <c r="I29" s="191" t="s">
        <v>60</v>
      </c>
      <c r="J29" s="187">
        <f>COUNTIFS('1. All Data'!$AA$3:$AA$131,"Value for Money",'1. All Data'!$M$3:$M$131,"Off Target")</f>
        <v>0</v>
      </c>
      <c r="K29" s="188" t="e">
        <f>J29/J34</f>
        <v>#DIV/0!</v>
      </c>
      <c r="L29" s="375"/>
      <c r="M29" s="188" t="e">
        <f>J29/J35</f>
        <v>#DIV/0!</v>
      </c>
      <c r="N29" s="377"/>
      <c r="P29" s="191" t="s">
        <v>60</v>
      </c>
      <c r="Q29" s="187">
        <f>COUNTIFS('1. All Data'!$AA$3:$AA$131,"Value for Money",'1. All Data'!$R$3:$R$131,"Off Target")</f>
        <v>0</v>
      </c>
      <c r="R29" s="188" t="e">
        <f>Q29/Q34</f>
        <v>#DIV/0!</v>
      </c>
      <c r="S29" s="375"/>
      <c r="T29" s="188" t="e">
        <f>Q29/Q35</f>
        <v>#DIV/0!</v>
      </c>
      <c r="U29" s="377"/>
      <c r="W29" s="191" t="s">
        <v>60</v>
      </c>
      <c r="X29" s="187">
        <f>COUNTIFS('1. All Data'!$AA$3:$AA$131,"Value for Money",'1. All Data'!$V$3:$V$131,"Off Target")</f>
        <v>0</v>
      </c>
      <c r="Y29" s="188" t="e">
        <f>X29/$X$34</f>
        <v>#DIV/0!</v>
      </c>
      <c r="Z29" s="375"/>
      <c r="AA29" s="188" t="e">
        <f t="shared" si="3"/>
        <v>#DIV/0!</v>
      </c>
      <c r="AB29" s="377"/>
    </row>
    <row r="30" spans="2:28" ht="15" customHeight="1">
      <c r="B30" s="192" t="s">
        <v>89</v>
      </c>
      <c r="C30" s="187">
        <f>COUNTIFS('1. All Data'!$AA$3:$AA$131,"Value for Money",'1. All Data'!$H$3:$H$131,"Not yet due")</f>
        <v>18</v>
      </c>
      <c r="D30" s="193">
        <f>C30/C34</f>
        <v>0.23376623376623376</v>
      </c>
      <c r="E30" s="193">
        <f>D30</f>
        <v>0.23376623376623376</v>
      </c>
      <c r="F30" s="194"/>
      <c r="G30" s="65"/>
      <c r="I30" s="192" t="s">
        <v>89</v>
      </c>
      <c r="J30" s="187">
        <f>COUNTIFS('1. All Data'!$AA$3:$AA$131,"Value for Money",'1. All Data'!$M$3:$M$131,"Not yet due")</f>
        <v>0</v>
      </c>
      <c r="K30" s="193" t="e">
        <f>J30/J34</f>
        <v>#DIV/0!</v>
      </c>
      <c r="L30" s="193" t="e">
        <f>K30</f>
        <v>#DIV/0!</v>
      </c>
      <c r="M30" s="194"/>
      <c r="N30" s="65"/>
      <c r="P30" s="192" t="s">
        <v>89</v>
      </c>
      <c r="Q30" s="187">
        <f>COUNTIFS('1. All Data'!$AA$3:$AA$131,"Value for Money",'1. All Data'!$R$3:$R$131,"Not yet due")</f>
        <v>0</v>
      </c>
      <c r="R30" s="193" t="e">
        <f>Q30/Q34</f>
        <v>#DIV/0!</v>
      </c>
      <c r="S30" s="193" t="e">
        <f>R30</f>
        <v>#DIV/0!</v>
      </c>
      <c r="T30" s="194"/>
      <c r="U30" s="65"/>
      <c r="W30" s="192" t="s">
        <v>89</v>
      </c>
      <c r="X30" s="187">
        <f>COUNTIFS('1. All Data'!$AA$3:$AA$131,"Value for Money",'1. All Data'!$V$3:$V$131,"Not yet due")</f>
        <v>0</v>
      </c>
      <c r="Y30" s="188" t="e">
        <f t="shared" ref="Y30:Y33" si="4">X30/$X$34</f>
        <v>#DIV/0!</v>
      </c>
      <c r="Z30" s="188" t="e">
        <f>Y30</f>
        <v>#DIV/0!</v>
      </c>
      <c r="AA30" s="194"/>
      <c r="AB30" s="65"/>
    </row>
    <row r="31" spans="2:28" ht="15" customHeight="1">
      <c r="B31" s="192" t="s">
        <v>55</v>
      </c>
      <c r="C31" s="187">
        <f>COUNTIFS('1. All Data'!$AA$3:$AA$131,"Value for Money",'1. All Data'!$H$3:$H$131,"update not provided")</f>
        <v>0</v>
      </c>
      <c r="D31" s="193">
        <f>C31/C34</f>
        <v>0</v>
      </c>
      <c r="E31" s="193">
        <f>D31</f>
        <v>0</v>
      </c>
      <c r="F31" s="194"/>
      <c r="G31" s="8"/>
      <c r="I31" s="192" t="s">
        <v>55</v>
      </c>
      <c r="J31" s="187">
        <f>COUNTIFS('1. All Data'!$AA$3:$AA$131,"Value for Money",'1. All Data'!$M$3:$M$131,"update not provided")</f>
        <v>0</v>
      </c>
      <c r="K31" s="193" t="e">
        <f>J31/J34</f>
        <v>#DIV/0!</v>
      </c>
      <c r="L31" s="193" t="e">
        <f>K31</f>
        <v>#DIV/0!</v>
      </c>
      <c r="M31" s="194"/>
      <c r="N31" s="8"/>
      <c r="P31" s="192" t="s">
        <v>55</v>
      </c>
      <c r="Q31" s="187">
        <f>COUNTIFS('1. All Data'!$AA$3:$AA$131,"Value for Money",'1. All Data'!$R$3:$R$131,"update not provided")</f>
        <v>0</v>
      </c>
      <c r="R31" s="193" t="e">
        <f>Q31/Q34</f>
        <v>#DIV/0!</v>
      </c>
      <c r="S31" s="193" t="e">
        <f>R31</f>
        <v>#DIV/0!</v>
      </c>
      <c r="T31" s="194"/>
      <c r="U31" s="8"/>
      <c r="W31" s="192" t="s">
        <v>55</v>
      </c>
      <c r="X31" s="187">
        <f>COUNTIFS('1. All Data'!$AA$3:$AA$131,"Value for Money",'1. All Data'!$V$3:$V$131,"update not provided")</f>
        <v>0</v>
      </c>
      <c r="Y31" s="188" t="e">
        <f t="shared" si="4"/>
        <v>#DIV/0!</v>
      </c>
      <c r="Z31" s="188" t="e">
        <f t="shared" ref="Z31:Z33" si="5">Y31</f>
        <v>#DIV/0!</v>
      </c>
      <c r="AA31" s="194"/>
      <c r="AB31" s="8"/>
    </row>
    <row r="32" spans="2:28" ht="15.75" customHeight="1">
      <c r="B32" s="195" t="s">
        <v>63</v>
      </c>
      <c r="C32" s="187">
        <f>COUNTIFS('1. All Data'!$AA$3:$AA$131,"Value for Money",'1. All Data'!$H$3:$H$131,"Deferred")</f>
        <v>0</v>
      </c>
      <c r="D32" s="196">
        <f>C32/C34</f>
        <v>0</v>
      </c>
      <c r="E32" s="196">
        <f>D32</f>
        <v>0</v>
      </c>
      <c r="F32" s="197"/>
      <c r="G32" s="65"/>
      <c r="I32" s="195" t="s">
        <v>63</v>
      </c>
      <c r="J32" s="187">
        <f>COUNTIFS('1. All Data'!$AA$3:$AA$131,"Value for Money",'1. All Data'!$M$3:$M$131,"Deferred")</f>
        <v>0</v>
      </c>
      <c r="K32" s="196" t="e">
        <f>J32/J34</f>
        <v>#DIV/0!</v>
      </c>
      <c r="L32" s="196" t="e">
        <f>K32</f>
        <v>#DIV/0!</v>
      </c>
      <c r="M32" s="197"/>
      <c r="N32" s="65"/>
      <c r="P32" s="195" t="s">
        <v>63</v>
      </c>
      <c r="Q32" s="187">
        <f>COUNTIFS('1. All Data'!$AA$3:$AA$131,"Value for Money",'1. All Data'!$R$3:$R$131,"Deferred")</f>
        <v>0</v>
      </c>
      <c r="R32" s="196" t="e">
        <f>Q32/Q34</f>
        <v>#DIV/0!</v>
      </c>
      <c r="S32" s="196" t="e">
        <f>R32</f>
        <v>#DIV/0!</v>
      </c>
      <c r="T32" s="197"/>
      <c r="U32" s="65"/>
      <c r="W32" s="195" t="s">
        <v>63</v>
      </c>
      <c r="X32" s="187">
        <f>COUNTIFS('1. All Data'!$AA$3:$AA$131,"Value for Money",'1. All Data'!$V$3:$V$131,"Deferred")</f>
        <v>0</v>
      </c>
      <c r="Y32" s="188" t="e">
        <f t="shared" si="4"/>
        <v>#DIV/0!</v>
      </c>
      <c r="Z32" s="188" t="e">
        <f t="shared" si="5"/>
        <v>#DIV/0!</v>
      </c>
      <c r="AA32" s="197"/>
      <c r="AB32" s="65"/>
    </row>
    <row r="33" spans="2:30" ht="15.75" customHeight="1">
      <c r="B33" s="195" t="s">
        <v>64</v>
      </c>
      <c r="C33" s="187">
        <f>COUNTIFS('1. All Data'!$AA$3:$AA$131,"Value for Money",'1. All Data'!$H$3:$H$131,"Deleted")</f>
        <v>0</v>
      </c>
      <c r="D33" s="196">
        <f>C33/C34</f>
        <v>0</v>
      </c>
      <c r="E33" s="196">
        <f>D33</f>
        <v>0</v>
      </c>
      <c r="F33" s="197"/>
      <c r="G33" s="9"/>
      <c r="I33" s="195" t="s">
        <v>64</v>
      </c>
      <c r="J33" s="187">
        <f>COUNTIFS('1. All Data'!$AA$3:$AA$131,"Value for Money",'1. All Data'!$M$3:$M$131,"Deleted")</f>
        <v>0</v>
      </c>
      <c r="K33" s="196" t="e">
        <f>J33/J34</f>
        <v>#DIV/0!</v>
      </c>
      <c r="L33" s="196" t="e">
        <f>K33</f>
        <v>#DIV/0!</v>
      </c>
      <c r="M33" s="197"/>
      <c r="N33" s="9"/>
      <c r="P33" s="195" t="s">
        <v>64</v>
      </c>
      <c r="Q33" s="187">
        <f>COUNTIFS('1. All Data'!$AA$3:$AA$131,"Value for Money",'1. All Data'!$R$3:$R$131,"Deleted")</f>
        <v>0</v>
      </c>
      <c r="R33" s="196" t="e">
        <f>Q33/Q34</f>
        <v>#DIV/0!</v>
      </c>
      <c r="S33" s="196" t="e">
        <f>R33</f>
        <v>#DIV/0!</v>
      </c>
      <c r="T33" s="197"/>
      <c r="U33" s="9"/>
      <c r="W33" s="195" t="s">
        <v>64</v>
      </c>
      <c r="X33" s="187">
        <f>COUNTIFS('1. All Data'!$AA$3:$AA$131,"Value for Money",'1. All Data'!$V$3:$V$131,"Deleted")</f>
        <v>0</v>
      </c>
      <c r="Y33" s="188" t="e">
        <f t="shared" si="4"/>
        <v>#DIV/0!</v>
      </c>
      <c r="Z33" s="188" t="e">
        <f t="shared" si="5"/>
        <v>#DIV/0!</v>
      </c>
      <c r="AA33" s="197"/>
      <c r="AD33" s="9"/>
    </row>
    <row r="34" spans="2:30" ht="15.75" customHeight="1">
      <c r="B34" s="198" t="s">
        <v>91</v>
      </c>
      <c r="C34" s="199">
        <f>SUM(C23:C33)</f>
        <v>77</v>
      </c>
      <c r="D34" s="197"/>
      <c r="E34" s="197"/>
      <c r="F34" s="65"/>
      <c r="G34" s="65"/>
      <c r="I34" s="198" t="s">
        <v>91</v>
      </c>
      <c r="J34" s="199">
        <f>SUM(J23:J33)</f>
        <v>0</v>
      </c>
      <c r="K34" s="197"/>
      <c r="L34" s="197"/>
      <c r="M34" s="65"/>
      <c r="N34" s="65"/>
      <c r="P34" s="198" t="s">
        <v>91</v>
      </c>
      <c r="Q34" s="199">
        <f>SUM(Q23:Q33)</f>
        <v>0</v>
      </c>
      <c r="R34" s="197"/>
      <c r="S34" s="197"/>
      <c r="T34" s="65"/>
      <c r="U34" s="65"/>
      <c r="W34" s="198" t="s">
        <v>91</v>
      </c>
      <c r="X34" s="199">
        <f>SUM(X23:X33)</f>
        <v>0</v>
      </c>
      <c r="Y34" s="197"/>
      <c r="Z34" s="197"/>
      <c r="AA34" s="65"/>
      <c r="AB34" s="65"/>
    </row>
    <row r="35" spans="2:30" ht="15.75" customHeight="1">
      <c r="B35" s="198" t="s">
        <v>92</v>
      </c>
      <c r="C35" s="199">
        <f>C34-C33-C32-C31-C30</f>
        <v>59</v>
      </c>
      <c r="D35" s="65"/>
      <c r="E35" s="65"/>
      <c r="F35" s="65"/>
      <c r="G35" s="65"/>
      <c r="I35" s="198" t="s">
        <v>92</v>
      </c>
      <c r="J35" s="199">
        <f>J34-J33-J32-J31-J30</f>
        <v>0</v>
      </c>
      <c r="K35" s="65"/>
      <c r="L35" s="65"/>
      <c r="M35" s="65"/>
      <c r="N35" s="65"/>
      <c r="P35" s="198" t="s">
        <v>92</v>
      </c>
      <c r="Q35" s="199">
        <f>Q34-Q33-Q32-Q31-Q30</f>
        <v>0</v>
      </c>
      <c r="R35" s="65"/>
      <c r="S35" s="65"/>
      <c r="T35" s="65"/>
      <c r="U35" s="65"/>
      <c r="W35" s="198" t="s">
        <v>92</v>
      </c>
      <c r="X35" s="199">
        <f>X34-X33-X32-X31-X30</f>
        <v>0</v>
      </c>
      <c r="Y35" s="65"/>
      <c r="Z35" s="65"/>
      <c r="AA35" s="65"/>
      <c r="AB35" s="65"/>
    </row>
    <row r="36" spans="2:30" ht="15.75" customHeight="1">
      <c r="W36" s="206"/>
      <c r="X36" s="185"/>
      <c r="Y36" s="185"/>
      <c r="Z36" s="185"/>
      <c r="AA36" s="65"/>
      <c r="AB36" s="207"/>
    </row>
    <row r="37" spans="2:30" ht="15.75" customHeight="1"/>
    <row r="38" spans="2:30" s="186" customFormat="1" ht="15.75" customHeight="1">
      <c r="B38" s="208"/>
      <c r="C38" s="185"/>
      <c r="D38" s="185"/>
      <c r="E38" s="185"/>
      <c r="F38" s="65"/>
      <c r="G38" s="185"/>
      <c r="H38" s="185"/>
      <c r="I38" s="208"/>
      <c r="J38" s="185"/>
      <c r="K38" s="185"/>
      <c r="L38" s="185"/>
      <c r="M38" s="65"/>
      <c r="N38" s="185"/>
      <c r="O38" s="185"/>
      <c r="P38" s="208"/>
      <c r="Q38" s="185"/>
      <c r="R38" s="185"/>
      <c r="S38" s="185"/>
      <c r="T38" s="65"/>
      <c r="U38" s="185"/>
      <c r="V38" s="185"/>
      <c r="W38" s="185"/>
      <c r="X38" s="185"/>
      <c r="Y38" s="185"/>
      <c r="Z38" s="185"/>
      <c r="AA38" s="185"/>
      <c r="AB38" s="207"/>
    </row>
    <row r="39" spans="2:30" s="186" customFormat="1" ht="15.75" customHeight="1">
      <c r="B39" s="352"/>
      <c r="C39" s="236"/>
      <c r="D39" s="236"/>
      <c r="E39" s="236"/>
      <c r="F39" s="65"/>
      <c r="G39" s="236"/>
      <c r="H39" s="185"/>
      <c r="I39" s="352"/>
      <c r="J39" s="236"/>
      <c r="K39" s="236"/>
      <c r="L39" s="236"/>
      <c r="M39" s="65"/>
      <c r="N39" s="236"/>
      <c r="O39" s="185"/>
      <c r="P39" s="352"/>
      <c r="Q39" s="236"/>
      <c r="R39" s="236"/>
      <c r="S39" s="236"/>
      <c r="T39" s="65"/>
      <c r="U39" s="236"/>
      <c r="V39" s="185"/>
      <c r="W39" s="352"/>
      <c r="X39" s="65"/>
      <c r="Y39" s="65"/>
      <c r="Z39" s="65"/>
      <c r="AA39" s="65"/>
      <c r="AB39" s="197"/>
    </row>
    <row r="40" spans="2:30" s="186" customFormat="1" ht="36" customHeight="1">
      <c r="B40" s="353"/>
      <c r="C40" s="353"/>
      <c r="D40" s="353"/>
      <c r="E40" s="353"/>
      <c r="F40" s="353"/>
      <c r="G40" s="353"/>
      <c r="H40" s="185"/>
      <c r="I40" s="353"/>
      <c r="J40" s="353"/>
      <c r="K40" s="353"/>
      <c r="L40" s="353"/>
      <c r="M40" s="353"/>
      <c r="N40" s="353"/>
      <c r="O40" s="185"/>
      <c r="P40" s="353"/>
      <c r="Q40" s="353"/>
      <c r="R40" s="353"/>
      <c r="S40" s="353"/>
      <c r="T40" s="353"/>
      <c r="U40" s="353"/>
      <c r="V40" s="185"/>
      <c r="W40" s="353"/>
      <c r="X40" s="353"/>
      <c r="Y40" s="353"/>
      <c r="Z40" s="353"/>
      <c r="AA40" s="353"/>
      <c r="AB40" s="353"/>
    </row>
    <row r="41" spans="2:30" s="186" customFormat="1" ht="18.75" customHeight="1">
      <c r="B41" s="354"/>
      <c r="C41" s="355"/>
      <c r="D41" s="356"/>
      <c r="E41" s="370"/>
      <c r="F41" s="356"/>
      <c r="G41" s="372"/>
      <c r="H41" s="185"/>
      <c r="I41" s="354"/>
      <c r="J41" s="355"/>
      <c r="K41" s="356"/>
      <c r="L41" s="370"/>
      <c r="M41" s="356"/>
      <c r="N41" s="372"/>
      <c r="O41" s="185"/>
      <c r="P41" s="354"/>
      <c r="Q41" s="355"/>
      <c r="R41" s="356"/>
      <c r="S41" s="370"/>
      <c r="T41" s="356"/>
      <c r="U41" s="372"/>
      <c r="V41" s="185"/>
      <c r="W41" s="354"/>
      <c r="X41" s="355"/>
      <c r="Y41" s="356"/>
      <c r="Z41" s="370"/>
      <c r="AA41" s="356"/>
      <c r="AB41" s="372"/>
    </row>
    <row r="42" spans="2:30" s="186" customFormat="1" ht="18.75" customHeight="1">
      <c r="B42" s="354"/>
      <c r="C42" s="355"/>
      <c r="D42" s="356"/>
      <c r="E42" s="370"/>
      <c r="F42" s="356"/>
      <c r="G42" s="372"/>
      <c r="H42" s="185"/>
      <c r="I42" s="354"/>
      <c r="J42" s="355"/>
      <c r="K42" s="356"/>
      <c r="L42" s="370"/>
      <c r="M42" s="356"/>
      <c r="N42" s="372"/>
      <c r="O42" s="185"/>
      <c r="P42" s="354"/>
      <c r="Q42" s="355"/>
      <c r="R42" s="356"/>
      <c r="S42" s="370"/>
      <c r="T42" s="356"/>
      <c r="U42" s="372"/>
      <c r="V42" s="185"/>
      <c r="W42" s="354"/>
      <c r="X42" s="355"/>
      <c r="Y42" s="356"/>
      <c r="Z42" s="370"/>
      <c r="AA42" s="356"/>
      <c r="AB42" s="372"/>
    </row>
    <row r="43" spans="2:30" s="186" customFormat="1" ht="19.5" customHeight="1">
      <c r="B43" s="373"/>
      <c r="C43" s="374"/>
      <c r="D43" s="370"/>
      <c r="E43" s="370"/>
      <c r="F43" s="370"/>
      <c r="G43" s="371"/>
      <c r="H43" s="185"/>
      <c r="I43" s="373"/>
      <c r="J43" s="374"/>
      <c r="K43" s="370"/>
      <c r="L43" s="370"/>
      <c r="M43" s="370"/>
      <c r="N43" s="371"/>
      <c r="O43" s="185"/>
      <c r="P43" s="373"/>
      <c r="Q43" s="374"/>
      <c r="R43" s="370"/>
      <c r="S43" s="370"/>
      <c r="T43" s="370"/>
      <c r="U43" s="371"/>
      <c r="V43" s="185"/>
      <c r="W43" s="357"/>
      <c r="X43" s="353"/>
      <c r="Y43" s="356"/>
      <c r="Z43" s="370"/>
      <c r="AA43" s="356"/>
      <c r="AB43" s="371"/>
    </row>
    <row r="44" spans="2:30" s="186" customFormat="1" ht="19.5" customHeight="1">
      <c r="B44" s="373"/>
      <c r="C44" s="374"/>
      <c r="D44" s="370"/>
      <c r="E44" s="370"/>
      <c r="F44" s="370"/>
      <c r="G44" s="371"/>
      <c r="H44" s="185"/>
      <c r="I44" s="373"/>
      <c r="J44" s="374"/>
      <c r="K44" s="370"/>
      <c r="L44" s="370"/>
      <c r="M44" s="370"/>
      <c r="N44" s="371"/>
      <c r="O44" s="185"/>
      <c r="P44" s="373"/>
      <c r="Q44" s="374"/>
      <c r="R44" s="370"/>
      <c r="S44" s="370"/>
      <c r="T44" s="370"/>
      <c r="U44" s="371"/>
      <c r="V44" s="185"/>
      <c r="W44" s="357"/>
      <c r="X44" s="353"/>
      <c r="Y44" s="356"/>
      <c r="Z44" s="370"/>
      <c r="AA44" s="356"/>
      <c r="AB44" s="371"/>
    </row>
    <row r="45" spans="2:30" s="186" customFormat="1" ht="19.5" customHeight="1">
      <c r="B45" s="373"/>
      <c r="C45" s="374"/>
      <c r="D45" s="370"/>
      <c r="E45" s="370"/>
      <c r="F45" s="370"/>
      <c r="G45" s="371"/>
      <c r="H45" s="185"/>
      <c r="I45" s="373"/>
      <c r="J45" s="374"/>
      <c r="K45" s="370"/>
      <c r="L45" s="370"/>
      <c r="M45" s="370"/>
      <c r="N45" s="371"/>
      <c r="O45" s="185"/>
      <c r="P45" s="373"/>
      <c r="Q45" s="374"/>
      <c r="R45" s="370"/>
      <c r="S45" s="370"/>
      <c r="T45" s="370"/>
      <c r="U45" s="371"/>
      <c r="V45" s="185"/>
      <c r="W45" s="357"/>
      <c r="X45" s="353"/>
      <c r="Y45" s="356"/>
      <c r="Z45" s="370"/>
      <c r="AA45" s="356"/>
      <c r="AB45" s="371"/>
    </row>
    <row r="46" spans="2:30" s="186" customFormat="1" ht="22.5" customHeight="1">
      <c r="B46" s="354"/>
      <c r="C46" s="355"/>
      <c r="D46" s="356"/>
      <c r="E46" s="370"/>
      <c r="F46" s="356"/>
      <c r="G46" s="372"/>
      <c r="H46" s="185"/>
      <c r="I46" s="354"/>
      <c r="J46" s="355"/>
      <c r="K46" s="356"/>
      <c r="L46" s="370"/>
      <c r="M46" s="356"/>
      <c r="N46" s="372"/>
      <c r="O46" s="185"/>
      <c r="P46" s="354"/>
      <c r="Q46" s="355"/>
      <c r="R46" s="356"/>
      <c r="S46" s="370"/>
      <c r="T46" s="356"/>
      <c r="U46" s="372"/>
      <c r="V46" s="185"/>
      <c r="W46" s="354"/>
      <c r="X46" s="355"/>
      <c r="Y46" s="356"/>
      <c r="Z46" s="370"/>
      <c r="AA46" s="356"/>
      <c r="AB46" s="372"/>
    </row>
    <row r="47" spans="2:30" s="186" customFormat="1" ht="22.5" customHeight="1">
      <c r="B47" s="354"/>
      <c r="C47" s="355"/>
      <c r="D47" s="356"/>
      <c r="E47" s="370"/>
      <c r="F47" s="356"/>
      <c r="G47" s="372"/>
      <c r="H47" s="185"/>
      <c r="I47" s="354"/>
      <c r="J47" s="355"/>
      <c r="K47" s="356"/>
      <c r="L47" s="370"/>
      <c r="M47" s="356"/>
      <c r="N47" s="372"/>
      <c r="O47" s="185"/>
      <c r="P47" s="354"/>
      <c r="Q47" s="355"/>
      <c r="R47" s="356"/>
      <c r="S47" s="370"/>
      <c r="T47" s="356"/>
      <c r="U47" s="372"/>
      <c r="V47" s="185"/>
      <c r="W47" s="354"/>
      <c r="X47" s="355"/>
      <c r="Y47" s="356"/>
      <c r="Z47" s="370"/>
      <c r="AA47" s="356"/>
      <c r="AB47" s="372"/>
    </row>
    <row r="48" spans="2:30" s="186" customFormat="1" ht="15.75" customHeight="1">
      <c r="B48" s="358"/>
      <c r="C48" s="355"/>
      <c r="D48" s="194"/>
      <c r="E48" s="194"/>
      <c r="F48" s="194"/>
      <c r="G48" s="65"/>
      <c r="H48" s="185"/>
      <c r="I48" s="358"/>
      <c r="J48" s="355"/>
      <c r="K48" s="194"/>
      <c r="L48" s="194"/>
      <c r="M48" s="194"/>
      <c r="N48" s="65"/>
      <c r="O48" s="185"/>
      <c r="P48" s="358"/>
      <c r="Q48" s="355"/>
      <c r="R48" s="194"/>
      <c r="S48" s="194"/>
      <c r="T48" s="194"/>
      <c r="U48" s="65"/>
      <c r="V48" s="185"/>
      <c r="W48" s="358"/>
      <c r="X48" s="355"/>
      <c r="Y48" s="356"/>
      <c r="Z48" s="356"/>
      <c r="AA48" s="194"/>
      <c r="AB48" s="65"/>
    </row>
    <row r="49" spans="2:30" s="186" customFormat="1" ht="15.75" customHeight="1">
      <c r="B49" s="358"/>
      <c r="C49" s="355"/>
      <c r="D49" s="194"/>
      <c r="E49" s="194"/>
      <c r="F49" s="194"/>
      <c r="G49" s="65"/>
      <c r="H49" s="185"/>
      <c r="I49" s="358"/>
      <c r="J49" s="355"/>
      <c r="K49" s="194"/>
      <c r="L49" s="194"/>
      <c r="M49" s="194"/>
      <c r="N49" s="65"/>
      <c r="O49" s="185"/>
      <c r="P49" s="358"/>
      <c r="Q49" s="355"/>
      <c r="R49" s="194"/>
      <c r="S49" s="194"/>
      <c r="T49" s="194"/>
      <c r="U49" s="65"/>
      <c r="V49" s="185"/>
      <c r="W49" s="358"/>
      <c r="X49" s="355"/>
      <c r="Y49" s="356"/>
      <c r="Z49" s="356"/>
      <c r="AA49" s="194"/>
      <c r="AB49" s="65"/>
    </row>
    <row r="50" spans="2:30" s="186" customFormat="1" ht="15.75" customHeight="1">
      <c r="B50" s="359"/>
      <c r="C50" s="355"/>
      <c r="D50" s="197"/>
      <c r="E50" s="197"/>
      <c r="F50" s="197"/>
      <c r="G50" s="65"/>
      <c r="H50" s="185"/>
      <c r="I50" s="359"/>
      <c r="J50" s="355"/>
      <c r="K50" s="197"/>
      <c r="L50" s="197"/>
      <c r="M50" s="197"/>
      <c r="N50" s="65"/>
      <c r="O50" s="185"/>
      <c r="P50" s="359"/>
      <c r="Q50" s="355"/>
      <c r="R50" s="197"/>
      <c r="S50" s="197"/>
      <c r="T50" s="197"/>
      <c r="U50" s="65"/>
      <c r="V50" s="185"/>
      <c r="W50" s="359"/>
      <c r="X50" s="355"/>
      <c r="Y50" s="356"/>
      <c r="Z50" s="356"/>
      <c r="AA50" s="197"/>
      <c r="AB50" s="65"/>
    </row>
    <row r="51" spans="2:30" s="186" customFormat="1" ht="15.75" customHeight="1">
      <c r="B51" s="359"/>
      <c r="C51" s="355"/>
      <c r="D51" s="197"/>
      <c r="E51" s="197"/>
      <c r="F51" s="197"/>
      <c r="G51" s="9"/>
      <c r="H51" s="185"/>
      <c r="I51" s="359"/>
      <c r="J51" s="355"/>
      <c r="K51" s="197"/>
      <c r="L51" s="197"/>
      <c r="M51" s="197"/>
      <c r="N51" s="9"/>
      <c r="O51" s="185"/>
      <c r="P51" s="359"/>
      <c r="Q51" s="355"/>
      <c r="R51" s="197"/>
      <c r="S51" s="197"/>
      <c r="T51" s="197"/>
      <c r="U51" s="9"/>
      <c r="V51" s="185"/>
      <c r="W51" s="359"/>
      <c r="X51" s="355"/>
      <c r="Y51" s="356"/>
      <c r="Z51" s="356"/>
      <c r="AA51" s="197"/>
      <c r="AB51" s="207"/>
      <c r="AD51" s="9"/>
    </row>
    <row r="52" spans="2:30" s="186" customFormat="1" ht="15.75" customHeight="1">
      <c r="B52" s="208"/>
      <c r="C52" s="360"/>
      <c r="D52" s="197"/>
      <c r="E52" s="197"/>
      <c r="F52" s="65"/>
      <c r="G52" s="65"/>
      <c r="H52" s="185"/>
      <c r="I52" s="208"/>
      <c r="J52" s="360"/>
      <c r="K52" s="197"/>
      <c r="L52" s="197"/>
      <c r="M52" s="65"/>
      <c r="N52" s="65"/>
      <c r="O52" s="185"/>
      <c r="P52" s="208"/>
      <c r="Q52" s="360"/>
      <c r="R52" s="197"/>
      <c r="S52" s="197"/>
      <c r="T52" s="65"/>
      <c r="U52" s="65"/>
      <c r="V52" s="185"/>
      <c r="W52" s="208"/>
      <c r="X52" s="360"/>
      <c r="Y52" s="197"/>
      <c r="Z52" s="197"/>
      <c r="AA52" s="65"/>
      <c r="AB52" s="65"/>
    </row>
    <row r="53" spans="2:30" s="186" customFormat="1" ht="15.75" customHeight="1">
      <c r="B53" s="208"/>
      <c r="C53" s="360"/>
      <c r="D53" s="65"/>
      <c r="E53" s="65"/>
      <c r="F53" s="65"/>
      <c r="G53" s="65"/>
      <c r="H53" s="185"/>
      <c r="I53" s="208"/>
      <c r="J53" s="360"/>
      <c r="K53" s="65"/>
      <c r="L53" s="65"/>
      <c r="M53" s="65"/>
      <c r="N53" s="65"/>
      <c r="O53" s="185"/>
      <c r="P53" s="208"/>
      <c r="Q53" s="360"/>
      <c r="R53" s="65"/>
      <c r="S53" s="65"/>
      <c r="T53" s="65"/>
      <c r="U53" s="65"/>
      <c r="V53" s="185"/>
      <c r="W53" s="208"/>
      <c r="X53" s="360"/>
      <c r="Y53" s="65"/>
      <c r="Z53" s="65"/>
      <c r="AA53" s="65"/>
      <c r="AB53" s="65"/>
    </row>
    <row r="54" spans="2:30" s="186" customFormat="1" ht="15.75" customHeight="1">
      <c r="C54" s="185"/>
      <c r="D54" s="185"/>
      <c r="E54" s="185"/>
      <c r="F54" s="185"/>
      <c r="G54" s="185"/>
      <c r="H54" s="185"/>
      <c r="J54" s="185"/>
      <c r="K54" s="185"/>
      <c r="L54" s="185"/>
      <c r="M54" s="185"/>
      <c r="N54" s="185"/>
      <c r="O54" s="185"/>
      <c r="Q54" s="185"/>
      <c r="R54" s="185"/>
      <c r="S54" s="185"/>
      <c r="T54" s="185"/>
      <c r="U54" s="185"/>
      <c r="V54" s="185"/>
      <c r="W54" s="185"/>
      <c r="X54" s="235"/>
      <c r="Y54" s="185"/>
      <c r="Z54" s="185"/>
      <c r="AA54" s="185"/>
      <c r="AB54" s="207"/>
    </row>
    <row r="55" spans="2:30" s="186" customFormat="1" ht="15.75" customHeight="1">
      <c r="C55" s="185"/>
      <c r="D55" s="185"/>
      <c r="E55" s="185"/>
      <c r="F55" s="185"/>
      <c r="G55" s="185"/>
      <c r="H55" s="185"/>
      <c r="J55" s="185"/>
      <c r="K55" s="185"/>
      <c r="L55" s="185"/>
      <c r="M55" s="185"/>
      <c r="N55" s="185"/>
      <c r="O55" s="185"/>
      <c r="Q55" s="185"/>
      <c r="R55" s="185"/>
      <c r="S55" s="185"/>
      <c r="T55" s="185"/>
      <c r="U55" s="185"/>
      <c r="V55" s="185"/>
      <c r="W55" s="185"/>
      <c r="X55" s="235"/>
      <c r="Y55" s="185"/>
      <c r="Z55" s="185"/>
      <c r="AA55" s="185"/>
      <c r="AB55" s="207"/>
    </row>
    <row r="56" spans="2:30" s="186" customFormat="1" ht="15.75" customHeight="1">
      <c r="C56" s="185"/>
      <c r="D56" s="185"/>
      <c r="E56" s="185"/>
      <c r="F56" s="185"/>
      <c r="G56" s="185"/>
      <c r="H56" s="185"/>
      <c r="J56" s="185"/>
      <c r="K56" s="185"/>
      <c r="L56" s="185"/>
      <c r="M56" s="185"/>
      <c r="N56" s="185"/>
      <c r="O56" s="185"/>
      <c r="Q56" s="185"/>
      <c r="R56" s="185"/>
      <c r="S56" s="185"/>
      <c r="T56" s="185"/>
      <c r="U56" s="185"/>
      <c r="V56" s="185"/>
      <c r="W56" s="185"/>
      <c r="X56" s="235"/>
      <c r="Y56" s="185"/>
      <c r="Z56" s="185"/>
      <c r="AA56" s="185"/>
      <c r="AB56" s="207"/>
    </row>
    <row r="57" spans="2:30" s="186" customFormat="1" ht="15.75" customHeight="1">
      <c r="B57" s="352"/>
      <c r="C57" s="236"/>
      <c r="D57" s="236"/>
      <c r="E57" s="236"/>
      <c r="F57" s="65"/>
      <c r="G57" s="236"/>
      <c r="H57" s="185"/>
      <c r="I57" s="352"/>
      <c r="J57" s="236"/>
      <c r="K57" s="236"/>
      <c r="L57" s="236"/>
      <c r="M57" s="65"/>
      <c r="N57" s="236"/>
      <c r="O57" s="185"/>
      <c r="P57" s="352"/>
      <c r="Q57" s="236"/>
      <c r="R57" s="236"/>
      <c r="S57" s="236"/>
      <c r="T57" s="65"/>
      <c r="U57" s="236"/>
      <c r="V57" s="185"/>
      <c r="W57" s="352"/>
      <c r="X57" s="237"/>
      <c r="Y57" s="65"/>
      <c r="Z57" s="65"/>
      <c r="AA57" s="65"/>
      <c r="AB57" s="197"/>
    </row>
    <row r="58" spans="2:30" s="186" customFormat="1" ht="41.25" customHeight="1">
      <c r="B58" s="353"/>
      <c r="C58" s="353"/>
      <c r="D58" s="353"/>
      <c r="E58" s="353"/>
      <c r="F58" s="353"/>
      <c r="G58" s="353"/>
      <c r="H58" s="185"/>
      <c r="I58" s="353"/>
      <c r="J58" s="353"/>
      <c r="K58" s="353"/>
      <c r="L58" s="353"/>
      <c r="M58" s="353"/>
      <c r="N58" s="353"/>
      <c r="O58" s="185"/>
      <c r="P58" s="353"/>
      <c r="Q58" s="353"/>
      <c r="R58" s="353"/>
      <c r="S58" s="353"/>
      <c r="T58" s="353"/>
      <c r="U58" s="353"/>
      <c r="V58" s="185"/>
      <c r="W58" s="353"/>
      <c r="X58" s="353"/>
      <c r="Y58" s="353"/>
      <c r="Z58" s="353"/>
      <c r="AA58" s="353"/>
      <c r="AB58" s="353"/>
    </row>
    <row r="59" spans="2:30" s="186" customFormat="1" ht="27.75" customHeight="1">
      <c r="B59" s="354"/>
      <c r="C59" s="355"/>
      <c r="D59" s="356"/>
      <c r="E59" s="370"/>
      <c r="F59" s="356"/>
      <c r="G59" s="372"/>
      <c r="H59" s="185"/>
      <c r="I59" s="354"/>
      <c r="J59" s="355"/>
      <c r="K59" s="356"/>
      <c r="L59" s="370"/>
      <c r="M59" s="356"/>
      <c r="N59" s="372"/>
      <c r="O59" s="185"/>
      <c r="P59" s="354"/>
      <c r="Q59" s="355"/>
      <c r="R59" s="356"/>
      <c r="S59" s="370"/>
      <c r="T59" s="356"/>
      <c r="U59" s="372"/>
      <c r="V59" s="185"/>
      <c r="W59" s="354"/>
      <c r="X59" s="355"/>
      <c r="Y59" s="356"/>
      <c r="Z59" s="370"/>
      <c r="AA59" s="356"/>
      <c r="AB59" s="372"/>
    </row>
    <row r="60" spans="2:30" s="186" customFormat="1" ht="27.75" customHeight="1">
      <c r="B60" s="354"/>
      <c r="C60" s="355"/>
      <c r="D60" s="356"/>
      <c r="E60" s="370"/>
      <c r="F60" s="356"/>
      <c r="G60" s="372"/>
      <c r="H60" s="185"/>
      <c r="I60" s="354"/>
      <c r="J60" s="355"/>
      <c r="K60" s="356"/>
      <c r="L60" s="370"/>
      <c r="M60" s="356"/>
      <c r="N60" s="372"/>
      <c r="O60" s="185"/>
      <c r="P60" s="354"/>
      <c r="Q60" s="355"/>
      <c r="R60" s="356"/>
      <c r="S60" s="370"/>
      <c r="T60" s="356"/>
      <c r="U60" s="372"/>
      <c r="V60" s="185"/>
      <c r="W60" s="354"/>
      <c r="X60" s="355"/>
      <c r="Y60" s="356"/>
      <c r="Z60" s="370"/>
      <c r="AA60" s="356"/>
      <c r="AB60" s="372"/>
    </row>
    <row r="61" spans="2:30" s="186" customFormat="1" ht="18.75" customHeight="1">
      <c r="B61" s="373"/>
      <c r="C61" s="374"/>
      <c r="D61" s="370"/>
      <c r="E61" s="370"/>
      <c r="F61" s="370"/>
      <c r="G61" s="371"/>
      <c r="H61" s="185"/>
      <c r="I61" s="373"/>
      <c r="J61" s="374"/>
      <c r="K61" s="370"/>
      <c r="L61" s="370"/>
      <c r="M61" s="370"/>
      <c r="N61" s="371"/>
      <c r="O61" s="185"/>
      <c r="P61" s="373"/>
      <c r="Q61" s="374"/>
      <c r="R61" s="370"/>
      <c r="S61" s="370"/>
      <c r="T61" s="370"/>
      <c r="U61" s="371"/>
      <c r="V61" s="185"/>
      <c r="W61" s="357"/>
      <c r="X61" s="353"/>
      <c r="Y61" s="356"/>
      <c r="Z61" s="370"/>
      <c r="AA61" s="356"/>
      <c r="AB61" s="371"/>
    </row>
    <row r="62" spans="2:30" s="186" customFormat="1" ht="18.75" customHeight="1">
      <c r="B62" s="373"/>
      <c r="C62" s="374"/>
      <c r="D62" s="370"/>
      <c r="E62" s="370"/>
      <c r="F62" s="370"/>
      <c r="G62" s="371"/>
      <c r="H62" s="185"/>
      <c r="I62" s="373"/>
      <c r="J62" s="374"/>
      <c r="K62" s="370"/>
      <c r="L62" s="370"/>
      <c r="M62" s="370"/>
      <c r="N62" s="371"/>
      <c r="O62" s="185"/>
      <c r="P62" s="373"/>
      <c r="Q62" s="374"/>
      <c r="R62" s="370"/>
      <c r="S62" s="370"/>
      <c r="T62" s="370"/>
      <c r="U62" s="371"/>
      <c r="V62" s="185"/>
      <c r="W62" s="357"/>
      <c r="X62" s="353"/>
      <c r="Y62" s="356"/>
      <c r="Z62" s="370"/>
      <c r="AA62" s="356"/>
      <c r="AB62" s="371"/>
    </row>
    <row r="63" spans="2:30" s="186" customFormat="1" ht="18.75" customHeight="1">
      <c r="B63" s="373"/>
      <c r="C63" s="374"/>
      <c r="D63" s="370"/>
      <c r="E63" s="370"/>
      <c r="F63" s="370"/>
      <c r="G63" s="371"/>
      <c r="H63" s="185"/>
      <c r="I63" s="373"/>
      <c r="J63" s="374"/>
      <c r="K63" s="370"/>
      <c r="L63" s="370"/>
      <c r="M63" s="370"/>
      <c r="N63" s="371"/>
      <c r="O63" s="185"/>
      <c r="P63" s="373"/>
      <c r="Q63" s="374"/>
      <c r="R63" s="370"/>
      <c r="S63" s="370"/>
      <c r="T63" s="370"/>
      <c r="U63" s="371"/>
      <c r="V63" s="185"/>
      <c r="W63" s="357"/>
      <c r="X63" s="353"/>
      <c r="Y63" s="356"/>
      <c r="Z63" s="370"/>
      <c r="AA63" s="356"/>
      <c r="AB63" s="371"/>
    </row>
    <row r="64" spans="2:30" s="186" customFormat="1" ht="30" customHeight="1">
      <c r="B64" s="354"/>
      <c r="C64" s="355"/>
      <c r="D64" s="356"/>
      <c r="E64" s="370"/>
      <c r="F64" s="356"/>
      <c r="G64" s="372"/>
      <c r="H64" s="185"/>
      <c r="I64" s="354"/>
      <c r="J64" s="355"/>
      <c r="K64" s="356"/>
      <c r="L64" s="370"/>
      <c r="M64" s="356"/>
      <c r="N64" s="372"/>
      <c r="O64" s="185"/>
      <c r="P64" s="354"/>
      <c r="Q64" s="355"/>
      <c r="R64" s="356"/>
      <c r="S64" s="370"/>
      <c r="T64" s="356"/>
      <c r="U64" s="372"/>
      <c r="V64" s="185"/>
      <c r="W64" s="354"/>
      <c r="X64" s="355"/>
      <c r="Y64" s="356"/>
      <c r="Z64" s="370"/>
      <c r="AA64" s="356"/>
      <c r="AB64" s="372"/>
    </row>
    <row r="65" spans="2:30" s="186" customFormat="1" ht="30" customHeight="1">
      <c r="B65" s="354"/>
      <c r="C65" s="355"/>
      <c r="D65" s="356"/>
      <c r="E65" s="370"/>
      <c r="F65" s="356"/>
      <c r="G65" s="372"/>
      <c r="H65" s="185"/>
      <c r="I65" s="354"/>
      <c r="J65" s="355"/>
      <c r="K65" s="356"/>
      <c r="L65" s="370"/>
      <c r="M65" s="356"/>
      <c r="N65" s="372"/>
      <c r="O65" s="185"/>
      <c r="P65" s="354"/>
      <c r="Q65" s="355"/>
      <c r="R65" s="356"/>
      <c r="S65" s="370"/>
      <c r="T65" s="356"/>
      <c r="U65" s="372"/>
      <c r="V65" s="185"/>
      <c r="W65" s="354"/>
      <c r="X65" s="355"/>
      <c r="Y65" s="356"/>
      <c r="Z65" s="370"/>
      <c r="AA65" s="356"/>
      <c r="AB65" s="372"/>
    </row>
    <row r="66" spans="2:30" s="186" customFormat="1" ht="15.75" customHeight="1">
      <c r="B66" s="358"/>
      <c r="C66" s="355"/>
      <c r="D66" s="194"/>
      <c r="E66" s="194"/>
      <c r="F66" s="194"/>
      <c r="G66" s="65"/>
      <c r="H66" s="185"/>
      <c r="I66" s="358"/>
      <c r="J66" s="355"/>
      <c r="K66" s="194"/>
      <c r="L66" s="194"/>
      <c r="M66" s="194"/>
      <c r="N66" s="65"/>
      <c r="O66" s="185"/>
      <c r="P66" s="358"/>
      <c r="Q66" s="355"/>
      <c r="R66" s="194"/>
      <c r="S66" s="194"/>
      <c r="T66" s="194"/>
      <c r="U66" s="65"/>
      <c r="V66" s="185"/>
      <c r="W66" s="358"/>
      <c r="X66" s="355"/>
      <c r="Y66" s="356"/>
      <c r="Z66" s="356"/>
      <c r="AA66" s="194"/>
      <c r="AB66" s="65"/>
    </row>
    <row r="67" spans="2:30" s="186" customFormat="1" ht="15.75" customHeight="1">
      <c r="B67" s="358"/>
      <c r="C67" s="355"/>
      <c r="D67" s="194"/>
      <c r="E67" s="194"/>
      <c r="F67" s="194"/>
      <c r="G67" s="65"/>
      <c r="H67" s="185"/>
      <c r="I67" s="358"/>
      <c r="J67" s="355"/>
      <c r="K67" s="194"/>
      <c r="L67" s="194"/>
      <c r="M67" s="194"/>
      <c r="N67" s="65"/>
      <c r="O67" s="185"/>
      <c r="P67" s="358"/>
      <c r="Q67" s="355"/>
      <c r="R67" s="194"/>
      <c r="S67" s="194"/>
      <c r="T67" s="194"/>
      <c r="U67" s="65"/>
      <c r="V67" s="185"/>
      <c r="W67" s="358"/>
      <c r="X67" s="355"/>
      <c r="Y67" s="356"/>
      <c r="Z67" s="356"/>
      <c r="AA67" s="194"/>
      <c r="AB67" s="65"/>
    </row>
    <row r="68" spans="2:30" s="186" customFormat="1" ht="15.75" customHeight="1">
      <c r="B68" s="359"/>
      <c r="C68" s="355"/>
      <c r="D68" s="197"/>
      <c r="E68" s="197"/>
      <c r="F68" s="197"/>
      <c r="G68" s="65"/>
      <c r="H68" s="185"/>
      <c r="I68" s="359"/>
      <c r="J68" s="355"/>
      <c r="K68" s="197"/>
      <c r="L68" s="197"/>
      <c r="M68" s="197"/>
      <c r="N68" s="65"/>
      <c r="O68" s="185"/>
      <c r="P68" s="359"/>
      <c r="Q68" s="355"/>
      <c r="R68" s="197"/>
      <c r="S68" s="197"/>
      <c r="T68" s="197"/>
      <c r="U68" s="65"/>
      <c r="V68" s="185"/>
      <c r="W68" s="359"/>
      <c r="X68" s="355"/>
      <c r="Y68" s="356"/>
      <c r="Z68" s="356"/>
      <c r="AA68" s="197"/>
      <c r="AB68" s="65"/>
    </row>
    <row r="69" spans="2:30" s="186" customFormat="1" ht="15.75" customHeight="1">
      <c r="B69" s="359"/>
      <c r="C69" s="355"/>
      <c r="D69" s="197"/>
      <c r="E69" s="197"/>
      <c r="F69" s="197"/>
      <c r="G69" s="9"/>
      <c r="H69" s="185"/>
      <c r="I69" s="359"/>
      <c r="J69" s="355"/>
      <c r="K69" s="197"/>
      <c r="L69" s="197"/>
      <c r="M69" s="197"/>
      <c r="N69" s="9"/>
      <c r="O69" s="185"/>
      <c r="P69" s="359"/>
      <c r="Q69" s="355"/>
      <c r="R69" s="197"/>
      <c r="S69" s="197"/>
      <c r="T69" s="197"/>
      <c r="U69" s="9"/>
      <c r="V69" s="185"/>
      <c r="W69" s="359"/>
      <c r="X69" s="355"/>
      <c r="Y69" s="356"/>
      <c r="Z69" s="356"/>
      <c r="AA69" s="197"/>
      <c r="AB69" s="207"/>
      <c r="AD69" s="9"/>
    </row>
    <row r="70" spans="2:30" s="186" customFormat="1" ht="15.75" customHeight="1">
      <c r="B70" s="208"/>
      <c r="C70" s="360"/>
      <c r="D70" s="197"/>
      <c r="E70" s="197"/>
      <c r="F70" s="65"/>
      <c r="G70" s="65"/>
      <c r="H70" s="185"/>
      <c r="I70" s="208"/>
      <c r="J70" s="360"/>
      <c r="K70" s="197"/>
      <c r="L70" s="197"/>
      <c r="M70" s="65"/>
      <c r="N70" s="65"/>
      <c r="O70" s="185"/>
      <c r="P70" s="208"/>
      <c r="Q70" s="360"/>
      <c r="R70" s="197"/>
      <c r="S70" s="197"/>
      <c r="T70" s="65"/>
      <c r="U70" s="65"/>
      <c r="V70" s="185"/>
      <c r="W70" s="208"/>
      <c r="X70" s="360"/>
      <c r="Y70" s="197"/>
      <c r="Z70" s="197"/>
      <c r="AA70" s="65"/>
      <c r="AB70" s="65"/>
    </row>
    <row r="71" spans="2:30" s="186" customFormat="1" ht="15.75" customHeight="1">
      <c r="B71" s="208"/>
      <c r="C71" s="360"/>
      <c r="D71" s="65"/>
      <c r="E71" s="65"/>
      <c r="F71" s="65"/>
      <c r="G71" s="65"/>
      <c r="H71" s="185"/>
      <c r="I71" s="208"/>
      <c r="J71" s="360"/>
      <c r="K71" s="65"/>
      <c r="L71" s="65"/>
      <c r="M71" s="65"/>
      <c r="N71" s="65"/>
      <c r="O71" s="185"/>
      <c r="P71" s="208"/>
      <c r="Q71" s="360"/>
      <c r="R71" s="65"/>
      <c r="S71" s="65"/>
      <c r="T71" s="65"/>
      <c r="U71" s="65"/>
      <c r="V71" s="185"/>
      <c r="W71" s="208"/>
      <c r="X71" s="360"/>
      <c r="Y71" s="65"/>
      <c r="Z71" s="65"/>
      <c r="AA71" s="65"/>
      <c r="AB71" s="65"/>
    </row>
    <row r="72" spans="2:30" s="186" customFormat="1" ht="15.75" customHeight="1">
      <c r="C72" s="185"/>
      <c r="D72" s="185"/>
      <c r="E72" s="185"/>
      <c r="F72" s="185"/>
      <c r="G72" s="185"/>
      <c r="H72" s="185"/>
      <c r="J72" s="185"/>
      <c r="K72" s="185"/>
      <c r="L72" s="185"/>
      <c r="M72" s="185"/>
      <c r="N72" s="185"/>
      <c r="O72" s="185"/>
      <c r="Q72" s="185"/>
      <c r="R72" s="185"/>
      <c r="S72" s="185"/>
      <c r="T72" s="185"/>
      <c r="U72" s="185"/>
      <c r="V72" s="185"/>
      <c r="W72" s="185"/>
      <c r="X72" s="185"/>
      <c r="Y72" s="185"/>
      <c r="Z72" s="185"/>
      <c r="AA72" s="185"/>
      <c r="AB72" s="207"/>
    </row>
    <row r="73" spans="2:30" ht="15.75" customHeight="1">
      <c r="AB73" s="207"/>
    </row>
  </sheetData>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I3" sqref="I3"/>
    </sheetView>
  </sheetViews>
  <sheetFormatPr defaultColWidth="9.109375" defaultRowHeight="14.4"/>
  <cols>
    <col min="1" max="1" width="3.44140625" style="15" customWidth="1"/>
    <col min="2" max="9" width="9.109375" style="15"/>
    <col min="10" max="10" width="3.44140625" style="15" customWidth="1"/>
    <col min="11" max="11" width="9.109375" style="16"/>
    <col min="12" max="18" width="9.109375" style="15"/>
    <col min="19" max="19" width="3.44140625" style="15" customWidth="1"/>
    <col min="20" max="27" width="9.109375" style="15" customWidth="1"/>
    <col min="28" max="28" width="3.44140625" style="15" customWidth="1"/>
    <col min="29" max="36" width="9.109375" style="15" customWidth="1"/>
    <col min="37" max="37" width="3.44140625" style="15" customWidth="1"/>
    <col min="38" max="47" width="9.109375" style="15" customWidth="1"/>
    <col min="48" max="50" width="0" style="15" hidden="1" customWidth="1"/>
    <col min="51" max="51" width="9.109375" style="15"/>
    <col min="52" max="55" width="10" style="18" customWidth="1"/>
    <col min="56" max="16384" width="9.109375" style="15"/>
  </cols>
  <sheetData>
    <row r="1" spans="2:56" s="12" customFormat="1" ht="36" thickTop="1">
      <c r="B1" s="11" t="s">
        <v>96</v>
      </c>
      <c r="M1" s="395" t="s">
        <v>97</v>
      </c>
      <c r="N1" s="396"/>
      <c r="O1" s="396"/>
      <c r="P1" s="396"/>
      <c r="Q1" s="396"/>
      <c r="R1" s="396"/>
      <c r="S1" s="396"/>
      <c r="T1" s="396"/>
      <c r="U1" s="396"/>
      <c r="V1" s="396"/>
      <c r="W1" s="396"/>
      <c r="X1" s="396"/>
      <c r="Y1" s="396"/>
      <c r="Z1" s="397"/>
      <c r="AZ1" s="13"/>
      <c r="BA1" s="13"/>
      <c r="BB1" s="13"/>
      <c r="BC1" s="13"/>
    </row>
    <row r="2" spans="2:56" s="12" customFormat="1" ht="35.4">
      <c r="B2" s="14" t="s">
        <v>90</v>
      </c>
      <c r="M2" s="398"/>
      <c r="N2" s="399"/>
      <c r="O2" s="399"/>
      <c r="P2" s="399"/>
      <c r="Q2" s="399"/>
      <c r="R2" s="399"/>
      <c r="S2" s="399"/>
      <c r="T2" s="399"/>
      <c r="U2" s="399"/>
      <c r="V2" s="399"/>
      <c r="W2" s="399"/>
      <c r="X2" s="399"/>
      <c r="Y2" s="399"/>
      <c r="Z2" s="400"/>
      <c r="AZ2" s="13"/>
      <c r="BA2" s="13"/>
      <c r="BB2" s="13"/>
      <c r="BC2" s="13"/>
    </row>
    <row r="3" spans="2:56" s="12" customFormat="1" ht="36" thickBot="1">
      <c r="M3" s="401"/>
      <c r="N3" s="402"/>
      <c r="O3" s="402"/>
      <c r="P3" s="402"/>
      <c r="Q3" s="402"/>
      <c r="R3" s="402"/>
      <c r="S3" s="402"/>
      <c r="T3" s="402"/>
      <c r="U3" s="402"/>
      <c r="V3" s="402"/>
      <c r="W3" s="402"/>
      <c r="X3" s="402"/>
      <c r="Y3" s="402"/>
      <c r="Z3" s="403"/>
      <c r="AZ3" s="13"/>
      <c r="BA3" s="13"/>
      <c r="BB3" s="13"/>
      <c r="BC3" s="13"/>
    </row>
    <row r="4" spans="2:56" ht="15" thickTop="1">
      <c r="N4" s="17" t="s">
        <v>90</v>
      </c>
      <c r="W4" s="17" t="s">
        <v>90</v>
      </c>
      <c r="AF4" s="17" t="s">
        <v>90</v>
      </c>
      <c r="AO4" s="17" t="s">
        <v>90</v>
      </c>
    </row>
    <row r="5" spans="2:56">
      <c r="AY5" s="23" t="s">
        <v>98</v>
      </c>
      <c r="AZ5" s="24"/>
      <c r="BA5" s="24"/>
      <c r="BB5" s="24"/>
      <c r="BC5" s="24"/>
      <c r="BD5" s="16"/>
    </row>
    <row r="6" spans="2:56">
      <c r="AY6" s="25"/>
      <c r="AZ6" s="26" t="s">
        <v>33</v>
      </c>
      <c r="BA6" s="26" t="s">
        <v>34</v>
      </c>
      <c r="BB6" s="26" t="s">
        <v>35</v>
      </c>
      <c r="BC6" s="26" t="s">
        <v>32</v>
      </c>
      <c r="BD6" s="16"/>
    </row>
    <row r="7" spans="2:56">
      <c r="AY7" s="27" t="s">
        <v>99</v>
      </c>
      <c r="AZ7" s="28">
        <f>'2a. % By Priority'!G5</f>
        <v>0.96703296703296704</v>
      </c>
      <c r="BA7" s="28" t="e">
        <f>'2a. % By Priority'!N5</f>
        <v>#DIV/0!</v>
      </c>
      <c r="BB7" s="28" t="e">
        <f>'2a. % By Priority'!U5</f>
        <v>#DIV/0!</v>
      </c>
      <c r="BC7" s="28" t="e">
        <f>'2a. % By Priority'!AB5</f>
        <v>#DIV/0!</v>
      </c>
      <c r="BD7" s="16"/>
    </row>
    <row r="8" spans="2:56">
      <c r="L8" s="20"/>
      <c r="M8" s="20"/>
      <c r="AY8" s="27" t="s">
        <v>100</v>
      </c>
      <c r="AZ8" s="28">
        <f>'2a. % By Priority'!G7</f>
        <v>3.2967032967032968E-2</v>
      </c>
      <c r="BA8" s="28" t="e">
        <f>'2a. % By Priority'!N7</f>
        <v>#DIV/0!</v>
      </c>
      <c r="BB8" s="28" t="e">
        <f>'2a. % By Priority'!U7</f>
        <v>#DIV/0!</v>
      </c>
      <c r="BC8" s="28" t="e">
        <f>'2a. % By Priority'!AB7</f>
        <v>#DIV/0!</v>
      </c>
      <c r="BD8" s="16"/>
    </row>
    <row r="9" spans="2:56">
      <c r="L9" s="20"/>
      <c r="M9" s="20"/>
      <c r="AY9" s="27" t="s">
        <v>101</v>
      </c>
      <c r="AZ9" s="28">
        <f>'2a. % By Priority'!G10</f>
        <v>0</v>
      </c>
      <c r="BA9" s="28" t="e">
        <f>'2a. % By Priority'!N10</f>
        <v>#DIV/0!</v>
      </c>
      <c r="BB9" s="28" t="e">
        <f>'2a. % By Priority'!U10</f>
        <v>#DIV/0!</v>
      </c>
      <c r="BC9" s="28" t="e">
        <f>'2a. % By Priority'!AB10</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90</v>
      </c>
      <c r="W20" s="17" t="s">
        <v>90</v>
      </c>
      <c r="AF20" s="17" t="s">
        <v>90</v>
      </c>
      <c r="AO20" s="17" t="s">
        <v>90</v>
      </c>
      <c r="AY20" s="33"/>
      <c r="AZ20" s="24"/>
      <c r="BA20" s="24"/>
      <c r="BB20" s="24"/>
      <c r="BC20" s="24"/>
      <c r="BD20" s="16"/>
    </row>
    <row r="21" spans="12:56">
      <c r="AY21" s="23" t="s">
        <v>93</v>
      </c>
      <c r="AZ21" s="24"/>
      <c r="BA21" s="24"/>
      <c r="BB21" s="24"/>
      <c r="BC21" s="24"/>
      <c r="BD21" s="16"/>
    </row>
    <row r="22" spans="12:56">
      <c r="AY22" s="25"/>
      <c r="AZ22" s="26" t="s">
        <v>33</v>
      </c>
      <c r="BA22" s="26" t="s">
        <v>34</v>
      </c>
      <c r="BB22" s="26" t="s">
        <v>35</v>
      </c>
      <c r="BC22" s="26" t="s">
        <v>32</v>
      </c>
      <c r="BD22" s="16"/>
    </row>
    <row r="23" spans="12:56">
      <c r="AY23" s="27" t="s">
        <v>99</v>
      </c>
      <c r="AZ23" s="28">
        <f>'2a. % By Priority'!G23</f>
        <v>0.96610169491525422</v>
      </c>
      <c r="BA23" s="28" t="e">
        <f>'2a. % By Priority'!N23</f>
        <v>#DIV/0!</v>
      </c>
      <c r="BB23" s="28" t="e">
        <f>'2a. % By Priority'!U23</f>
        <v>#DIV/0!</v>
      </c>
      <c r="BC23" s="28" t="e">
        <f>'2a. % By Priority'!AB23</f>
        <v>#DIV/0!</v>
      </c>
      <c r="BD23" s="16"/>
    </row>
    <row r="24" spans="12:56">
      <c r="L24" s="20"/>
      <c r="M24" s="20"/>
      <c r="AY24" s="27" t="s">
        <v>100</v>
      </c>
      <c r="AZ24" s="28">
        <f>'2a. % By Priority'!G25</f>
        <v>3.3898305084745763E-2</v>
      </c>
      <c r="BA24" s="28" t="e">
        <f>'2a. % By Priority'!N25</f>
        <v>#DIV/0!</v>
      </c>
      <c r="BB24" s="28" t="e">
        <f>'2a. % By Priority'!U25</f>
        <v>#DIV/0!</v>
      </c>
      <c r="BC24" s="28" t="e">
        <f>'2a. % By Priority'!AB25</f>
        <v>#DIV/0!</v>
      </c>
      <c r="BD24" s="16"/>
    </row>
    <row r="25" spans="12:56">
      <c r="L25" s="20"/>
      <c r="M25" s="20"/>
      <c r="AY25" s="27" t="s">
        <v>101</v>
      </c>
      <c r="AZ25" s="28">
        <f>'2a. % By Priority'!G28</f>
        <v>0</v>
      </c>
      <c r="BA25" s="28" t="e">
        <f>'2a. % By Priority'!N28</f>
        <v>#DIV/0!</v>
      </c>
      <c r="BB25" s="28" t="e">
        <f>'2a. % By Priority'!U28</f>
        <v>#DIV/0!</v>
      </c>
      <c r="BC25" s="28" t="e">
        <f>'2a. % By Priority'!AB28</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90</v>
      </c>
      <c r="W36" s="17" t="s">
        <v>90</v>
      </c>
      <c r="AF36" s="17" t="s">
        <v>90</v>
      </c>
      <c r="AO36" s="17" t="s">
        <v>90</v>
      </c>
      <c r="AY36" s="33"/>
      <c r="AZ36" s="24"/>
      <c r="BA36" s="24"/>
      <c r="BB36" s="24"/>
      <c r="BC36" s="24"/>
      <c r="BD36" s="16"/>
    </row>
    <row r="37" spans="11:56">
      <c r="AY37" s="23" t="s">
        <v>94</v>
      </c>
      <c r="AZ37" s="34"/>
      <c r="BA37" s="34"/>
      <c r="BB37" s="34"/>
      <c r="BC37" s="34"/>
      <c r="BD37" s="22"/>
    </row>
    <row r="38" spans="11:56">
      <c r="AY38" s="35"/>
      <c r="AZ38" s="26" t="s">
        <v>33</v>
      </c>
      <c r="BA38" s="26" t="s">
        <v>34</v>
      </c>
      <c r="BB38" s="26" t="s">
        <v>35</v>
      </c>
      <c r="BC38" s="26" t="s">
        <v>32</v>
      </c>
      <c r="BD38" s="22"/>
    </row>
    <row r="39" spans="11:56">
      <c r="AY39" s="27" t="s">
        <v>99</v>
      </c>
      <c r="AZ39" s="28">
        <f>'2a. % By Priority'!G41</f>
        <v>0</v>
      </c>
      <c r="BA39" s="28">
        <f>'2a. % By Priority'!N41</f>
        <v>0</v>
      </c>
      <c r="BB39" s="28">
        <f>'2a. % By Priority'!U41</f>
        <v>0</v>
      </c>
      <c r="BC39" s="28">
        <f>'2a. % By Priority'!AB41</f>
        <v>0</v>
      </c>
      <c r="BD39" s="22"/>
    </row>
    <row r="40" spans="11:56">
      <c r="K40" s="20"/>
      <c r="L40" s="20"/>
      <c r="AY40" s="27" t="s">
        <v>100</v>
      </c>
      <c r="AZ40" s="28">
        <f>'2a. % By Priority'!G43</f>
        <v>0</v>
      </c>
      <c r="BA40" s="28">
        <f>'2a. % By Priority'!N43</f>
        <v>0</v>
      </c>
      <c r="BB40" s="28">
        <f>'2a. % By Priority'!U43</f>
        <v>0</v>
      </c>
      <c r="BC40" s="28">
        <f>'2a. % By Priority'!AB43</f>
        <v>0</v>
      </c>
      <c r="BD40" s="22"/>
    </row>
    <row r="41" spans="11:56">
      <c r="K41" s="20"/>
      <c r="L41" s="20"/>
      <c r="AY41" s="27" t="s">
        <v>101</v>
      </c>
      <c r="AZ41" s="28">
        <f>'2a. % By Priority'!G46</f>
        <v>0</v>
      </c>
      <c r="BA41" s="28">
        <f>'2a. % By Priority'!N46</f>
        <v>0</v>
      </c>
      <c r="BB41" s="28">
        <f>'2a. % By Priority'!U46</f>
        <v>0</v>
      </c>
      <c r="BC41" s="28">
        <f>'2a. % By Priority'!AB46</f>
        <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90</v>
      </c>
      <c r="W52" s="17" t="s">
        <v>90</v>
      </c>
      <c r="AF52" s="17" t="s">
        <v>90</v>
      </c>
      <c r="AP52" s="17" t="s">
        <v>90</v>
      </c>
      <c r="AY52" s="33"/>
      <c r="AZ52" s="24"/>
      <c r="BA52" s="24"/>
      <c r="BB52" s="24"/>
      <c r="BC52" s="24"/>
      <c r="BD52" s="16"/>
    </row>
    <row r="53" spans="12:56">
      <c r="AY53" s="23" t="s">
        <v>95</v>
      </c>
      <c r="AZ53" s="34"/>
      <c r="BA53" s="34"/>
      <c r="BB53" s="34"/>
      <c r="BC53" s="34"/>
      <c r="BD53" s="16"/>
    </row>
    <row r="54" spans="12:56">
      <c r="AY54" s="35"/>
      <c r="AZ54" s="26" t="s">
        <v>33</v>
      </c>
      <c r="BA54" s="26" t="s">
        <v>34</v>
      </c>
      <c r="BB54" s="26" t="s">
        <v>35</v>
      </c>
      <c r="BC54" s="26" t="s">
        <v>32</v>
      </c>
      <c r="BD54" s="16"/>
    </row>
    <row r="55" spans="12:56">
      <c r="AY55" s="27" t="s">
        <v>99</v>
      </c>
      <c r="AZ55" s="28">
        <f>'2a. % By Priority'!G59</f>
        <v>0</v>
      </c>
      <c r="BA55" s="28">
        <f>'2a. % By Priority'!N59</f>
        <v>0</v>
      </c>
      <c r="BB55" s="28">
        <f>'2a. % By Priority'!U59</f>
        <v>0</v>
      </c>
      <c r="BC55" s="28">
        <f>'2a. % By Priority'!AB59</f>
        <v>0</v>
      </c>
      <c r="BD55" s="16"/>
    </row>
    <row r="56" spans="12:56">
      <c r="L56" s="20"/>
      <c r="M56" s="20"/>
      <c r="AY56" s="27" t="s">
        <v>100</v>
      </c>
      <c r="AZ56" s="28">
        <f>'2a. % By Priority'!G61</f>
        <v>0</v>
      </c>
      <c r="BA56" s="28">
        <f>'2a. % By Priority'!N61</f>
        <v>0</v>
      </c>
      <c r="BB56" s="28">
        <f>'2a. % By Priority'!U61</f>
        <v>0</v>
      </c>
      <c r="BC56" s="28">
        <f>'2a. % By Priority'!AB61</f>
        <v>0</v>
      </c>
      <c r="BD56" s="16"/>
    </row>
    <row r="57" spans="12:56">
      <c r="L57" s="20"/>
      <c r="M57" s="20"/>
      <c r="AY57" s="27" t="s">
        <v>101</v>
      </c>
      <c r="AZ57" s="28">
        <f>'2a. % By Priority'!G64</f>
        <v>0</v>
      </c>
      <c r="BA57" s="28">
        <f>'2a. % By Priority'!N64</f>
        <v>0</v>
      </c>
      <c r="BB57" s="28">
        <f>'2a. % By Priority'!U64</f>
        <v>0</v>
      </c>
      <c r="BC57" s="28">
        <f>'2a. % By Priority'!AB64</f>
        <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B1" zoomScale="80" zoomScaleNormal="80" workbookViewId="0">
      <selection activeCell="E26" sqref="E26:E28"/>
    </sheetView>
  </sheetViews>
  <sheetFormatPr defaultColWidth="9.109375" defaultRowHeight="13.8"/>
  <cols>
    <col min="1" max="1" width="3.44140625" style="177" customWidth="1"/>
    <col min="2" max="2" width="38.88671875" style="177" customWidth="1"/>
    <col min="3" max="3" width="13.5546875" style="174" customWidth="1"/>
    <col min="4" max="4" width="13.88671875" style="174" customWidth="1"/>
    <col min="5" max="5" width="16.44140625" style="174" customWidth="1"/>
    <col min="6" max="6" width="14.109375" style="177" customWidth="1"/>
    <col min="7" max="7" width="17.109375" style="174" customWidth="1"/>
    <col min="8" max="8" width="4.5546875" style="177" customWidth="1"/>
    <col min="9" max="9" width="38.88671875" style="177" hidden="1" customWidth="1"/>
    <col min="10" max="10" width="13.5546875" style="174" hidden="1" customWidth="1"/>
    <col min="11" max="11" width="13.88671875" style="174" hidden="1" customWidth="1"/>
    <col min="12" max="12" width="16.44140625" style="174" hidden="1" customWidth="1"/>
    <col min="13" max="13" width="14.109375" style="177" hidden="1" customWidth="1"/>
    <col min="14" max="14" width="17.109375" style="174" hidden="1" customWidth="1"/>
    <col min="15" max="15" width="4.5546875" style="177" hidden="1" customWidth="1"/>
    <col min="16" max="16" width="38.88671875" style="177" hidden="1" customWidth="1"/>
    <col min="17" max="17" width="13.5546875" style="174" hidden="1" customWidth="1"/>
    <col min="18" max="18" width="13.88671875" style="174" hidden="1" customWidth="1"/>
    <col min="19" max="19" width="16.44140625" style="174" hidden="1" customWidth="1"/>
    <col min="20" max="20" width="14.109375" style="177" hidden="1" customWidth="1"/>
    <col min="21" max="21" width="17.109375" style="174" hidden="1" customWidth="1"/>
    <col min="22" max="22" width="4.5546875" style="177" hidden="1" customWidth="1"/>
    <col min="23" max="23" width="55.44140625" style="174" hidden="1" customWidth="1"/>
    <col min="24" max="24" width="14.5546875" style="174" hidden="1" customWidth="1"/>
    <col min="25" max="27" width="17.109375" style="174" hidden="1" customWidth="1"/>
    <col min="28" max="28" width="17.109375" style="201" hidden="1" customWidth="1"/>
    <col min="29" max="29" width="9.109375" style="177" customWidth="1"/>
    <col min="30" max="16384" width="9.109375" style="177"/>
  </cols>
  <sheetData>
    <row r="1" spans="2:30" s="171" customFormat="1" ht="21">
      <c r="B1" s="209" t="s">
        <v>261</v>
      </c>
      <c r="C1" s="210"/>
      <c r="D1" s="211"/>
      <c r="E1" s="211"/>
      <c r="F1" s="212"/>
      <c r="G1" s="211"/>
      <c r="I1" s="209" t="s">
        <v>262</v>
      </c>
      <c r="J1" s="210"/>
      <c r="K1" s="211"/>
      <c r="L1" s="211"/>
      <c r="M1" s="212"/>
      <c r="N1" s="211"/>
      <c r="P1" s="209" t="s">
        <v>263</v>
      </c>
      <c r="Q1" s="210"/>
      <c r="R1" s="211"/>
      <c r="S1" s="211"/>
      <c r="T1" s="212"/>
      <c r="U1" s="211"/>
      <c r="W1" s="213" t="s">
        <v>264</v>
      </c>
      <c r="X1" s="214"/>
      <c r="Y1" s="214"/>
      <c r="Z1" s="214"/>
      <c r="AA1" s="214"/>
      <c r="AB1" s="215"/>
    </row>
    <row r="2" spans="2:30" ht="15.6">
      <c r="B2" s="172"/>
      <c r="C2" s="173"/>
      <c r="D2" s="173"/>
      <c r="E2" s="173"/>
      <c r="F2" s="172"/>
      <c r="G2" s="173"/>
      <c r="I2" s="172"/>
      <c r="J2" s="173"/>
      <c r="K2" s="173"/>
      <c r="L2" s="173"/>
      <c r="M2" s="172"/>
      <c r="N2" s="173"/>
      <c r="P2" s="172"/>
      <c r="Q2" s="173"/>
      <c r="R2" s="173"/>
      <c r="S2" s="173"/>
      <c r="T2" s="172"/>
      <c r="U2" s="173"/>
      <c r="W2" s="175"/>
      <c r="X2" s="175"/>
      <c r="Y2" s="175"/>
      <c r="Z2" s="175"/>
      <c r="AA2" s="175"/>
      <c r="AB2" s="176"/>
    </row>
    <row r="3" spans="2:30" s="186" customFormat="1" ht="15.6">
      <c r="B3" s="216" t="s">
        <v>112</v>
      </c>
      <c r="C3" s="217"/>
      <c r="D3" s="217"/>
      <c r="E3" s="217"/>
      <c r="F3" s="218"/>
      <c r="G3" s="217"/>
      <c r="I3" s="216" t="s">
        <v>112</v>
      </c>
      <c r="J3" s="217"/>
      <c r="K3" s="217"/>
      <c r="L3" s="217"/>
      <c r="M3" s="218"/>
      <c r="N3" s="217"/>
      <c r="P3" s="216" t="s">
        <v>112</v>
      </c>
      <c r="Q3" s="217"/>
      <c r="R3" s="217"/>
      <c r="S3" s="217"/>
      <c r="T3" s="218"/>
      <c r="U3" s="217"/>
      <c r="W3" s="216" t="s">
        <v>112</v>
      </c>
      <c r="X3" s="217"/>
      <c r="Y3" s="217"/>
      <c r="Z3" s="217"/>
      <c r="AA3" s="218"/>
      <c r="AB3" s="217"/>
    </row>
    <row r="4" spans="2:30" ht="42" customHeight="1">
      <c r="B4" s="219" t="s">
        <v>82</v>
      </c>
      <c r="C4" s="220" t="s">
        <v>83</v>
      </c>
      <c r="D4" s="220" t="s">
        <v>84</v>
      </c>
      <c r="E4" s="220" t="s">
        <v>85</v>
      </c>
      <c r="F4" s="219" t="s">
        <v>86</v>
      </c>
      <c r="G4" s="220" t="s">
        <v>87</v>
      </c>
      <c r="I4" s="219" t="s">
        <v>82</v>
      </c>
      <c r="J4" s="220" t="s">
        <v>83</v>
      </c>
      <c r="K4" s="220" t="s">
        <v>84</v>
      </c>
      <c r="L4" s="220" t="s">
        <v>85</v>
      </c>
      <c r="M4" s="219" t="s">
        <v>86</v>
      </c>
      <c r="N4" s="220" t="s">
        <v>87</v>
      </c>
      <c r="P4" s="219" t="s">
        <v>82</v>
      </c>
      <c r="Q4" s="220" t="s">
        <v>83</v>
      </c>
      <c r="R4" s="220" t="s">
        <v>84</v>
      </c>
      <c r="S4" s="220" t="s">
        <v>85</v>
      </c>
      <c r="T4" s="219" t="s">
        <v>86</v>
      </c>
      <c r="U4" s="220" t="s">
        <v>87</v>
      </c>
      <c r="W4" s="184" t="s">
        <v>82</v>
      </c>
      <c r="X4" s="184" t="s">
        <v>83</v>
      </c>
      <c r="Y4" s="184" t="s">
        <v>84</v>
      </c>
      <c r="Z4" s="184" t="s">
        <v>85</v>
      </c>
      <c r="AA4" s="184" t="s">
        <v>86</v>
      </c>
      <c r="AB4" s="184" t="s">
        <v>87</v>
      </c>
    </row>
    <row r="5" spans="2:30" ht="21.75" customHeight="1">
      <c r="B5" s="338" t="s">
        <v>88</v>
      </c>
      <c r="C5" s="221">
        <f>COUNTIFS('1. All Data'!$AB$3:$AB$133,"LEADER",'1. All Data'!$H$3:$H$133,"Fully Achieved")</f>
        <v>5</v>
      </c>
      <c r="D5" s="222">
        <f>C5/C16</f>
        <v>0.20833333333333334</v>
      </c>
      <c r="E5" s="416">
        <f>D5+D6</f>
        <v>0.75</v>
      </c>
      <c r="F5" s="223">
        <f>C5/C17</f>
        <v>0.27777777777777779</v>
      </c>
      <c r="G5" s="421">
        <f>F5+F6</f>
        <v>1</v>
      </c>
      <c r="I5" s="338" t="s">
        <v>88</v>
      </c>
      <c r="J5" s="221">
        <f>COUNTIFS('1. All Data'!$AB$3:$AB$133,"LEADER",'1. All Data'!$M$3:$M$133,"Fully Achieved")</f>
        <v>0</v>
      </c>
      <c r="K5" s="222" t="e">
        <f>J5/J16</f>
        <v>#DIV/0!</v>
      </c>
      <c r="L5" s="416" t="e">
        <f>K5+K6</f>
        <v>#DIV/0!</v>
      </c>
      <c r="M5" s="223" t="e">
        <f>J5/J17</f>
        <v>#DIV/0!</v>
      </c>
      <c r="N5" s="421" t="e">
        <f>M5+M6</f>
        <v>#DIV/0!</v>
      </c>
      <c r="P5" s="338" t="s">
        <v>88</v>
      </c>
      <c r="Q5" s="221">
        <f>COUNTIFS('1. All Data'!$AB$3:$AB$133,"LEADER",'1. All Data'!$R$3:$R$133,"Fully Achieved")</f>
        <v>0</v>
      </c>
      <c r="R5" s="222" t="e">
        <f>Q5/Q16</f>
        <v>#DIV/0!</v>
      </c>
      <c r="S5" s="416" t="e">
        <f>R5+R6</f>
        <v>#DIV/0!</v>
      </c>
      <c r="T5" s="223" t="e">
        <f>Q5/Q17</f>
        <v>#DIV/0!</v>
      </c>
      <c r="U5" s="421" t="e">
        <f>T5+T6</f>
        <v>#DIV/0!</v>
      </c>
      <c r="W5" s="338" t="s">
        <v>88</v>
      </c>
      <c r="X5" s="221">
        <f>COUNTIFS('1. All Data'!$AB$3:$AB$133,"LEADER",'1. All Data'!$V$3:$V$133,"Fully Achieved")</f>
        <v>0</v>
      </c>
      <c r="Y5" s="222" t="e">
        <f>X5/X16</f>
        <v>#DIV/0!</v>
      </c>
      <c r="Z5" s="416" t="e">
        <f>Y5+Y6</f>
        <v>#DIV/0!</v>
      </c>
      <c r="AA5" s="222" t="e">
        <f>X5/X17</f>
        <v>#DIV/0!</v>
      </c>
      <c r="AB5" s="392" t="e">
        <f>AA5+AA6</f>
        <v>#DIV/0!</v>
      </c>
    </row>
    <row r="6" spans="2:30" ht="18.75" customHeight="1">
      <c r="B6" s="338" t="s">
        <v>65</v>
      </c>
      <c r="C6" s="221">
        <f>COUNTIFS('1. All Data'!$AB$3:$AB$133,"LEADER",'1. All Data'!$H$3:$H$133,"On Track to be Achieved")</f>
        <v>13</v>
      </c>
      <c r="D6" s="222">
        <f>C6/C16</f>
        <v>0.54166666666666663</v>
      </c>
      <c r="E6" s="416"/>
      <c r="F6" s="223">
        <f>C6/C17</f>
        <v>0.72222222222222221</v>
      </c>
      <c r="G6" s="421"/>
      <c r="I6" s="338" t="s">
        <v>65</v>
      </c>
      <c r="J6" s="221">
        <f>COUNTIFS('1. All Data'!$AB$3:$AB$133,"LEADER",'1. All Data'!$M$3:$M$133,"On Track to be Achieved")</f>
        <v>0</v>
      </c>
      <c r="K6" s="222" t="e">
        <f>J6/J16</f>
        <v>#DIV/0!</v>
      </c>
      <c r="L6" s="416"/>
      <c r="M6" s="223" t="e">
        <f>J6/J17</f>
        <v>#DIV/0!</v>
      </c>
      <c r="N6" s="421"/>
      <c r="P6" s="338" t="s">
        <v>65</v>
      </c>
      <c r="Q6" s="221">
        <f>COUNTIFS('1. All Data'!$AB$3:$AB$133,"LEADER",'1. All Data'!$R$3:$R$133,"On Track to be Achieved")</f>
        <v>0</v>
      </c>
      <c r="R6" s="222" t="e">
        <f>Q6/Q16</f>
        <v>#DIV/0!</v>
      </c>
      <c r="S6" s="416"/>
      <c r="T6" s="223" t="e">
        <f>Q6/Q17</f>
        <v>#DIV/0!</v>
      </c>
      <c r="U6" s="421"/>
      <c r="W6" s="338" t="s">
        <v>57</v>
      </c>
      <c r="X6" s="221">
        <f>COUNTIFS('1. All Data'!$AB$3:$AB$133,"LEADER",'1. All Data'!$V$3:$V$133,"Numerical Outturn Within 5% Tolerance")</f>
        <v>0</v>
      </c>
      <c r="Y6" s="222" t="e">
        <f>X6/X16</f>
        <v>#DIV/0!</v>
      </c>
      <c r="Z6" s="416"/>
      <c r="AA6" s="222" t="e">
        <f>X6/X17</f>
        <v>#DIV/0!</v>
      </c>
      <c r="AB6" s="392"/>
    </row>
    <row r="7" spans="2:30" ht="21" customHeight="1">
      <c r="B7" s="410" t="s">
        <v>66</v>
      </c>
      <c r="C7" s="413">
        <f>COUNTIFS('1. All Data'!$AB$3:$AB$133,"LEADER",'1. All Data'!$H$3:$H$133,"In Danger of Falling Behind Target")</f>
        <v>0</v>
      </c>
      <c r="D7" s="418">
        <f>C7/C16</f>
        <v>0</v>
      </c>
      <c r="E7" s="418">
        <f>D7</f>
        <v>0</v>
      </c>
      <c r="F7" s="404">
        <f>C7/C17</f>
        <v>0</v>
      </c>
      <c r="G7" s="407">
        <f>F7</f>
        <v>0</v>
      </c>
      <c r="I7" s="410" t="s">
        <v>66</v>
      </c>
      <c r="J7" s="413">
        <f>COUNTIFS('1. All Data'!$AB$3:$AB$133,"LEADER",'1. All Data'!$M$3:$M$133,"In Danger of Falling Behind Target")</f>
        <v>0</v>
      </c>
      <c r="K7" s="418" t="e">
        <f>J7/J16</f>
        <v>#DIV/0!</v>
      </c>
      <c r="L7" s="418" t="e">
        <f>K7</f>
        <v>#DIV/0!</v>
      </c>
      <c r="M7" s="404" t="e">
        <f>J7/J17</f>
        <v>#DIV/0!</v>
      </c>
      <c r="N7" s="407" t="e">
        <f>M7</f>
        <v>#DIV/0!</v>
      </c>
      <c r="P7" s="410" t="s">
        <v>66</v>
      </c>
      <c r="Q7" s="413">
        <f>COUNTIFS('1. All Data'!$AB$3:$AB$133,"LEADER",'1. All Data'!$R$3:$R$133,"In Danger of Falling Behind Target")</f>
        <v>0</v>
      </c>
      <c r="R7" s="418" t="e">
        <f>Q7/Q16</f>
        <v>#DIV/0!</v>
      </c>
      <c r="S7" s="418" t="e">
        <f>R7</f>
        <v>#DIV/0!</v>
      </c>
      <c r="T7" s="404" t="e">
        <f>Q7/Q17</f>
        <v>#DIV/0!</v>
      </c>
      <c r="U7" s="407" t="e">
        <f>T7</f>
        <v>#DIV/0!</v>
      </c>
      <c r="W7" s="189" t="s">
        <v>58</v>
      </c>
      <c r="X7" s="190">
        <f>COUNTIFS('1. All Data'!$AB$3:$AB$133,"LEADER",'1. All Data'!$V$3:$V$133,"Numerical Outturn Within 10% Tolerance")</f>
        <v>0</v>
      </c>
      <c r="Y7" s="188" t="e">
        <f>X7/$X$16</f>
        <v>#DIV/0!</v>
      </c>
      <c r="Z7" s="375" t="e">
        <f>SUM(Y7:Y9)</f>
        <v>#DIV/0!</v>
      </c>
      <c r="AA7" s="188" t="e">
        <f>X7/$X$17</f>
        <v>#DIV/0!</v>
      </c>
      <c r="AB7" s="376" t="e">
        <f>SUM(AA7:AA9)</f>
        <v>#DIV/0!</v>
      </c>
    </row>
    <row r="8" spans="2:30" ht="20.25" customHeight="1">
      <c r="B8" s="411"/>
      <c r="C8" s="414"/>
      <c r="D8" s="419"/>
      <c r="E8" s="419"/>
      <c r="F8" s="405"/>
      <c r="G8" s="408"/>
      <c r="I8" s="411"/>
      <c r="J8" s="414"/>
      <c r="K8" s="419"/>
      <c r="L8" s="419"/>
      <c r="M8" s="405"/>
      <c r="N8" s="408"/>
      <c r="P8" s="411"/>
      <c r="Q8" s="414"/>
      <c r="R8" s="419"/>
      <c r="S8" s="419"/>
      <c r="T8" s="405"/>
      <c r="U8" s="408"/>
      <c r="W8" s="189" t="s">
        <v>59</v>
      </c>
      <c r="X8" s="190">
        <f>COUNTIFS('1. All Data'!$AB$3:$AB$133,"LEADER",'1. All Data'!$V$3:$V$133,"Target Partially Met")</f>
        <v>0</v>
      </c>
      <c r="Y8" s="188" t="e">
        <f>X8/$X$16</f>
        <v>#DIV/0!</v>
      </c>
      <c r="Z8" s="375"/>
      <c r="AA8" s="188" t="e">
        <f>X8/$X$17</f>
        <v>#DIV/0!</v>
      </c>
      <c r="AB8" s="376"/>
    </row>
    <row r="9" spans="2:30" ht="18.75" customHeight="1">
      <c r="B9" s="412"/>
      <c r="C9" s="415"/>
      <c r="D9" s="420"/>
      <c r="E9" s="420"/>
      <c r="F9" s="406"/>
      <c r="G9" s="409"/>
      <c r="I9" s="412"/>
      <c r="J9" s="415"/>
      <c r="K9" s="420"/>
      <c r="L9" s="420"/>
      <c r="M9" s="406"/>
      <c r="N9" s="409"/>
      <c r="P9" s="412"/>
      <c r="Q9" s="415"/>
      <c r="R9" s="420"/>
      <c r="S9" s="420"/>
      <c r="T9" s="406"/>
      <c r="U9" s="409"/>
      <c r="W9" s="189" t="s">
        <v>62</v>
      </c>
      <c r="X9" s="190">
        <f>COUNTIFS('1. All Data'!$AB$3:$AB$133,"LEADER",'1. All Data'!$V$3:$V$133,"Completion Date Within Reasonable Tolerance")</f>
        <v>0</v>
      </c>
      <c r="Y9" s="188" t="e">
        <f>X9/$X$16</f>
        <v>#DIV/0!</v>
      </c>
      <c r="Z9" s="375"/>
      <c r="AA9" s="188" t="e">
        <f>X9/$X$17</f>
        <v>#DIV/0!</v>
      </c>
      <c r="AB9" s="376"/>
    </row>
    <row r="10" spans="2:30" ht="20.25" customHeight="1">
      <c r="B10" s="224" t="s">
        <v>67</v>
      </c>
      <c r="C10" s="221">
        <f>COUNTIFS('1. All Data'!$AB$3:$AB$133,"LEADER",'1. All Data'!$H$3:$H$133,"Completed Behind Schedule")</f>
        <v>0</v>
      </c>
      <c r="D10" s="222">
        <f>C10/C16</f>
        <v>0</v>
      </c>
      <c r="E10" s="416">
        <f>D10+D11</f>
        <v>0</v>
      </c>
      <c r="F10" s="223">
        <f>C10/C17</f>
        <v>0</v>
      </c>
      <c r="G10" s="417">
        <f>F10+F11</f>
        <v>0</v>
      </c>
      <c r="I10" s="224" t="s">
        <v>67</v>
      </c>
      <c r="J10" s="221">
        <f>COUNTIFS('1. All Data'!$AB$3:$AB$133,"LEADER",'1. All Data'!$M$3:$M$133,"Completed Behind Schedule")</f>
        <v>0</v>
      </c>
      <c r="K10" s="222" t="e">
        <f>J10/J16</f>
        <v>#DIV/0!</v>
      </c>
      <c r="L10" s="416" t="e">
        <f>K10+K11</f>
        <v>#DIV/0!</v>
      </c>
      <c r="M10" s="223" t="e">
        <f>J10/J17</f>
        <v>#DIV/0!</v>
      </c>
      <c r="N10" s="417" t="e">
        <f>M10+M11</f>
        <v>#DIV/0!</v>
      </c>
      <c r="P10" s="224" t="s">
        <v>67</v>
      </c>
      <c r="Q10" s="221">
        <f>COUNTIFS('1. All Data'!$AB$3:$AB$133,"LEADER",'1. All Data'!$R$3:$R$133,"Completed Behind Schedule")</f>
        <v>0</v>
      </c>
      <c r="R10" s="222" t="e">
        <f>Q10/Q16</f>
        <v>#DIV/0!</v>
      </c>
      <c r="S10" s="416" t="e">
        <f>R10+R11</f>
        <v>#DIV/0!</v>
      </c>
      <c r="T10" s="223" t="e">
        <f>Q10/Q17</f>
        <v>#DIV/0!</v>
      </c>
      <c r="U10" s="417" t="e">
        <f>T10+T11</f>
        <v>#DIV/0!</v>
      </c>
      <c r="W10" s="191" t="s">
        <v>61</v>
      </c>
      <c r="X10" s="221">
        <f>COUNTIFS('1. All Data'!$AB$3:$AB$133,"LEADER",'1. All Data'!$V$3:$V$133,"Completed Significantly After Target Deadline")</f>
        <v>0</v>
      </c>
      <c r="Y10" s="222" t="e">
        <f>X10/X16</f>
        <v>#DIV/0!</v>
      </c>
      <c r="Z10" s="416" t="e">
        <f>Y10+Y11</f>
        <v>#DIV/0!</v>
      </c>
      <c r="AA10" s="188" t="e">
        <f>X10/$X$17</f>
        <v>#DIV/0!</v>
      </c>
      <c r="AB10" s="377" t="e">
        <f>AA10+AA11</f>
        <v>#DIV/0!</v>
      </c>
    </row>
    <row r="11" spans="2:30" ht="20.25" customHeight="1">
      <c r="B11" s="224" t="s">
        <v>60</v>
      </c>
      <c r="C11" s="221">
        <f>COUNTIFS('1. All Data'!$AB$3:$AB$133,"LEADER",'1. All Data'!$H$3:$H$133,"Off Target")</f>
        <v>0</v>
      </c>
      <c r="D11" s="222">
        <f>C11/C16</f>
        <v>0</v>
      </c>
      <c r="E11" s="416"/>
      <c r="F11" s="223">
        <f>C11/C17</f>
        <v>0</v>
      </c>
      <c r="G11" s="417"/>
      <c r="I11" s="224" t="s">
        <v>60</v>
      </c>
      <c r="J11" s="221">
        <f>COUNTIFS('1. All Data'!$AB$3:$AB$133,"LEADER",'1. All Data'!$M$3:$M$133,"Off Target")</f>
        <v>0</v>
      </c>
      <c r="K11" s="222" t="e">
        <f>J11/J16</f>
        <v>#DIV/0!</v>
      </c>
      <c r="L11" s="416"/>
      <c r="M11" s="223" t="e">
        <f>J11/J17</f>
        <v>#DIV/0!</v>
      </c>
      <c r="N11" s="417"/>
      <c r="P11" s="224" t="s">
        <v>60</v>
      </c>
      <c r="Q11" s="221">
        <f>COUNTIFS('1. All Data'!$AB$3:$AB$133,"LEADER",'1. All Data'!$R$3:$R$133,"Off Target")</f>
        <v>0</v>
      </c>
      <c r="R11" s="222" t="e">
        <f>Q11/Q16</f>
        <v>#DIV/0!</v>
      </c>
      <c r="S11" s="416"/>
      <c r="T11" s="223" t="e">
        <f>Q11/Q17</f>
        <v>#DIV/0!</v>
      </c>
      <c r="U11" s="417"/>
      <c r="W11" s="191" t="s">
        <v>60</v>
      </c>
      <c r="X11" s="221">
        <f>COUNTIFS('1. All Data'!$AB$3:$AB$133,"LEADER",'1. All Data'!$V$3:$V$133,"Off Target")</f>
        <v>0</v>
      </c>
      <c r="Y11" s="222" t="e">
        <f>X11/X16</f>
        <v>#DIV/0!</v>
      </c>
      <c r="Z11" s="416"/>
      <c r="AA11" s="188" t="e">
        <f>X11/$X$17</f>
        <v>#DIV/0!</v>
      </c>
      <c r="AB11" s="377"/>
    </row>
    <row r="12" spans="2:30" ht="15" customHeight="1">
      <c r="B12" s="225" t="s">
        <v>89</v>
      </c>
      <c r="C12" s="221">
        <f>COUNTIFS('1. All Data'!$AB$3:$AB$133,"LEADER",'1. All Data'!$H$3:$H$133,"Not yet due")</f>
        <v>6</v>
      </c>
      <c r="D12" s="226">
        <f>C12/C16</f>
        <v>0.25</v>
      </c>
      <c r="E12" s="226">
        <f>D12</f>
        <v>0.25</v>
      </c>
      <c r="F12" s="227"/>
      <c r="G12" s="65"/>
      <c r="I12" s="225" t="s">
        <v>89</v>
      </c>
      <c r="J12" s="221">
        <f>COUNTIFS('1. All Data'!$AB$3:$AB$133,"LEADER",'1. All Data'!$M$3:$M$133,"Not yet due")</f>
        <v>0</v>
      </c>
      <c r="K12" s="226" t="e">
        <f>J12/J16</f>
        <v>#DIV/0!</v>
      </c>
      <c r="L12" s="226" t="e">
        <f>K12</f>
        <v>#DIV/0!</v>
      </c>
      <c r="M12" s="227"/>
      <c r="N12" s="65"/>
      <c r="P12" s="225" t="s">
        <v>89</v>
      </c>
      <c r="Q12" s="221">
        <f>COUNTIFS('1. All Data'!$AB$3:$AB$133,"LEADER",'1. All Data'!$R$3:$R$133,"Not yet due")</f>
        <v>0</v>
      </c>
      <c r="R12" s="226" t="e">
        <f>Q12/Q16</f>
        <v>#DIV/0!</v>
      </c>
      <c r="S12" s="226" t="e">
        <f>R12</f>
        <v>#DIV/0!</v>
      </c>
      <c r="T12" s="227"/>
      <c r="U12" s="65"/>
      <c r="W12" s="192" t="s">
        <v>89</v>
      </c>
      <c r="X12" s="221">
        <f>COUNTIFS('1. All Data'!$AB$3:$AB$133,"LEADER",'1. All Data'!$V$3:$V$133,"Not yet due")</f>
        <v>0</v>
      </c>
      <c r="Y12" s="226" t="e">
        <f>X12/X16</f>
        <v>#DIV/0!</v>
      </c>
      <c r="Z12" s="226" t="e">
        <f>Y12</f>
        <v>#DIV/0!</v>
      </c>
      <c r="AA12" s="194"/>
      <c r="AB12" s="65"/>
    </row>
    <row r="13" spans="2:30" ht="15" customHeight="1">
      <c r="B13" s="225" t="s">
        <v>55</v>
      </c>
      <c r="C13" s="221">
        <f>COUNTIFS('1. All Data'!$AB$3:$AB$133,"LEADER",'1. All Data'!$H$3:$H$133,"Update not provided")</f>
        <v>0</v>
      </c>
      <c r="D13" s="226">
        <f>C13/C16</f>
        <v>0</v>
      </c>
      <c r="E13" s="226">
        <f>D13</f>
        <v>0</v>
      </c>
      <c r="F13" s="227"/>
      <c r="G13" s="8"/>
      <c r="I13" s="225" t="s">
        <v>55</v>
      </c>
      <c r="J13" s="221">
        <f>COUNTIFS('1. All Data'!$AB$3:$AB$133,"LEADER",'1. All Data'!$M$3:$M$133,"Update not provided")</f>
        <v>0</v>
      </c>
      <c r="K13" s="226" t="e">
        <f>J13/J16</f>
        <v>#DIV/0!</v>
      </c>
      <c r="L13" s="226" t="e">
        <f>K13</f>
        <v>#DIV/0!</v>
      </c>
      <c r="M13" s="227"/>
      <c r="N13" s="8"/>
      <c r="P13" s="225" t="s">
        <v>55</v>
      </c>
      <c r="Q13" s="221">
        <f>COUNTIFS('1. All Data'!$AB$3:$AB$133,"LEADER",'1. All Data'!$R$3:$R$133,"Update not provided")</f>
        <v>0</v>
      </c>
      <c r="R13" s="226" t="e">
        <f>Q13/Q16</f>
        <v>#DIV/0!</v>
      </c>
      <c r="S13" s="226" t="e">
        <f>R13</f>
        <v>#DIV/0!</v>
      </c>
      <c r="T13" s="227"/>
      <c r="U13" s="8"/>
      <c r="W13" s="192" t="s">
        <v>55</v>
      </c>
      <c r="X13" s="221">
        <f>COUNTIFS('1. All Data'!$AB$3:$AB$133,"LEADER",'1. All Data'!$V$3:$V$133,"Update not provided")</f>
        <v>0</v>
      </c>
      <c r="Y13" s="226" t="e">
        <f>X13/X16</f>
        <v>#DIV/0!</v>
      </c>
      <c r="Z13" s="226" t="e">
        <f>Y13</f>
        <v>#DIV/0!</v>
      </c>
      <c r="AA13" s="194"/>
      <c r="AB13" s="8"/>
    </row>
    <row r="14" spans="2:30" ht="15.75" customHeight="1">
      <c r="B14" s="228" t="s">
        <v>63</v>
      </c>
      <c r="C14" s="221">
        <f>COUNTIFS('1. All Data'!$AB$3:$AB$133,"LEADER",'1. All Data'!$H$3:$H$133,"Deferred")</f>
        <v>0</v>
      </c>
      <c r="D14" s="229">
        <f>C14/C16</f>
        <v>0</v>
      </c>
      <c r="E14" s="229">
        <f>D14</f>
        <v>0</v>
      </c>
      <c r="F14" s="230"/>
      <c r="G14" s="65"/>
      <c r="I14" s="228" t="s">
        <v>63</v>
      </c>
      <c r="J14" s="221">
        <f>COUNTIFS('1. All Data'!$AB$3:$AB$133,"LEADER",'1. All Data'!$M$3:$M$133,"Deferred")</f>
        <v>0</v>
      </c>
      <c r="K14" s="229" t="e">
        <f>J14/J16</f>
        <v>#DIV/0!</v>
      </c>
      <c r="L14" s="229" t="e">
        <f>K14</f>
        <v>#DIV/0!</v>
      </c>
      <c r="M14" s="230"/>
      <c r="N14" s="65"/>
      <c r="P14" s="228" t="s">
        <v>63</v>
      </c>
      <c r="Q14" s="221">
        <f>COUNTIFS('1. All Data'!$AB$3:$AB$133,"LEADER",'1. All Data'!$R$3:$R$133,"Deferred")</f>
        <v>0</v>
      </c>
      <c r="R14" s="229" t="e">
        <f>Q14/Q16</f>
        <v>#DIV/0!</v>
      </c>
      <c r="S14" s="229" t="e">
        <f>R14</f>
        <v>#DIV/0!</v>
      </c>
      <c r="T14" s="230"/>
      <c r="U14" s="65"/>
      <c r="W14" s="195" t="s">
        <v>63</v>
      </c>
      <c r="X14" s="221">
        <f>COUNTIFS('1. All Data'!$AB$3:$AB$133,"LEADER",'1. All Data'!$V$3:$V$133,"Deferred")</f>
        <v>0</v>
      </c>
      <c r="Y14" s="229" t="e">
        <f>X14/X16</f>
        <v>#DIV/0!</v>
      </c>
      <c r="Z14" s="229" t="e">
        <f>Y14</f>
        <v>#DIV/0!</v>
      </c>
      <c r="AA14" s="197"/>
      <c r="AB14" s="65"/>
    </row>
    <row r="15" spans="2:30" ht="15.75" customHeight="1">
      <c r="B15" s="228" t="s">
        <v>64</v>
      </c>
      <c r="C15" s="221">
        <f>COUNTIFS('1. All Data'!$AB$3:$AB$133,"LEADER",'1. All Data'!$H$3:$H$133,"Deleted")</f>
        <v>0</v>
      </c>
      <c r="D15" s="229">
        <f>C15/C16</f>
        <v>0</v>
      </c>
      <c r="E15" s="229">
        <f>D15</f>
        <v>0</v>
      </c>
      <c r="F15" s="230"/>
      <c r="G15" s="36"/>
      <c r="I15" s="228" t="s">
        <v>64</v>
      </c>
      <c r="J15" s="221">
        <f>COUNTIFS('1. All Data'!$AB$3:$AB$133,"LEADER",'1. All Data'!$M$3:$M$133,"Deleted")</f>
        <v>0</v>
      </c>
      <c r="K15" s="229" t="e">
        <f>J15/J16</f>
        <v>#DIV/0!</v>
      </c>
      <c r="L15" s="229" t="e">
        <f>K15</f>
        <v>#DIV/0!</v>
      </c>
      <c r="M15" s="230"/>
      <c r="N15" s="36"/>
      <c r="P15" s="228" t="s">
        <v>64</v>
      </c>
      <c r="Q15" s="221">
        <f>COUNTIFS('1. All Data'!$AB$3:$AB$133,"LEADER",'1. All Data'!$R$3:$R$133,"Deleted")</f>
        <v>0</v>
      </c>
      <c r="R15" s="229" t="e">
        <f>Q15/Q16</f>
        <v>#DIV/0!</v>
      </c>
      <c r="S15" s="229" t="e">
        <f>R15</f>
        <v>#DIV/0!</v>
      </c>
      <c r="T15" s="230"/>
      <c r="U15" s="36"/>
      <c r="W15" s="195" t="s">
        <v>64</v>
      </c>
      <c r="X15" s="221">
        <f>COUNTIFS('1. All Data'!$AB$3:$AB$133,"LEADER",'1. All Data'!$V$3:$V$133,"Deleted")</f>
        <v>0</v>
      </c>
      <c r="Y15" s="229" t="e">
        <f>X15/X16</f>
        <v>#DIV/0!</v>
      </c>
      <c r="Z15" s="229" t="e">
        <f>Y15</f>
        <v>#DIV/0!</v>
      </c>
      <c r="AA15" s="197"/>
      <c r="AD15" s="9"/>
    </row>
    <row r="16" spans="2:30" ht="15.75" customHeight="1">
      <c r="B16" s="231" t="s">
        <v>91</v>
      </c>
      <c r="C16" s="232">
        <f>SUM(C5:C15)</f>
        <v>24</v>
      </c>
      <c r="D16" s="197"/>
      <c r="E16" s="197"/>
      <c r="F16" s="233"/>
      <c r="G16" s="65"/>
      <c r="I16" s="231" t="s">
        <v>91</v>
      </c>
      <c r="J16" s="232">
        <f>SUM(J5:J15)</f>
        <v>0</v>
      </c>
      <c r="K16" s="197"/>
      <c r="L16" s="197"/>
      <c r="M16" s="233"/>
      <c r="N16" s="65"/>
      <c r="P16" s="231" t="s">
        <v>91</v>
      </c>
      <c r="Q16" s="232">
        <f>SUM(Q5:Q15)</f>
        <v>0</v>
      </c>
      <c r="R16" s="197"/>
      <c r="S16" s="197"/>
      <c r="T16" s="233"/>
      <c r="U16" s="65"/>
      <c r="W16" s="198" t="s">
        <v>91</v>
      </c>
      <c r="X16" s="232">
        <f>SUM(X5:X15)</f>
        <v>0</v>
      </c>
      <c r="Y16" s="197"/>
      <c r="Z16" s="197"/>
      <c r="AA16" s="65"/>
      <c r="AB16" s="65"/>
    </row>
    <row r="17" spans="2:29" ht="15.75" customHeight="1">
      <c r="B17" s="231" t="s">
        <v>92</v>
      </c>
      <c r="C17" s="232">
        <f>C16-C15-C14-C13-C12</f>
        <v>18</v>
      </c>
      <c r="D17" s="65"/>
      <c r="E17" s="65"/>
      <c r="F17" s="233"/>
      <c r="G17" s="65"/>
      <c r="I17" s="231" t="s">
        <v>92</v>
      </c>
      <c r="J17" s="232">
        <f>J16-J15-J14-J13-J12</f>
        <v>0</v>
      </c>
      <c r="K17" s="65"/>
      <c r="L17" s="65"/>
      <c r="M17" s="233"/>
      <c r="N17" s="65"/>
      <c r="P17" s="231" t="s">
        <v>92</v>
      </c>
      <c r="Q17" s="232">
        <f>Q16-Q15-Q14-Q13-Q12</f>
        <v>0</v>
      </c>
      <c r="R17" s="65"/>
      <c r="S17" s="65"/>
      <c r="T17" s="233"/>
      <c r="U17" s="65"/>
      <c r="W17" s="198" t="s">
        <v>92</v>
      </c>
      <c r="X17" s="232">
        <f>X16-X15-X14-X13-X12</f>
        <v>0</v>
      </c>
      <c r="Y17" s="65"/>
      <c r="Z17" s="65"/>
      <c r="AA17" s="65"/>
      <c r="AB17" s="65"/>
    </row>
    <row r="18" spans="2:29" ht="15.75" customHeight="1">
      <c r="W18" s="200"/>
      <c r="AA18" s="8"/>
    </row>
    <row r="19" spans="2:29" ht="15.75" customHeight="1">
      <c r="AA19" s="8"/>
    </row>
    <row r="20" spans="2:29" s="186" customFormat="1" ht="15.75" customHeight="1">
      <c r="B20" s="208"/>
      <c r="C20" s="185"/>
      <c r="D20" s="185"/>
      <c r="E20" s="185"/>
      <c r="F20" s="233"/>
      <c r="G20" s="185"/>
      <c r="I20" s="208"/>
      <c r="J20" s="185"/>
      <c r="K20" s="185"/>
      <c r="L20" s="185"/>
      <c r="M20" s="233"/>
      <c r="N20" s="185"/>
      <c r="P20" s="208"/>
      <c r="Q20" s="185"/>
      <c r="R20" s="185"/>
      <c r="S20" s="185"/>
      <c r="T20" s="233"/>
      <c r="U20" s="185"/>
      <c r="W20" s="185"/>
      <c r="X20" s="185"/>
      <c r="Y20" s="185"/>
      <c r="Z20" s="185"/>
      <c r="AA20" s="65"/>
      <c r="AB20" s="207"/>
    </row>
    <row r="21" spans="2:29" ht="15" customHeight="1">
      <c r="W21" s="234"/>
      <c r="X21" s="65"/>
      <c r="Y21" s="65"/>
      <c r="Z21" s="65"/>
      <c r="AA21" s="65"/>
      <c r="AB21" s="197"/>
      <c r="AC21" s="186"/>
    </row>
    <row r="22" spans="2:29" s="186" customFormat="1" ht="15.6">
      <c r="B22" s="216" t="s">
        <v>113</v>
      </c>
      <c r="C22" s="217"/>
      <c r="D22" s="217"/>
      <c r="E22" s="217"/>
      <c r="F22" s="218"/>
      <c r="G22" s="217"/>
      <c r="I22" s="216" t="s">
        <v>113</v>
      </c>
      <c r="J22" s="217"/>
      <c r="K22" s="217"/>
      <c r="L22" s="217"/>
      <c r="M22" s="218"/>
      <c r="N22" s="217"/>
      <c r="P22" s="216" t="s">
        <v>113</v>
      </c>
      <c r="Q22" s="217"/>
      <c r="R22" s="217"/>
      <c r="S22" s="217"/>
      <c r="T22" s="218"/>
      <c r="U22" s="217"/>
      <c r="W22" s="216" t="s">
        <v>113</v>
      </c>
      <c r="X22" s="217"/>
      <c r="Y22" s="217"/>
      <c r="Z22" s="217"/>
      <c r="AA22" s="218"/>
      <c r="AB22" s="217"/>
    </row>
    <row r="23" spans="2:29" ht="42" customHeight="1">
      <c r="B23" s="219" t="s">
        <v>82</v>
      </c>
      <c r="C23" s="220" t="s">
        <v>83</v>
      </c>
      <c r="D23" s="220" t="s">
        <v>84</v>
      </c>
      <c r="E23" s="220" t="s">
        <v>85</v>
      </c>
      <c r="F23" s="219" t="s">
        <v>86</v>
      </c>
      <c r="G23" s="220" t="s">
        <v>87</v>
      </c>
      <c r="I23" s="219" t="s">
        <v>82</v>
      </c>
      <c r="J23" s="220" t="s">
        <v>83</v>
      </c>
      <c r="K23" s="220" t="s">
        <v>84</v>
      </c>
      <c r="L23" s="220" t="s">
        <v>85</v>
      </c>
      <c r="M23" s="219" t="s">
        <v>86</v>
      </c>
      <c r="N23" s="220" t="s">
        <v>87</v>
      </c>
      <c r="P23" s="219" t="s">
        <v>82</v>
      </c>
      <c r="Q23" s="220" t="s">
        <v>83</v>
      </c>
      <c r="R23" s="220" t="s">
        <v>84</v>
      </c>
      <c r="S23" s="220" t="s">
        <v>85</v>
      </c>
      <c r="T23" s="219" t="s">
        <v>86</v>
      </c>
      <c r="U23" s="220" t="s">
        <v>87</v>
      </c>
      <c r="W23" s="184" t="s">
        <v>82</v>
      </c>
      <c r="X23" s="184" t="s">
        <v>83</v>
      </c>
      <c r="Y23" s="184" t="s">
        <v>84</v>
      </c>
      <c r="Z23" s="184" t="s">
        <v>85</v>
      </c>
      <c r="AA23" s="184" t="s">
        <v>86</v>
      </c>
      <c r="AB23" s="184" t="s">
        <v>87</v>
      </c>
      <c r="AC23" s="186"/>
    </row>
    <row r="24" spans="2:29" ht="21.75" customHeight="1">
      <c r="B24" s="338" t="s">
        <v>88</v>
      </c>
      <c r="C24" s="221">
        <f>COUNTIFS('1. All Data'!$AB$3:$AB$133,"Environment &amp; Housing",'1. All Data'!$H$3:$H$133,"Fully Achieved")</f>
        <v>4</v>
      </c>
      <c r="D24" s="222">
        <f>C24/C35</f>
        <v>0.11428571428571428</v>
      </c>
      <c r="E24" s="416">
        <f>D24+D25</f>
        <v>0.68571428571428572</v>
      </c>
      <c r="F24" s="223">
        <f>C24/C36</f>
        <v>0.16</v>
      </c>
      <c r="G24" s="421">
        <f>F24+F25</f>
        <v>0.96000000000000008</v>
      </c>
      <c r="I24" s="338" t="s">
        <v>88</v>
      </c>
      <c r="J24" s="221">
        <f>COUNTIFS('1. All Data'!$AB$3:$AB$133,"Environment &amp; Housing",'1. All Data'!$M$3:$M$133,"Fully Achieved")</f>
        <v>0</v>
      </c>
      <c r="K24" s="222" t="e">
        <f>J24/J35</f>
        <v>#DIV/0!</v>
      </c>
      <c r="L24" s="416" t="e">
        <f>K24+K25</f>
        <v>#DIV/0!</v>
      </c>
      <c r="M24" s="223" t="e">
        <f>J24/J36</f>
        <v>#DIV/0!</v>
      </c>
      <c r="N24" s="421" t="e">
        <f>M24+M25</f>
        <v>#DIV/0!</v>
      </c>
      <c r="P24" s="338" t="s">
        <v>88</v>
      </c>
      <c r="Q24" s="221">
        <f>COUNTIFS('1. All Data'!$AB$3:$AB$133,"Environment &amp; Housing",'1. All Data'!$R$3:$R$133,"Fully Achieved")</f>
        <v>0</v>
      </c>
      <c r="R24" s="222" t="e">
        <f>Q24/Q35</f>
        <v>#DIV/0!</v>
      </c>
      <c r="S24" s="416" t="e">
        <f>R24+R25</f>
        <v>#DIV/0!</v>
      </c>
      <c r="T24" s="223" t="e">
        <f>Q24/Q36</f>
        <v>#DIV/0!</v>
      </c>
      <c r="U24" s="421" t="e">
        <f>T24+T25</f>
        <v>#DIV/0!</v>
      </c>
      <c r="W24" s="338" t="s">
        <v>88</v>
      </c>
      <c r="X24" s="221">
        <f>COUNTIFS('1. All Data'!$AB$3:$AB$133,"Environment &amp; Housing",'1. All Data'!$V$3:$V$133,"Fully Achieved")</f>
        <v>0</v>
      </c>
      <c r="Y24" s="222" t="e">
        <f>X24/X35</f>
        <v>#DIV/0!</v>
      </c>
      <c r="Z24" s="416" t="e">
        <f>Y24+Y25</f>
        <v>#DIV/0!</v>
      </c>
      <c r="AA24" s="222" t="e">
        <f>X24/X36</f>
        <v>#DIV/0!</v>
      </c>
      <c r="AB24" s="392" t="e">
        <f>AA24+AA25</f>
        <v>#DIV/0!</v>
      </c>
      <c r="AC24" s="186"/>
    </row>
    <row r="25" spans="2:29" ht="18.75" customHeight="1">
      <c r="B25" s="338" t="s">
        <v>65</v>
      </c>
      <c r="C25" s="221">
        <f>COUNTIFS('1. All Data'!$AB$3:$AB$133,"Environment &amp; Housing",'1. All Data'!$H$3:$H$133,"On Track to be Achieved")</f>
        <v>20</v>
      </c>
      <c r="D25" s="222">
        <f>C25/C35</f>
        <v>0.5714285714285714</v>
      </c>
      <c r="E25" s="416"/>
      <c r="F25" s="223">
        <f>C25/C36</f>
        <v>0.8</v>
      </c>
      <c r="G25" s="421"/>
      <c r="I25" s="338" t="s">
        <v>65</v>
      </c>
      <c r="J25" s="221">
        <f>COUNTIFS('1. All Data'!$AB$3:$AB$133,"Environment &amp; Housing",'1. All Data'!$M$3:$M$133,"On Track to be Achieved")</f>
        <v>0</v>
      </c>
      <c r="K25" s="222" t="e">
        <f>J25/J35</f>
        <v>#DIV/0!</v>
      </c>
      <c r="L25" s="416"/>
      <c r="M25" s="223" t="e">
        <f>J25/J36</f>
        <v>#DIV/0!</v>
      </c>
      <c r="N25" s="421"/>
      <c r="P25" s="338" t="s">
        <v>65</v>
      </c>
      <c r="Q25" s="221">
        <f>COUNTIFS('1. All Data'!$AB$3:$AB$133,"Environment &amp; Housing",'1. All Data'!$R$3:$R$133,"On Track to be Achieved")</f>
        <v>0</v>
      </c>
      <c r="R25" s="222" t="e">
        <f>Q25/Q35</f>
        <v>#DIV/0!</v>
      </c>
      <c r="S25" s="416"/>
      <c r="T25" s="223" t="e">
        <f>Q25/Q36</f>
        <v>#DIV/0!</v>
      </c>
      <c r="U25" s="421"/>
      <c r="W25" s="338" t="s">
        <v>57</v>
      </c>
      <c r="X25" s="221">
        <f>COUNTIFS('1. All Data'!$AB$3:$AB$133,"Environment &amp; Housing",'1. All Data'!$V$3:$V$133,"Numerical Outturn Within 5% Tolerance")</f>
        <v>0</v>
      </c>
      <c r="Y25" s="222" t="e">
        <f>X25/X35</f>
        <v>#DIV/0!</v>
      </c>
      <c r="Z25" s="416"/>
      <c r="AA25" s="222" t="e">
        <f>X25/X36</f>
        <v>#DIV/0!</v>
      </c>
      <c r="AB25" s="392"/>
      <c r="AC25" s="186"/>
    </row>
    <row r="26" spans="2:29" ht="21" customHeight="1">
      <c r="B26" s="410" t="s">
        <v>66</v>
      </c>
      <c r="C26" s="413">
        <f>COUNTIFS('1. All Data'!$AB$3:$AB$133,"Environment &amp; Housing",'1. All Data'!$H$3:$H$133,"In Danger of Falling Behind Target")</f>
        <v>1</v>
      </c>
      <c r="D26" s="418">
        <f>C26/C35</f>
        <v>2.8571428571428571E-2</v>
      </c>
      <c r="E26" s="418">
        <f>D26</f>
        <v>2.8571428571428571E-2</v>
      </c>
      <c r="F26" s="404">
        <f>C26/C36</f>
        <v>0.04</v>
      </c>
      <c r="G26" s="407">
        <f>F26</f>
        <v>0.04</v>
      </c>
      <c r="I26" s="410" t="s">
        <v>66</v>
      </c>
      <c r="J26" s="413">
        <f>COUNTIFS('1. All Data'!$AB$3:$AB$133,"Environment &amp; Housing",'1. All Data'!$M$3:$M$133,"In Danger of Falling Behind Target")</f>
        <v>0</v>
      </c>
      <c r="K26" s="418" t="e">
        <f>J26/J35</f>
        <v>#DIV/0!</v>
      </c>
      <c r="L26" s="418" t="e">
        <f>K26</f>
        <v>#DIV/0!</v>
      </c>
      <c r="M26" s="404" t="e">
        <f>J26/J36</f>
        <v>#DIV/0!</v>
      </c>
      <c r="N26" s="407" t="e">
        <f>M26</f>
        <v>#DIV/0!</v>
      </c>
      <c r="P26" s="410" t="s">
        <v>66</v>
      </c>
      <c r="Q26" s="413">
        <f>COUNTIFS('1. All Data'!$AB$3:$AB$133,"Environment &amp; Housing",'1. All Data'!$R$3:$R$133,"In Danger of Falling Behind Target")</f>
        <v>0</v>
      </c>
      <c r="R26" s="418" t="e">
        <f>Q26/Q35</f>
        <v>#DIV/0!</v>
      </c>
      <c r="S26" s="418" t="e">
        <f>R26</f>
        <v>#DIV/0!</v>
      </c>
      <c r="T26" s="404" t="e">
        <f>Q26/Q36</f>
        <v>#DIV/0!</v>
      </c>
      <c r="U26" s="407" t="e">
        <f>T26</f>
        <v>#DIV/0!</v>
      </c>
      <c r="W26" s="189" t="s">
        <v>58</v>
      </c>
      <c r="X26" s="190">
        <f>COUNTIFS('1. All Data'!$AB$3:$AB$133,"Environment &amp; Housing",'1. All Data'!$V$3:$V$133,"Numerical Outturn Within 10% Tolerance")</f>
        <v>0</v>
      </c>
      <c r="Y26" s="188" t="e">
        <f>X26/X35</f>
        <v>#DIV/0!</v>
      </c>
      <c r="Z26" s="375" t="e">
        <f>SUM(Y26:Y28)</f>
        <v>#DIV/0!</v>
      </c>
      <c r="AA26" s="188" t="e">
        <f>X26/X36</f>
        <v>#DIV/0!</v>
      </c>
      <c r="AB26" s="376" t="e">
        <f>SUM(AA26:AA28)</f>
        <v>#DIV/0!</v>
      </c>
      <c r="AC26" s="186"/>
    </row>
    <row r="27" spans="2:29" ht="20.25" customHeight="1">
      <c r="B27" s="411"/>
      <c r="C27" s="414"/>
      <c r="D27" s="419"/>
      <c r="E27" s="419"/>
      <c r="F27" s="405"/>
      <c r="G27" s="408"/>
      <c r="I27" s="411"/>
      <c r="J27" s="414"/>
      <c r="K27" s="419"/>
      <c r="L27" s="419"/>
      <c r="M27" s="405"/>
      <c r="N27" s="408"/>
      <c r="P27" s="411"/>
      <c r="Q27" s="414"/>
      <c r="R27" s="419"/>
      <c r="S27" s="419"/>
      <c r="T27" s="405"/>
      <c r="U27" s="408"/>
      <c r="W27" s="189" t="s">
        <v>59</v>
      </c>
      <c r="X27" s="190">
        <f>COUNTIFS('1. All Data'!$AB$3:$AB$133,"Environment &amp; Housing",'1. All Data'!$V$3:$V$133,"Target Partially Met")</f>
        <v>0</v>
      </c>
      <c r="Y27" s="188" t="e">
        <f>X27/X35</f>
        <v>#DIV/0!</v>
      </c>
      <c r="Z27" s="375"/>
      <c r="AA27" s="188" t="e">
        <f>X27/X36</f>
        <v>#DIV/0!</v>
      </c>
      <c r="AB27" s="376"/>
      <c r="AC27" s="186"/>
    </row>
    <row r="28" spans="2:29" ht="15.75" customHeight="1">
      <c r="B28" s="412"/>
      <c r="C28" s="415"/>
      <c r="D28" s="420"/>
      <c r="E28" s="420"/>
      <c r="F28" s="406"/>
      <c r="G28" s="409"/>
      <c r="I28" s="412"/>
      <c r="J28" s="415"/>
      <c r="K28" s="420"/>
      <c r="L28" s="420"/>
      <c r="M28" s="406"/>
      <c r="N28" s="409"/>
      <c r="P28" s="412"/>
      <c r="Q28" s="415"/>
      <c r="R28" s="420"/>
      <c r="S28" s="420"/>
      <c r="T28" s="406"/>
      <c r="U28" s="409"/>
      <c r="W28" s="189" t="s">
        <v>62</v>
      </c>
      <c r="X28" s="190">
        <f>COUNTIFS('1. All Data'!$AB$3:$AB$133,"Environment &amp; Housing",'1. All Data'!$V$3:$V$133,"Completion Date Within Reasonable Tolerance")</f>
        <v>0</v>
      </c>
      <c r="Y28" s="188" t="e">
        <f>X28/X35</f>
        <v>#DIV/0!</v>
      </c>
      <c r="Z28" s="375"/>
      <c r="AA28" s="188" t="e">
        <f>X28/X36</f>
        <v>#DIV/0!</v>
      </c>
      <c r="AB28" s="376"/>
      <c r="AC28" s="186"/>
    </row>
    <row r="29" spans="2:29" ht="20.25" customHeight="1">
      <c r="B29" s="224" t="s">
        <v>67</v>
      </c>
      <c r="C29" s="221">
        <f>COUNTIFS('1. All Data'!$AB$3:$AB$133,"Environment &amp; Housing",'1. All Data'!$H$3:$H$133,"Completed Behind Schedule")</f>
        <v>0</v>
      </c>
      <c r="D29" s="222">
        <f>C29/C35</f>
        <v>0</v>
      </c>
      <c r="E29" s="416">
        <f>D29+D30</f>
        <v>0</v>
      </c>
      <c r="F29" s="223">
        <f>C29/C36</f>
        <v>0</v>
      </c>
      <c r="G29" s="417">
        <f>F29+F30</f>
        <v>0</v>
      </c>
      <c r="I29" s="224" t="s">
        <v>67</v>
      </c>
      <c r="J29" s="221">
        <f>COUNTIFS('1. All Data'!$AB$3:$AB$133,"Environment &amp; Housing",'1. All Data'!$M$3:$M$133,"Completed Behind Schedule")</f>
        <v>0</v>
      </c>
      <c r="K29" s="222" t="e">
        <f>J29/J35</f>
        <v>#DIV/0!</v>
      </c>
      <c r="L29" s="416" t="e">
        <f>K29+K30</f>
        <v>#DIV/0!</v>
      </c>
      <c r="M29" s="223" t="e">
        <f>J29/J36</f>
        <v>#DIV/0!</v>
      </c>
      <c r="N29" s="417" t="e">
        <f>M29+M30</f>
        <v>#DIV/0!</v>
      </c>
      <c r="P29" s="224" t="s">
        <v>67</v>
      </c>
      <c r="Q29" s="221">
        <f>COUNTIFS('1. All Data'!$AB$3:$AB$133,"Environment &amp; Housing",'1. All Data'!$R$3:$R$133,"Completed Behind Schedule")</f>
        <v>0</v>
      </c>
      <c r="R29" s="222" t="e">
        <f>Q29/Q35</f>
        <v>#DIV/0!</v>
      </c>
      <c r="S29" s="416" t="e">
        <f>R29+R30</f>
        <v>#DIV/0!</v>
      </c>
      <c r="T29" s="223" t="e">
        <f>Q29/Q36</f>
        <v>#DIV/0!</v>
      </c>
      <c r="U29" s="417" t="e">
        <f>T29+T30</f>
        <v>#DIV/0!</v>
      </c>
      <c r="W29" s="191" t="s">
        <v>61</v>
      </c>
      <c r="X29" s="221">
        <f>COUNTIFS('1. All Data'!$AB$3:$AB$133,"Environment &amp; Housing",'1. All Data'!$V$3:$V$133,"Completed Significantly After Target Deadline")</f>
        <v>0</v>
      </c>
      <c r="Y29" s="222" t="e">
        <f>X29/X35</f>
        <v>#DIV/0!</v>
      </c>
      <c r="Z29" s="416" t="e">
        <f>Y29+Y30</f>
        <v>#DIV/0!</v>
      </c>
      <c r="AA29" s="222" t="e">
        <f>X29/X36</f>
        <v>#DIV/0!</v>
      </c>
      <c r="AB29" s="377" t="e">
        <f>AA29+AA30</f>
        <v>#DIV/0!</v>
      </c>
      <c r="AC29" s="186"/>
    </row>
    <row r="30" spans="2:29" ht="20.25" customHeight="1">
      <c r="B30" s="224" t="s">
        <v>60</v>
      </c>
      <c r="C30" s="221">
        <f>COUNTIFS('1. All Data'!$AB$3:$AB$133,"Environment &amp; Housing",'1. All Data'!$H$3:$H$133,"Off Target")</f>
        <v>0</v>
      </c>
      <c r="D30" s="222">
        <f>C30/C35</f>
        <v>0</v>
      </c>
      <c r="E30" s="416"/>
      <c r="F30" s="223">
        <f>C30/C36</f>
        <v>0</v>
      </c>
      <c r="G30" s="417"/>
      <c r="I30" s="224" t="s">
        <v>60</v>
      </c>
      <c r="J30" s="221">
        <f>COUNTIFS('1. All Data'!$AB$3:$AB$133,"Environment &amp; Housing",'1. All Data'!$M$3:$M$133,"Off Target")</f>
        <v>0</v>
      </c>
      <c r="K30" s="222" t="e">
        <f>J30/J35</f>
        <v>#DIV/0!</v>
      </c>
      <c r="L30" s="416"/>
      <c r="M30" s="223" t="e">
        <f>J30/J36</f>
        <v>#DIV/0!</v>
      </c>
      <c r="N30" s="417"/>
      <c r="P30" s="224" t="s">
        <v>60</v>
      </c>
      <c r="Q30" s="221">
        <f>COUNTIFS('1. All Data'!$AB$3:$AB$133,"Environment &amp; Housing",'1. All Data'!$R$3:$R$133,"Off Target")</f>
        <v>0</v>
      </c>
      <c r="R30" s="222" t="e">
        <f>Q30/Q35</f>
        <v>#DIV/0!</v>
      </c>
      <c r="S30" s="416"/>
      <c r="T30" s="223" t="e">
        <f>Q30/Q36</f>
        <v>#DIV/0!</v>
      </c>
      <c r="U30" s="417"/>
      <c r="W30" s="191" t="s">
        <v>60</v>
      </c>
      <c r="X30" s="221">
        <f>COUNTIFS('1. All Data'!$AB$3:$AB$133,"Environment &amp; Housing",'1. All Data'!$V$3:$V$133,"Off Target")</f>
        <v>0</v>
      </c>
      <c r="Y30" s="222" t="e">
        <f>X30/X35</f>
        <v>#DIV/0!</v>
      </c>
      <c r="Z30" s="416"/>
      <c r="AA30" s="222" t="e">
        <f>X30/X36</f>
        <v>#DIV/0!</v>
      </c>
      <c r="AB30" s="377"/>
      <c r="AC30" s="186"/>
    </row>
    <row r="31" spans="2:29" ht="15" customHeight="1">
      <c r="B31" s="225" t="s">
        <v>89</v>
      </c>
      <c r="C31" s="221">
        <f>COUNTIFS('1. All Data'!$AB$3:$AB$133,"Environment &amp; Housing",'1. All Data'!$H$3:$H$133,"Not yet due")</f>
        <v>10</v>
      </c>
      <c r="D31" s="226">
        <f>C31/C35</f>
        <v>0.2857142857142857</v>
      </c>
      <c r="E31" s="226">
        <f>D31</f>
        <v>0.2857142857142857</v>
      </c>
      <c r="F31" s="227"/>
      <c r="G31" s="65"/>
      <c r="I31" s="225" t="s">
        <v>89</v>
      </c>
      <c r="J31" s="221">
        <f>COUNTIFS('1. All Data'!$AB$3:$AB$133,"Environment &amp; Housing",'1. All Data'!$M$3:$M$133,"Not yet due")</f>
        <v>0</v>
      </c>
      <c r="K31" s="226" t="e">
        <f>J31/J35</f>
        <v>#DIV/0!</v>
      </c>
      <c r="L31" s="226" t="e">
        <f>K31</f>
        <v>#DIV/0!</v>
      </c>
      <c r="M31" s="227"/>
      <c r="N31" s="65"/>
      <c r="P31" s="225" t="s">
        <v>89</v>
      </c>
      <c r="Q31" s="221">
        <f>COUNTIFS('1. All Data'!$AB$3:$AB$133,"Environment &amp; Housing",'1. All Data'!$R$3:$R$133,"Not yet due")</f>
        <v>0</v>
      </c>
      <c r="R31" s="226" t="e">
        <f>Q31/Q35</f>
        <v>#DIV/0!</v>
      </c>
      <c r="S31" s="226" t="e">
        <f>R31</f>
        <v>#DIV/0!</v>
      </c>
      <c r="T31" s="227"/>
      <c r="U31" s="65"/>
      <c r="W31" s="192" t="s">
        <v>89</v>
      </c>
      <c r="X31" s="221">
        <f>COUNTIFS('1. All Data'!$AB$3:$AB$133,"Environment &amp; Housing",'1. All Data'!$V$3:$V$133,"Not yet due")</f>
        <v>0</v>
      </c>
      <c r="Y31" s="226" t="e">
        <f>X31/X35</f>
        <v>#DIV/0!</v>
      </c>
      <c r="Z31" s="226" t="e">
        <f>Y31</f>
        <v>#DIV/0!</v>
      </c>
      <c r="AA31" s="194"/>
      <c r="AB31" s="65"/>
      <c r="AC31" s="186"/>
    </row>
    <row r="32" spans="2:29" ht="15" customHeight="1">
      <c r="B32" s="225" t="s">
        <v>55</v>
      </c>
      <c r="C32" s="221">
        <f>COUNTIFS('1. All Data'!$AB$3:$AB$133,"Environment &amp; Housing",'1. All Data'!$H$3:$H$133,"Update not provided")</f>
        <v>0</v>
      </c>
      <c r="D32" s="226">
        <f>C32/C35</f>
        <v>0</v>
      </c>
      <c r="E32" s="226">
        <f>D32</f>
        <v>0</v>
      </c>
      <c r="F32" s="227"/>
      <c r="G32" s="8"/>
      <c r="I32" s="225" t="s">
        <v>55</v>
      </c>
      <c r="J32" s="221">
        <f>COUNTIFS('1. All Data'!$AB$3:$AB$133,"Environment &amp; Housing",'1. All Data'!$M$3:$M$133,"Update not provided")</f>
        <v>0</v>
      </c>
      <c r="K32" s="226" t="e">
        <f>J32/J35</f>
        <v>#DIV/0!</v>
      </c>
      <c r="L32" s="226" t="e">
        <f>K32</f>
        <v>#DIV/0!</v>
      </c>
      <c r="M32" s="227"/>
      <c r="N32" s="8"/>
      <c r="P32" s="225" t="s">
        <v>55</v>
      </c>
      <c r="Q32" s="221">
        <f>COUNTIFS('1. All Data'!$AB$3:$AB$133,"Environment &amp; Housing",'1. All Data'!$R$3:$R$133,"Update not provided")</f>
        <v>0</v>
      </c>
      <c r="R32" s="226" t="e">
        <f>Q32/Q35</f>
        <v>#DIV/0!</v>
      </c>
      <c r="S32" s="226" t="e">
        <f>R32</f>
        <v>#DIV/0!</v>
      </c>
      <c r="T32" s="227"/>
      <c r="U32" s="8"/>
      <c r="W32" s="192" t="s">
        <v>55</v>
      </c>
      <c r="X32" s="221">
        <f>COUNTIFS('1. All Data'!$AB$3:$AB$133,"Environment &amp; Housing",'1. All Data'!$V$3:$V$133,"Update not provided")</f>
        <v>0</v>
      </c>
      <c r="Y32" s="226" t="e">
        <f>X32/X35</f>
        <v>#DIV/0!</v>
      </c>
      <c r="Z32" s="226" t="e">
        <f>Y32</f>
        <v>#DIV/0!</v>
      </c>
      <c r="AA32" s="194"/>
      <c r="AB32" s="8"/>
      <c r="AC32" s="186"/>
    </row>
    <row r="33" spans="2:29" ht="15.75" customHeight="1">
      <c r="B33" s="228" t="s">
        <v>63</v>
      </c>
      <c r="C33" s="221">
        <f>COUNTIFS('1. All Data'!$AB$3:$AB$133,"Environment &amp; Housing",'1. All Data'!$H$3:$H$133,"Deferred")</f>
        <v>0</v>
      </c>
      <c r="D33" s="229">
        <f>C33/C35</f>
        <v>0</v>
      </c>
      <c r="E33" s="229">
        <f>D33</f>
        <v>0</v>
      </c>
      <c r="F33" s="230"/>
      <c r="G33" s="65"/>
      <c r="I33" s="228" t="s">
        <v>63</v>
      </c>
      <c r="J33" s="221">
        <f>COUNTIFS('1. All Data'!$AB$3:$AB$133,"Environment &amp; Housing",'1. All Data'!$M$3:$M$133,"Deferred")</f>
        <v>0</v>
      </c>
      <c r="K33" s="229" t="e">
        <f>J33/J35</f>
        <v>#DIV/0!</v>
      </c>
      <c r="L33" s="229" t="e">
        <f>K33</f>
        <v>#DIV/0!</v>
      </c>
      <c r="M33" s="230"/>
      <c r="N33" s="65"/>
      <c r="P33" s="228" t="s">
        <v>63</v>
      </c>
      <c r="Q33" s="221">
        <f>COUNTIFS('1. All Data'!$AB$3:$AB$133,"Environment &amp; Housing",'1. All Data'!$R$3:$R$133,"Deferred")</f>
        <v>0</v>
      </c>
      <c r="R33" s="229" t="e">
        <f>Q33/Q35</f>
        <v>#DIV/0!</v>
      </c>
      <c r="S33" s="229" t="e">
        <f>R33</f>
        <v>#DIV/0!</v>
      </c>
      <c r="T33" s="230"/>
      <c r="U33" s="65"/>
      <c r="W33" s="195" t="s">
        <v>63</v>
      </c>
      <c r="X33" s="221">
        <f>COUNTIFS('1. All Data'!$AB$3:$AB$133,"Environment &amp; Housing",'1. All Data'!$V$3:$V$133,"Deferred")</f>
        <v>0</v>
      </c>
      <c r="Y33" s="229" t="e">
        <f>X33/X35</f>
        <v>#DIV/0!</v>
      </c>
      <c r="Z33" s="229" t="e">
        <f>Y33</f>
        <v>#DIV/0!</v>
      </c>
      <c r="AA33" s="197"/>
      <c r="AB33" s="65"/>
      <c r="AC33" s="186"/>
    </row>
    <row r="34" spans="2:29" ht="15.75" customHeight="1">
      <c r="B34" s="228" t="s">
        <v>64</v>
      </c>
      <c r="C34" s="221">
        <f>COUNTIFS('1. All Data'!$AB$3:$AB$133,"Environment &amp; Housing",'1. All Data'!$H$3:$H$133,"Deleted")</f>
        <v>0</v>
      </c>
      <c r="D34" s="229">
        <f>C34/C35</f>
        <v>0</v>
      </c>
      <c r="E34" s="229">
        <f>D34</f>
        <v>0</v>
      </c>
      <c r="F34" s="230"/>
      <c r="G34" s="36"/>
      <c r="I34" s="228" t="s">
        <v>64</v>
      </c>
      <c r="J34" s="221">
        <f>COUNTIFS('1. All Data'!$AB$3:$AB$133,"Environment &amp; Housing",'1. All Data'!$M$3:$M$133,"Deleted")</f>
        <v>0</v>
      </c>
      <c r="K34" s="229" t="e">
        <f>J34/J35</f>
        <v>#DIV/0!</v>
      </c>
      <c r="L34" s="229" t="e">
        <f>K34</f>
        <v>#DIV/0!</v>
      </c>
      <c r="M34" s="230"/>
      <c r="N34" s="36"/>
      <c r="P34" s="228" t="s">
        <v>64</v>
      </c>
      <c r="Q34" s="221">
        <f>COUNTIFS('1. All Data'!$AB$3:$AB$133,"Environment &amp; Housing",'1. All Data'!$R$3:$R$133,"Deleted")</f>
        <v>0</v>
      </c>
      <c r="R34" s="229" t="e">
        <f>Q34/Q35</f>
        <v>#DIV/0!</v>
      </c>
      <c r="S34" s="229" t="e">
        <f>R34</f>
        <v>#DIV/0!</v>
      </c>
      <c r="T34" s="230"/>
      <c r="U34" s="36"/>
      <c r="W34" s="195" t="s">
        <v>64</v>
      </c>
      <c r="X34" s="221">
        <f>COUNTIFS('1. All Data'!$AB$3:$AB$133,"Environment &amp; Housing",'1. All Data'!$V$3:$V$133,"Deleted")</f>
        <v>0</v>
      </c>
      <c r="Y34" s="229" t="e">
        <f>X34/X35</f>
        <v>#DIV/0!</v>
      </c>
      <c r="Z34" s="229" t="e">
        <f>Y34</f>
        <v>#DIV/0!</v>
      </c>
      <c r="AA34" s="197"/>
      <c r="AB34" s="9"/>
      <c r="AC34" s="186"/>
    </row>
    <row r="35" spans="2:29" ht="15.75" customHeight="1">
      <c r="B35" s="231" t="s">
        <v>91</v>
      </c>
      <c r="C35" s="232">
        <f>SUM(C24:C34)</f>
        <v>35</v>
      </c>
      <c r="D35" s="197"/>
      <c r="E35" s="197"/>
      <c r="F35" s="233"/>
      <c r="G35" s="65"/>
      <c r="I35" s="231" t="s">
        <v>91</v>
      </c>
      <c r="J35" s="232">
        <f>SUM(J24:J34)</f>
        <v>0</v>
      </c>
      <c r="K35" s="197"/>
      <c r="L35" s="197"/>
      <c r="M35" s="233"/>
      <c r="N35" s="65"/>
      <c r="P35" s="231" t="s">
        <v>91</v>
      </c>
      <c r="Q35" s="232">
        <f>SUM(Q24:Q34)</f>
        <v>0</v>
      </c>
      <c r="R35" s="197"/>
      <c r="S35" s="197"/>
      <c r="T35" s="233"/>
      <c r="U35" s="65"/>
      <c r="W35" s="198" t="s">
        <v>91</v>
      </c>
      <c r="X35" s="232">
        <f>SUM(X24:X34)</f>
        <v>0</v>
      </c>
      <c r="Y35" s="197"/>
      <c r="Z35" s="197"/>
      <c r="AA35" s="65"/>
      <c r="AB35" s="65"/>
      <c r="AC35" s="186"/>
    </row>
    <row r="36" spans="2:29" ht="15.75" customHeight="1">
      <c r="B36" s="231" t="s">
        <v>92</v>
      </c>
      <c r="C36" s="232">
        <f>C35-C34-C33-C32-C31</f>
        <v>25</v>
      </c>
      <c r="D36" s="65"/>
      <c r="E36" s="65"/>
      <c r="F36" s="233"/>
      <c r="G36" s="65"/>
      <c r="I36" s="231" t="s">
        <v>92</v>
      </c>
      <c r="J36" s="232">
        <f>J35-J34-J33-J32-J31</f>
        <v>0</v>
      </c>
      <c r="K36" s="65"/>
      <c r="L36" s="65"/>
      <c r="M36" s="233"/>
      <c r="N36" s="65"/>
      <c r="P36" s="231" t="s">
        <v>92</v>
      </c>
      <c r="Q36" s="232">
        <f>Q35-Q34-Q33-Q32-Q31</f>
        <v>0</v>
      </c>
      <c r="R36" s="65"/>
      <c r="S36" s="65"/>
      <c r="T36" s="233"/>
      <c r="U36" s="65"/>
      <c r="W36" s="198" t="s">
        <v>92</v>
      </c>
      <c r="X36" s="232">
        <f>X35-X34-X33-X32-X31</f>
        <v>0</v>
      </c>
      <c r="Y36" s="65"/>
      <c r="Z36" s="65"/>
      <c r="AA36" s="65"/>
      <c r="AB36" s="65"/>
      <c r="AC36" s="186"/>
    </row>
    <row r="37" spans="2:29" ht="15.75" customHeight="1">
      <c r="W37" s="200"/>
      <c r="AA37" s="8"/>
      <c r="AC37" s="186"/>
    </row>
    <row r="38" spans="2:29" ht="15.75" customHeight="1">
      <c r="W38" s="185"/>
      <c r="X38" s="185"/>
      <c r="Y38" s="185"/>
      <c r="Z38" s="185"/>
      <c r="AA38" s="185"/>
      <c r="AB38" s="207"/>
      <c r="AC38" s="186"/>
    </row>
    <row r="39" spans="2:29" s="186" customFormat="1" ht="15.75" customHeight="1">
      <c r="B39" s="208"/>
      <c r="C39" s="185"/>
      <c r="D39" s="185"/>
      <c r="E39" s="185"/>
      <c r="F39" s="233"/>
      <c r="G39" s="185"/>
      <c r="I39" s="208"/>
      <c r="J39" s="185"/>
      <c r="K39" s="185"/>
      <c r="L39" s="185"/>
      <c r="M39" s="233"/>
      <c r="N39" s="185"/>
      <c r="P39" s="208"/>
      <c r="Q39" s="185"/>
      <c r="R39" s="185"/>
      <c r="S39" s="185"/>
      <c r="T39" s="233"/>
      <c r="U39" s="185"/>
      <c r="W39" s="234"/>
      <c r="X39" s="65"/>
      <c r="Y39" s="65"/>
      <c r="Z39" s="65"/>
      <c r="AA39" s="65"/>
      <c r="AB39" s="197"/>
    </row>
    <row r="40" spans="2:29" s="186" customFormat="1" ht="15.75" customHeight="1">
      <c r="B40" s="216" t="s">
        <v>249</v>
      </c>
      <c r="C40" s="217"/>
      <c r="D40" s="217"/>
      <c r="E40" s="217"/>
      <c r="F40" s="218"/>
      <c r="G40" s="217"/>
      <c r="I40" s="216" t="s">
        <v>249</v>
      </c>
      <c r="J40" s="217"/>
      <c r="K40" s="217"/>
      <c r="L40" s="217"/>
      <c r="M40" s="218"/>
      <c r="N40" s="217"/>
      <c r="P40" s="216" t="s">
        <v>249</v>
      </c>
      <c r="Q40" s="217"/>
      <c r="R40" s="217"/>
      <c r="S40" s="217"/>
      <c r="T40" s="218"/>
      <c r="U40" s="217"/>
      <c r="W40" s="216" t="s">
        <v>249</v>
      </c>
      <c r="X40" s="217"/>
      <c r="Y40" s="217"/>
      <c r="Z40" s="217"/>
      <c r="AA40" s="218"/>
      <c r="AB40" s="217"/>
    </row>
    <row r="41" spans="2:29" ht="36" customHeight="1">
      <c r="B41" s="219" t="s">
        <v>82</v>
      </c>
      <c r="C41" s="220" t="s">
        <v>83</v>
      </c>
      <c r="D41" s="220" t="s">
        <v>84</v>
      </c>
      <c r="E41" s="220" t="s">
        <v>85</v>
      </c>
      <c r="F41" s="219" t="s">
        <v>86</v>
      </c>
      <c r="G41" s="220" t="s">
        <v>87</v>
      </c>
      <c r="I41" s="219" t="s">
        <v>82</v>
      </c>
      <c r="J41" s="220" t="s">
        <v>83</v>
      </c>
      <c r="K41" s="220" t="s">
        <v>84</v>
      </c>
      <c r="L41" s="220" t="s">
        <v>85</v>
      </c>
      <c r="M41" s="219" t="s">
        <v>86</v>
      </c>
      <c r="N41" s="220" t="s">
        <v>87</v>
      </c>
      <c r="P41" s="219" t="s">
        <v>82</v>
      </c>
      <c r="Q41" s="220" t="s">
        <v>83</v>
      </c>
      <c r="R41" s="220" t="s">
        <v>84</v>
      </c>
      <c r="S41" s="220" t="s">
        <v>85</v>
      </c>
      <c r="T41" s="219" t="s">
        <v>86</v>
      </c>
      <c r="U41" s="220" t="s">
        <v>87</v>
      </c>
      <c r="W41" s="184" t="s">
        <v>82</v>
      </c>
      <c r="X41" s="184" t="s">
        <v>83</v>
      </c>
      <c r="Y41" s="184" t="s">
        <v>84</v>
      </c>
      <c r="Z41" s="184" t="s">
        <v>85</v>
      </c>
      <c r="AA41" s="184" t="s">
        <v>86</v>
      </c>
      <c r="AB41" s="184" t="s">
        <v>87</v>
      </c>
      <c r="AC41" s="186"/>
    </row>
    <row r="42" spans="2:29" ht="18.75" customHeight="1">
      <c r="B42" s="338" t="s">
        <v>88</v>
      </c>
      <c r="C42" s="221">
        <f>COUNTIFS('1. All Data'!$AB$3:$AB$133,"Leisure, Amenities &amp; Tourism",'1. All Data'!$H$3:$H$133,"Fully Achieved")</f>
        <v>0</v>
      </c>
      <c r="D42" s="222">
        <f>C42/C53</f>
        <v>0</v>
      </c>
      <c r="E42" s="416">
        <f>D42+D43</f>
        <v>0.47368421052631576</v>
      </c>
      <c r="F42" s="223">
        <f>C42/C54</f>
        <v>0</v>
      </c>
      <c r="G42" s="421">
        <f>F42+F43</f>
        <v>0.9</v>
      </c>
      <c r="I42" s="338" t="s">
        <v>88</v>
      </c>
      <c r="J42" s="221">
        <f>COUNTIFS('1. All Data'!$AB$3:$AB$133,"Leisure, Amenities &amp; Tourism",'1. All Data'!$M$3:$M$133,"Fully Achieved")</f>
        <v>0</v>
      </c>
      <c r="K42" s="222" t="e">
        <f>J42/J53</f>
        <v>#DIV/0!</v>
      </c>
      <c r="L42" s="416" t="e">
        <f>K42+K43</f>
        <v>#DIV/0!</v>
      </c>
      <c r="M42" s="223" t="e">
        <f>J42/J54</f>
        <v>#DIV/0!</v>
      </c>
      <c r="N42" s="421" t="e">
        <f>M42+M43</f>
        <v>#DIV/0!</v>
      </c>
      <c r="P42" s="338" t="s">
        <v>88</v>
      </c>
      <c r="Q42" s="221">
        <f>COUNTIFS('1. All Data'!$AB$3:$AB$133,"Leisure, Amenities &amp; Tourism",'1. All Data'!$R$3:$R$133,"Fully Achieved")</f>
        <v>0</v>
      </c>
      <c r="R42" s="222" t="e">
        <f>Q42/Q53</f>
        <v>#DIV/0!</v>
      </c>
      <c r="S42" s="416" t="e">
        <f>R42+R43</f>
        <v>#DIV/0!</v>
      </c>
      <c r="T42" s="223" t="e">
        <f>Q42/Q54</f>
        <v>#DIV/0!</v>
      </c>
      <c r="U42" s="421" t="e">
        <f>T42+T43</f>
        <v>#DIV/0!</v>
      </c>
      <c r="W42" s="338" t="s">
        <v>88</v>
      </c>
      <c r="X42" s="221">
        <f>COUNTIFS('1. All Data'!$AB$3:$AB$133,"Leisure, Amenities &amp; Tourism",'1. All Data'!$V$3:$V$133,"Fully Achieved")</f>
        <v>0</v>
      </c>
      <c r="Y42" s="222" t="e">
        <f>X42/X53</f>
        <v>#DIV/0!</v>
      </c>
      <c r="Z42" s="416" t="e">
        <f>Y42+Y43</f>
        <v>#DIV/0!</v>
      </c>
      <c r="AA42" s="222" t="e">
        <f>X42/X54</f>
        <v>#DIV/0!</v>
      </c>
      <c r="AB42" s="392" t="e">
        <f>AA42+AA43</f>
        <v>#DIV/0!</v>
      </c>
      <c r="AC42" s="186"/>
    </row>
    <row r="43" spans="2:29" ht="18.75" customHeight="1">
      <c r="B43" s="338" t="s">
        <v>65</v>
      </c>
      <c r="C43" s="221">
        <f>COUNTIFS('1. All Data'!$AB$3:$AB$133,"Leisure, Amenities &amp; Tourism",'1. All Data'!$H$3:$H$133,"On Track to be Achieved")</f>
        <v>9</v>
      </c>
      <c r="D43" s="222">
        <f>C43/C53</f>
        <v>0.47368421052631576</v>
      </c>
      <c r="E43" s="416"/>
      <c r="F43" s="223">
        <f>C43/C54</f>
        <v>0.9</v>
      </c>
      <c r="G43" s="421"/>
      <c r="I43" s="338" t="s">
        <v>65</v>
      </c>
      <c r="J43" s="221">
        <f>COUNTIFS('1. All Data'!$AB$3:$AB$133,"Leisure, Amenities &amp; Tourism",'1. All Data'!$M$3:$M$133,"On Track to be Achieved")</f>
        <v>0</v>
      </c>
      <c r="K43" s="222" t="e">
        <f>J43/J53</f>
        <v>#DIV/0!</v>
      </c>
      <c r="L43" s="416"/>
      <c r="M43" s="223" t="e">
        <f>J43/J54</f>
        <v>#DIV/0!</v>
      </c>
      <c r="N43" s="421"/>
      <c r="P43" s="338" t="s">
        <v>65</v>
      </c>
      <c r="Q43" s="221">
        <f>COUNTIFS('1. All Data'!$AB$3:$AB$133,"Leisure, Amenities &amp; Tourism",'1. All Data'!$R$3:$R$133,"On Track to be Achieved")</f>
        <v>0</v>
      </c>
      <c r="R43" s="222" t="e">
        <f>Q43/Q53</f>
        <v>#DIV/0!</v>
      </c>
      <c r="S43" s="416"/>
      <c r="T43" s="223" t="e">
        <f>Q43/Q54</f>
        <v>#DIV/0!</v>
      </c>
      <c r="U43" s="421"/>
      <c r="W43" s="338" t="s">
        <v>57</v>
      </c>
      <c r="X43" s="221">
        <f>COUNTIFS('1. All Data'!$AB$3:$AB$133,"Leisure, Amenities &amp; Tourism",'1. All Data'!$V$3:$V$133,"Numerical Outturn Within 5% Tolerance")</f>
        <v>0</v>
      </c>
      <c r="Y43" s="222" t="e">
        <f>X43/X53</f>
        <v>#DIV/0!</v>
      </c>
      <c r="Z43" s="416"/>
      <c r="AA43" s="222" t="e">
        <f>X43/X54</f>
        <v>#DIV/0!</v>
      </c>
      <c r="AB43" s="392"/>
      <c r="AC43" s="186"/>
    </row>
    <row r="44" spans="2:29" ht="16.5" customHeight="1">
      <c r="B44" s="410" t="s">
        <v>66</v>
      </c>
      <c r="C44" s="413">
        <f>COUNTIFS('1. All Data'!$AB$3:$AB$133,"Leisure, Amenities &amp; Tourism",'1. All Data'!$H$3:$H$133,"In Danger of Falling Behind Target")</f>
        <v>1</v>
      </c>
      <c r="D44" s="418">
        <f>C44/C53</f>
        <v>5.2631578947368418E-2</v>
      </c>
      <c r="E44" s="418">
        <f>D44</f>
        <v>5.2631578947368418E-2</v>
      </c>
      <c r="F44" s="404">
        <f>C44/C54</f>
        <v>0.1</v>
      </c>
      <c r="G44" s="407">
        <f>F44</f>
        <v>0.1</v>
      </c>
      <c r="I44" s="410" t="s">
        <v>66</v>
      </c>
      <c r="J44" s="413">
        <f>COUNTIFS('1. All Data'!$AB$3:$AB$133,"Leisure, Amenities &amp; Tourism",'1. All Data'!$M$3:$M$133,"In Danger of Falling Behind Target")</f>
        <v>0</v>
      </c>
      <c r="K44" s="418" t="e">
        <f>J44/J53</f>
        <v>#DIV/0!</v>
      </c>
      <c r="L44" s="418" t="e">
        <f>K44</f>
        <v>#DIV/0!</v>
      </c>
      <c r="M44" s="404" t="e">
        <f>J44/J54</f>
        <v>#DIV/0!</v>
      </c>
      <c r="N44" s="407" t="e">
        <f>M44</f>
        <v>#DIV/0!</v>
      </c>
      <c r="P44" s="410" t="s">
        <v>66</v>
      </c>
      <c r="Q44" s="413">
        <f>COUNTIFS('1. All Data'!$AB$3:$AB$133,"Leisure, Amenities &amp; Tourism",'1. All Data'!$R$3:$R$133,"In Danger of Falling Behind Target")</f>
        <v>0</v>
      </c>
      <c r="R44" s="418" t="e">
        <f>Q44/Q53</f>
        <v>#DIV/0!</v>
      </c>
      <c r="S44" s="418" t="e">
        <f>R44</f>
        <v>#DIV/0!</v>
      </c>
      <c r="T44" s="404" t="e">
        <f>Q44/Q54</f>
        <v>#DIV/0!</v>
      </c>
      <c r="U44" s="407" t="e">
        <f>T44</f>
        <v>#DIV/0!</v>
      </c>
      <c r="W44" s="189" t="s">
        <v>58</v>
      </c>
      <c r="X44" s="190">
        <f>COUNTIFS('1. All Data'!$AB$3:$AB$133,"Leisure, Amenities &amp; Tourism",'1. All Data'!$V$3:$V$133,"Numerical Outturn Within 10% Tolerance")</f>
        <v>0</v>
      </c>
      <c r="Y44" s="188" t="e">
        <f>X44/X53</f>
        <v>#DIV/0!</v>
      </c>
      <c r="Z44" s="375" t="e">
        <f>SUM(Y44:Y46)</f>
        <v>#DIV/0!</v>
      </c>
      <c r="AA44" s="188" t="e">
        <f>X44/X54</f>
        <v>#DIV/0!</v>
      </c>
      <c r="AB44" s="376" t="e">
        <f>SUM(AA44:AA46)</f>
        <v>#DIV/0!</v>
      </c>
      <c r="AC44" s="186"/>
    </row>
    <row r="45" spans="2:29" ht="16.5" customHeight="1">
      <c r="B45" s="411"/>
      <c r="C45" s="414"/>
      <c r="D45" s="419"/>
      <c r="E45" s="419"/>
      <c r="F45" s="405"/>
      <c r="G45" s="408"/>
      <c r="I45" s="411"/>
      <c r="J45" s="414"/>
      <c r="K45" s="419"/>
      <c r="L45" s="419"/>
      <c r="M45" s="405"/>
      <c r="N45" s="408"/>
      <c r="P45" s="411"/>
      <c r="Q45" s="414"/>
      <c r="R45" s="419"/>
      <c r="S45" s="419"/>
      <c r="T45" s="405"/>
      <c r="U45" s="408"/>
      <c r="W45" s="189" t="s">
        <v>59</v>
      </c>
      <c r="X45" s="190">
        <f>COUNTIFS('1. All Data'!$AB$3:$AB$133,"Leisure, Amenities &amp; Tourism",'1. All Data'!$V$3:$V$133,"Target Partially Met")</f>
        <v>0</v>
      </c>
      <c r="Y45" s="188" t="e">
        <f>X45/X53</f>
        <v>#DIV/0!</v>
      </c>
      <c r="Z45" s="375"/>
      <c r="AA45" s="188" t="e">
        <f>X45/X54</f>
        <v>#DIV/0!</v>
      </c>
      <c r="AB45" s="376"/>
      <c r="AC45" s="186"/>
    </row>
    <row r="46" spans="2:29" ht="16.5" customHeight="1">
      <c r="B46" s="412"/>
      <c r="C46" s="415"/>
      <c r="D46" s="420"/>
      <c r="E46" s="420"/>
      <c r="F46" s="406"/>
      <c r="G46" s="409"/>
      <c r="I46" s="412"/>
      <c r="J46" s="415"/>
      <c r="K46" s="420"/>
      <c r="L46" s="420"/>
      <c r="M46" s="406"/>
      <c r="N46" s="409"/>
      <c r="P46" s="412"/>
      <c r="Q46" s="415"/>
      <c r="R46" s="420"/>
      <c r="S46" s="420"/>
      <c r="T46" s="406"/>
      <c r="U46" s="409"/>
      <c r="W46" s="189" t="s">
        <v>62</v>
      </c>
      <c r="X46" s="190">
        <f>COUNTIFS('1. All Data'!$AB$3:$AB$133,"Leisure, Amenities &amp; Tourism",'1. All Data'!$V$3:$V$133,"Completion Date Within Reasonable Tolerance")</f>
        <v>0</v>
      </c>
      <c r="Y46" s="188" t="e">
        <f>X46/X53</f>
        <v>#DIV/0!</v>
      </c>
      <c r="Z46" s="375"/>
      <c r="AA46" s="188" t="e">
        <f>X46/X54</f>
        <v>#DIV/0!</v>
      </c>
      <c r="AB46" s="376"/>
      <c r="AC46" s="186"/>
    </row>
    <row r="47" spans="2:29" ht="22.5" customHeight="1">
      <c r="B47" s="224" t="s">
        <v>67</v>
      </c>
      <c r="C47" s="221">
        <f>COUNTIFS('1. All Data'!$AB$3:$AB$133,"Leisure, Amenities &amp; Tourism",'1. All Data'!$H$3:$H$133,"Completed Behind Schedule")</f>
        <v>0</v>
      </c>
      <c r="D47" s="222">
        <f>C47/C53</f>
        <v>0</v>
      </c>
      <c r="E47" s="416">
        <f>D47+D48</f>
        <v>0</v>
      </c>
      <c r="F47" s="223">
        <f>C47/C54</f>
        <v>0</v>
      </c>
      <c r="G47" s="417">
        <f>F47+F48</f>
        <v>0</v>
      </c>
      <c r="I47" s="224" t="s">
        <v>67</v>
      </c>
      <c r="J47" s="221">
        <f>COUNTIFS('1. All Data'!$AB$3:$AB$133,"Leisure, Amenities &amp; Tourism",'1. All Data'!$M$3:$M$133,"Completed Behind Schedule")</f>
        <v>0</v>
      </c>
      <c r="K47" s="222" t="e">
        <f>J47/J53</f>
        <v>#DIV/0!</v>
      </c>
      <c r="L47" s="416" t="e">
        <f>K47+K48</f>
        <v>#DIV/0!</v>
      </c>
      <c r="M47" s="223" t="e">
        <f>J47/J54</f>
        <v>#DIV/0!</v>
      </c>
      <c r="N47" s="417" t="e">
        <f>M47+M48</f>
        <v>#DIV/0!</v>
      </c>
      <c r="P47" s="224" t="s">
        <v>67</v>
      </c>
      <c r="Q47" s="221">
        <f>COUNTIFS('1. All Data'!$AB$3:$AB$133,"Leisure, Amenities &amp; Tourism",'1. All Data'!$R$3:$R$133,"Completed Behind Schedule")</f>
        <v>0</v>
      </c>
      <c r="R47" s="222" t="e">
        <f>Q47/Q53</f>
        <v>#DIV/0!</v>
      </c>
      <c r="S47" s="416" t="e">
        <f>R47+R48</f>
        <v>#DIV/0!</v>
      </c>
      <c r="T47" s="223" t="e">
        <f>Q47/Q54</f>
        <v>#DIV/0!</v>
      </c>
      <c r="U47" s="417" t="e">
        <f>T47+T48</f>
        <v>#DIV/0!</v>
      </c>
      <c r="W47" s="191" t="s">
        <v>61</v>
      </c>
      <c r="X47" s="221">
        <f>COUNTIFS('1. All Data'!$AB$3:$AB$133,"Leisure, Amenities &amp; Tourism",'1. All Data'!$V$3:$V$133,"Completed Significantly After Target Deadline")</f>
        <v>0</v>
      </c>
      <c r="Y47" s="222" t="e">
        <f>X47/X53</f>
        <v>#DIV/0!</v>
      </c>
      <c r="Z47" s="416" t="e">
        <f>Y47+Y48</f>
        <v>#DIV/0!</v>
      </c>
      <c r="AA47" s="222" t="e">
        <f>X47/X54</f>
        <v>#DIV/0!</v>
      </c>
      <c r="AB47" s="377" t="e">
        <f>AA47+AA48</f>
        <v>#DIV/0!</v>
      </c>
      <c r="AC47" s="186"/>
    </row>
    <row r="48" spans="2:29" ht="22.5" customHeight="1">
      <c r="B48" s="224" t="s">
        <v>60</v>
      </c>
      <c r="C48" s="221">
        <f>COUNTIFS('1. All Data'!$AB$3:$AB$133,"Leisure, Amenities &amp; Tourism",'1. All Data'!$H$3:$H$133,"Off Target")</f>
        <v>0</v>
      </c>
      <c r="D48" s="222">
        <f>C48/C53</f>
        <v>0</v>
      </c>
      <c r="E48" s="416"/>
      <c r="F48" s="223">
        <f>C48/C54</f>
        <v>0</v>
      </c>
      <c r="G48" s="417"/>
      <c r="I48" s="224" t="s">
        <v>60</v>
      </c>
      <c r="J48" s="221">
        <f>COUNTIFS('1. All Data'!$AB$3:$AB$133,"Leisure, Amenities &amp; Tourism",'1. All Data'!$M$3:$M$133,"Off Target")</f>
        <v>0</v>
      </c>
      <c r="K48" s="222" t="e">
        <f>J48/J53</f>
        <v>#DIV/0!</v>
      </c>
      <c r="L48" s="416"/>
      <c r="M48" s="223" t="e">
        <f>J48/J54</f>
        <v>#DIV/0!</v>
      </c>
      <c r="N48" s="417"/>
      <c r="P48" s="224" t="s">
        <v>60</v>
      </c>
      <c r="Q48" s="221">
        <f>COUNTIFS('1. All Data'!$AB$3:$AB$133,"Leisure, Amenities &amp; Tourism",'1. All Data'!$R$3:$R$133,"Off Target")</f>
        <v>0</v>
      </c>
      <c r="R48" s="222" t="e">
        <f>Q48/Q53</f>
        <v>#DIV/0!</v>
      </c>
      <c r="S48" s="416"/>
      <c r="T48" s="223" t="e">
        <f>Q48/Q54</f>
        <v>#DIV/0!</v>
      </c>
      <c r="U48" s="417"/>
      <c r="W48" s="191" t="s">
        <v>60</v>
      </c>
      <c r="X48" s="221">
        <f>COUNTIFS('1. All Data'!$AB$3:$AB$133,"Leisure, Amenities &amp; Tourism",'1. All Data'!$V$3:$V$133,"Off Target")</f>
        <v>0</v>
      </c>
      <c r="Y48" s="222" t="e">
        <f>X48/X53</f>
        <v>#DIV/0!</v>
      </c>
      <c r="Z48" s="416"/>
      <c r="AA48" s="222" t="e">
        <f>X48/X54</f>
        <v>#DIV/0!</v>
      </c>
      <c r="AB48" s="377"/>
      <c r="AC48" s="186"/>
    </row>
    <row r="49" spans="2:29" ht="15.75" customHeight="1">
      <c r="B49" s="225" t="s">
        <v>89</v>
      </c>
      <c r="C49" s="221">
        <f>COUNTIFS('1. All Data'!$AB$3:$AB$133,"Leisure, Amenities &amp; Tourism",'1. All Data'!$H$3:$H$133,"Not yet due")</f>
        <v>8</v>
      </c>
      <c r="D49" s="226">
        <f>C49/C53</f>
        <v>0.42105263157894735</v>
      </c>
      <c r="E49" s="226">
        <f>D49</f>
        <v>0.42105263157894735</v>
      </c>
      <c r="F49" s="227"/>
      <c r="G49" s="65"/>
      <c r="I49" s="225" t="s">
        <v>89</v>
      </c>
      <c r="J49" s="221">
        <f>COUNTIFS('1. All Data'!$AB$3:$AB$133,"Leisure, Amenities &amp; Tourism",'1. All Data'!$M$3:$M$133,"Not yet due")</f>
        <v>0</v>
      </c>
      <c r="K49" s="226" t="e">
        <f>J49/J53</f>
        <v>#DIV/0!</v>
      </c>
      <c r="L49" s="226" t="e">
        <f>K49</f>
        <v>#DIV/0!</v>
      </c>
      <c r="M49" s="227"/>
      <c r="N49" s="65"/>
      <c r="P49" s="225" t="s">
        <v>89</v>
      </c>
      <c r="Q49" s="221">
        <f>COUNTIFS('1. All Data'!$AB$3:$AB$133,"Leisure, Amenities &amp; Tourism",'1. All Data'!$R$3:$R$133,"Not yet due")</f>
        <v>0</v>
      </c>
      <c r="R49" s="226" t="e">
        <f>Q49/Q53</f>
        <v>#DIV/0!</v>
      </c>
      <c r="S49" s="226" t="e">
        <f>R49</f>
        <v>#DIV/0!</v>
      </c>
      <c r="T49" s="227"/>
      <c r="U49" s="65"/>
      <c r="W49" s="192" t="s">
        <v>89</v>
      </c>
      <c r="X49" s="221">
        <f>COUNTIFS('1. All Data'!$AB$3:$AB$133,"Leisure, Amenities &amp; Tourism",'1. All Data'!$V$3:$V$133,"Not yet due")</f>
        <v>0</v>
      </c>
      <c r="Y49" s="226" t="e">
        <f>X49/X53</f>
        <v>#DIV/0!</v>
      </c>
      <c r="Z49" s="226" t="e">
        <f>Y49</f>
        <v>#DIV/0!</v>
      </c>
      <c r="AA49" s="194"/>
      <c r="AB49" s="65"/>
      <c r="AC49" s="186"/>
    </row>
    <row r="50" spans="2:29" ht="15.75" customHeight="1">
      <c r="B50" s="225" t="s">
        <v>55</v>
      </c>
      <c r="C50" s="221">
        <f>COUNTIFS('1. All Data'!$AB$3:$AB$133,"Leisure, Amenities &amp; Tourism",'1. All Data'!$H$3:$H$133,"Update not provided")</f>
        <v>0</v>
      </c>
      <c r="D50" s="226">
        <f>C50/C53</f>
        <v>0</v>
      </c>
      <c r="E50" s="226">
        <f>D50</f>
        <v>0</v>
      </c>
      <c r="F50" s="227"/>
      <c r="G50" s="8"/>
      <c r="I50" s="225" t="s">
        <v>55</v>
      </c>
      <c r="J50" s="221">
        <f>COUNTIFS('1. All Data'!$AB$3:$AB$133,"Leisure, Amenities &amp; Tourism",'1. All Data'!$M$3:$M$133,"Update not provided")</f>
        <v>0</v>
      </c>
      <c r="K50" s="226" t="e">
        <f>J50/J53</f>
        <v>#DIV/0!</v>
      </c>
      <c r="L50" s="226" t="e">
        <f>K50</f>
        <v>#DIV/0!</v>
      </c>
      <c r="M50" s="227"/>
      <c r="N50" s="8"/>
      <c r="P50" s="225" t="s">
        <v>55</v>
      </c>
      <c r="Q50" s="221">
        <f>COUNTIFS('1. All Data'!$AB$3:$AB$133,"Leisure, Amenities &amp; Tourism",'1. All Data'!$R$3:$R$133,"Update not provided")</f>
        <v>0</v>
      </c>
      <c r="R50" s="226" t="e">
        <f>Q50/Q53</f>
        <v>#DIV/0!</v>
      </c>
      <c r="S50" s="226" t="e">
        <f>R50</f>
        <v>#DIV/0!</v>
      </c>
      <c r="T50" s="227"/>
      <c r="U50" s="8"/>
      <c r="W50" s="192" t="s">
        <v>55</v>
      </c>
      <c r="X50" s="221">
        <f>COUNTIFS('1. All Data'!$AB$3:$AB$133,"Leisure, Amenities &amp; Tourism",'1. All Data'!$V$3:$V$133,"Update not provided")</f>
        <v>0</v>
      </c>
      <c r="Y50" s="226" t="e">
        <f>X50/X53</f>
        <v>#DIV/0!</v>
      </c>
      <c r="Z50" s="226" t="e">
        <f>Y50</f>
        <v>#DIV/0!</v>
      </c>
      <c r="AA50" s="194"/>
      <c r="AB50" s="8"/>
      <c r="AC50" s="186"/>
    </row>
    <row r="51" spans="2:29" ht="15.75" customHeight="1">
      <c r="B51" s="228" t="s">
        <v>63</v>
      </c>
      <c r="C51" s="221">
        <f>COUNTIFS('1. All Data'!$AB$3:$AB$133,"Leisure, Amenities &amp; Tourism",'1. All Data'!$H$3:$H$133,"Deferred")</f>
        <v>1</v>
      </c>
      <c r="D51" s="229">
        <f>C51/C53</f>
        <v>5.2631578947368418E-2</v>
      </c>
      <c r="E51" s="229">
        <f>D51</f>
        <v>5.2631578947368418E-2</v>
      </c>
      <c r="F51" s="230"/>
      <c r="G51" s="65"/>
      <c r="I51" s="228" t="s">
        <v>63</v>
      </c>
      <c r="J51" s="221">
        <f>COUNTIFS('1. All Data'!$AB$3:$AB$133,"Leisure, Amenities &amp; Tourism",'1. All Data'!$M$3:$M$133,"Deferred")</f>
        <v>0</v>
      </c>
      <c r="K51" s="229" t="e">
        <f>J51/J53</f>
        <v>#DIV/0!</v>
      </c>
      <c r="L51" s="229" t="e">
        <f>K51</f>
        <v>#DIV/0!</v>
      </c>
      <c r="M51" s="230"/>
      <c r="N51" s="65"/>
      <c r="P51" s="228" t="s">
        <v>63</v>
      </c>
      <c r="Q51" s="221">
        <f>COUNTIFS('1. All Data'!$AB$3:$AB$133,"Leisure, Amenities &amp; Tourism",'1. All Data'!$R$3:$R$133,"Deferred")</f>
        <v>0</v>
      </c>
      <c r="R51" s="229" t="e">
        <f>Q51/Q53</f>
        <v>#DIV/0!</v>
      </c>
      <c r="S51" s="229" t="e">
        <f>R51</f>
        <v>#DIV/0!</v>
      </c>
      <c r="T51" s="230"/>
      <c r="U51" s="65"/>
      <c r="W51" s="195" t="s">
        <v>63</v>
      </c>
      <c r="X51" s="221">
        <f>COUNTIFS('1. All Data'!$AB$3:$AB$133,"Leisure, Amenities &amp; Tourism",'1. All Data'!$V$3:$V$133,"Deferred")</f>
        <v>0</v>
      </c>
      <c r="Y51" s="229" t="e">
        <f>X51/X53</f>
        <v>#DIV/0!</v>
      </c>
      <c r="Z51" s="229" t="e">
        <f>Y51</f>
        <v>#DIV/0!</v>
      </c>
      <c r="AA51" s="197"/>
      <c r="AB51" s="65"/>
      <c r="AC51" s="186"/>
    </row>
    <row r="52" spans="2:29" ht="15.75" customHeight="1">
      <c r="B52" s="228" t="s">
        <v>64</v>
      </c>
      <c r="C52" s="221">
        <f>COUNTIFS('1. All Data'!$AB$3:$AB$133,"Leisure, Amenities &amp; Tourism",'1. All Data'!$H$3:$H$133,"Deleted")</f>
        <v>0</v>
      </c>
      <c r="D52" s="229">
        <f>C52/C53</f>
        <v>0</v>
      </c>
      <c r="E52" s="229">
        <f>D52</f>
        <v>0</v>
      </c>
      <c r="F52" s="230"/>
      <c r="G52" s="36"/>
      <c r="I52" s="228" t="s">
        <v>64</v>
      </c>
      <c r="J52" s="221">
        <f>COUNTIFS('1. All Data'!$AB$3:$AB$133,"Leisure, Amenities &amp; Tourism",'1. All Data'!$M$3:$M$133,"Deleted")</f>
        <v>0</v>
      </c>
      <c r="K52" s="229" t="e">
        <f>J52/J53</f>
        <v>#DIV/0!</v>
      </c>
      <c r="L52" s="229" t="e">
        <f>K52</f>
        <v>#DIV/0!</v>
      </c>
      <c r="M52" s="230"/>
      <c r="N52" s="36"/>
      <c r="P52" s="228" t="s">
        <v>64</v>
      </c>
      <c r="Q52" s="221">
        <f>COUNTIFS('1. All Data'!$AB$3:$AB$133,"Leisure, Amenities &amp; Tourism",'1. All Data'!$R$3:$R$133,"Deleted")</f>
        <v>0</v>
      </c>
      <c r="R52" s="229" t="e">
        <f>Q52/Q53</f>
        <v>#DIV/0!</v>
      </c>
      <c r="S52" s="229" t="e">
        <f>R52</f>
        <v>#DIV/0!</v>
      </c>
      <c r="T52" s="230"/>
      <c r="U52" s="36"/>
      <c r="W52" s="195" t="s">
        <v>64</v>
      </c>
      <c r="X52" s="221">
        <f>COUNTIFS('1. All Data'!$AB$3:$AB$133,"Leisure, Amenities &amp; Tourism",'1. All Data'!$V$3:$V$133,"Deleted")</f>
        <v>0</v>
      </c>
      <c r="Y52" s="229" t="e">
        <f>X52/X53</f>
        <v>#DIV/0!</v>
      </c>
      <c r="Z52" s="229" t="e">
        <f>Y52</f>
        <v>#DIV/0!</v>
      </c>
      <c r="AA52" s="197"/>
      <c r="AB52" s="9"/>
      <c r="AC52" s="186"/>
    </row>
    <row r="53" spans="2:29" ht="15.75" customHeight="1">
      <c r="B53" s="231" t="s">
        <v>91</v>
      </c>
      <c r="C53" s="232">
        <f>SUM(C42:C52)</f>
        <v>19</v>
      </c>
      <c r="D53" s="197"/>
      <c r="E53" s="197"/>
      <c r="F53" s="233"/>
      <c r="G53" s="65"/>
      <c r="I53" s="231" t="s">
        <v>91</v>
      </c>
      <c r="J53" s="232">
        <f>SUM(J42:J52)</f>
        <v>0</v>
      </c>
      <c r="K53" s="197"/>
      <c r="L53" s="197"/>
      <c r="M53" s="233"/>
      <c r="N53" s="65"/>
      <c r="P53" s="231" t="s">
        <v>91</v>
      </c>
      <c r="Q53" s="232">
        <f>SUM(Q42:Q52)</f>
        <v>0</v>
      </c>
      <c r="R53" s="197"/>
      <c r="S53" s="197"/>
      <c r="T53" s="233"/>
      <c r="U53" s="65"/>
      <c r="W53" s="198" t="s">
        <v>91</v>
      </c>
      <c r="X53" s="232">
        <f>SUM(X42:X52)</f>
        <v>0</v>
      </c>
      <c r="Y53" s="197"/>
      <c r="Z53" s="197"/>
      <c r="AA53" s="65"/>
      <c r="AB53" s="65"/>
      <c r="AC53" s="186"/>
    </row>
    <row r="54" spans="2:29" ht="15.75" customHeight="1">
      <c r="B54" s="231" t="s">
        <v>92</v>
      </c>
      <c r="C54" s="232">
        <f>C53-C52-C51-C50-C49</f>
        <v>10</v>
      </c>
      <c r="D54" s="65"/>
      <c r="E54" s="65"/>
      <c r="F54" s="233"/>
      <c r="G54" s="65"/>
      <c r="I54" s="231" t="s">
        <v>92</v>
      </c>
      <c r="J54" s="232">
        <f>J53-J52-J51-J50-J49</f>
        <v>0</v>
      </c>
      <c r="K54" s="65"/>
      <c r="L54" s="65"/>
      <c r="M54" s="233"/>
      <c r="N54" s="65"/>
      <c r="P54" s="231" t="s">
        <v>92</v>
      </c>
      <c r="Q54" s="232">
        <f>Q53-Q52-Q51-Q50-Q49</f>
        <v>0</v>
      </c>
      <c r="R54" s="65"/>
      <c r="S54" s="65"/>
      <c r="T54" s="233"/>
      <c r="U54" s="65"/>
      <c r="W54" s="198" t="s">
        <v>92</v>
      </c>
      <c r="X54" s="232">
        <f>X53-X52-X51-X50-X49</f>
        <v>0</v>
      </c>
      <c r="Y54" s="65"/>
      <c r="Z54" s="65"/>
      <c r="AA54" s="65"/>
      <c r="AB54" s="65"/>
      <c r="AC54" s="186"/>
    </row>
    <row r="55" spans="2:29" ht="15.75" customHeight="1">
      <c r="W55" s="200"/>
      <c r="AA55" s="8"/>
      <c r="AC55" s="186"/>
    </row>
    <row r="56" spans="2:29" ht="15.75" customHeight="1">
      <c r="W56" s="185"/>
      <c r="X56" s="235"/>
      <c r="Y56" s="185"/>
      <c r="Z56" s="185"/>
      <c r="AA56" s="185"/>
      <c r="AB56" s="207"/>
      <c r="AC56" s="186"/>
    </row>
    <row r="57" spans="2:29" ht="15.75" customHeight="1">
      <c r="W57" s="236"/>
      <c r="X57" s="237"/>
      <c r="Y57" s="65"/>
      <c r="Z57" s="65"/>
      <c r="AA57" s="65"/>
      <c r="AB57" s="197"/>
      <c r="AC57" s="186"/>
    </row>
    <row r="58" spans="2:29" s="186" customFormat="1" ht="15.6">
      <c r="B58" s="238" t="s">
        <v>115</v>
      </c>
      <c r="C58" s="217"/>
      <c r="D58" s="217"/>
      <c r="E58" s="217"/>
      <c r="F58" s="218"/>
      <c r="G58" s="217"/>
      <c r="I58" s="238" t="s">
        <v>115</v>
      </c>
      <c r="J58" s="217"/>
      <c r="K58" s="217"/>
      <c r="L58" s="217"/>
      <c r="M58" s="218"/>
      <c r="N58" s="217"/>
      <c r="P58" s="238" t="s">
        <v>115</v>
      </c>
      <c r="Q58" s="217"/>
      <c r="R58" s="217"/>
      <c r="S58" s="217"/>
      <c r="T58" s="218"/>
      <c r="U58" s="217"/>
      <c r="W58" s="238" t="s">
        <v>115</v>
      </c>
      <c r="X58" s="217"/>
      <c r="Y58" s="217"/>
      <c r="Z58" s="217"/>
      <c r="AA58" s="218"/>
      <c r="AB58" s="217"/>
    </row>
    <row r="59" spans="2:29" ht="41.25" customHeight="1">
      <c r="B59" s="219" t="s">
        <v>82</v>
      </c>
      <c r="C59" s="220" t="s">
        <v>83</v>
      </c>
      <c r="D59" s="220" t="s">
        <v>84</v>
      </c>
      <c r="E59" s="220" t="s">
        <v>85</v>
      </c>
      <c r="F59" s="219" t="s">
        <v>86</v>
      </c>
      <c r="G59" s="220" t="s">
        <v>87</v>
      </c>
      <c r="I59" s="219" t="s">
        <v>82</v>
      </c>
      <c r="J59" s="220" t="s">
        <v>83</v>
      </c>
      <c r="K59" s="220" t="s">
        <v>84</v>
      </c>
      <c r="L59" s="220" t="s">
        <v>85</v>
      </c>
      <c r="M59" s="219" t="s">
        <v>86</v>
      </c>
      <c r="N59" s="220" t="s">
        <v>87</v>
      </c>
      <c r="P59" s="219" t="s">
        <v>82</v>
      </c>
      <c r="Q59" s="220" t="s">
        <v>83</v>
      </c>
      <c r="R59" s="220" t="s">
        <v>84</v>
      </c>
      <c r="S59" s="220" t="s">
        <v>85</v>
      </c>
      <c r="T59" s="219" t="s">
        <v>86</v>
      </c>
      <c r="U59" s="220" t="s">
        <v>87</v>
      </c>
      <c r="W59" s="184" t="s">
        <v>82</v>
      </c>
      <c r="X59" s="184" t="s">
        <v>83</v>
      </c>
      <c r="Y59" s="184" t="s">
        <v>84</v>
      </c>
      <c r="Z59" s="184" t="s">
        <v>85</v>
      </c>
      <c r="AA59" s="184" t="s">
        <v>86</v>
      </c>
      <c r="AB59" s="184" t="s">
        <v>87</v>
      </c>
      <c r="AC59" s="186"/>
    </row>
    <row r="60" spans="2:29" ht="27.75" customHeight="1">
      <c r="B60" s="338" t="s">
        <v>88</v>
      </c>
      <c r="C60" s="221">
        <f>COUNTIFS('1. All Data'!$AB$3:$AB$133,"Regeneration &amp; Planning Policy",'1. All Data'!$H$3:$H$133,"Fully Achieved")</f>
        <v>4</v>
      </c>
      <c r="D60" s="222">
        <f>C60/C71</f>
        <v>0.12903225806451613</v>
      </c>
      <c r="E60" s="416">
        <f>D60+D61</f>
        <v>0.67741935483870963</v>
      </c>
      <c r="F60" s="223">
        <f>C60/C72</f>
        <v>0.18181818181818182</v>
      </c>
      <c r="G60" s="421">
        <f>F60+F61</f>
        <v>0.95454545454545459</v>
      </c>
      <c r="I60" s="338" t="s">
        <v>88</v>
      </c>
      <c r="J60" s="221">
        <f>COUNTIFS('1. All Data'!$AB$3:$AB$133,"Regeneration &amp; Planning Policy",'1. All Data'!$M$3:$M$133,"Fully Achieved")</f>
        <v>0</v>
      </c>
      <c r="K60" s="222" t="e">
        <f>J60/J71</f>
        <v>#DIV/0!</v>
      </c>
      <c r="L60" s="416" t="e">
        <f>K60+K61</f>
        <v>#DIV/0!</v>
      </c>
      <c r="M60" s="223" t="e">
        <f>J60/J72</f>
        <v>#DIV/0!</v>
      </c>
      <c r="N60" s="421" t="e">
        <f>M60+M61</f>
        <v>#DIV/0!</v>
      </c>
      <c r="P60" s="338" t="s">
        <v>88</v>
      </c>
      <c r="Q60" s="221">
        <f>COUNTIFS('1. All Data'!$AB$3:$AB$133,"Regeneration &amp; Planning Policy",'1. All Data'!$R$3:$R$133,"Fully Achieved")</f>
        <v>0</v>
      </c>
      <c r="R60" s="222" t="e">
        <f>Q60/Q71</f>
        <v>#DIV/0!</v>
      </c>
      <c r="S60" s="416" t="e">
        <f>R60+R61</f>
        <v>#DIV/0!</v>
      </c>
      <c r="T60" s="223" t="e">
        <f>Q60/Q72</f>
        <v>#DIV/0!</v>
      </c>
      <c r="U60" s="421" t="e">
        <f>T60+T61</f>
        <v>#DIV/0!</v>
      </c>
      <c r="W60" s="338" t="s">
        <v>88</v>
      </c>
      <c r="X60" s="221">
        <f>COUNTIFS('1. All Data'!$AB$3:$AB$133,"Regeneration &amp; Planning Policy",'1. All Data'!$V$3:$V$133,"Fully Achieved")</f>
        <v>0</v>
      </c>
      <c r="Y60" s="222" t="e">
        <f>X60/X71</f>
        <v>#DIV/0!</v>
      </c>
      <c r="Z60" s="416" t="e">
        <f>Y60+Y61</f>
        <v>#DIV/0!</v>
      </c>
      <c r="AA60" s="222" t="e">
        <f>X60/X72</f>
        <v>#DIV/0!</v>
      </c>
      <c r="AB60" s="392" t="e">
        <f>AA60+AA61</f>
        <v>#DIV/0!</v>
      </c>
      <c r="AC60" s="186"/>
    </row>
    <row r="61" spans="2:29" ht="27.75" customHeight="1">
      <c r="B61" s="338" t="s">
        <v>65</v>
      </c>
      <c r="C61" s="221">
        <f>COUNTIFS('1. All Data'!$AB$3:$AB$133,"Regeneration &amp; Planning Policy",'1. All Data'!$H$3:$H$133,"On Track to be Achieved")</f>
        <v>17</v>
      </c>
      <c r="D61" s="222">
        <f>C61/C71</f>
        <v>0.54838709677419351</v>
      </c>
      <c r="E61" s="416"/>
      <c r="F61" s="223">
        <f>C61/C72</f>
        <v>0.77272727272727271</v>
      </c>
      <c r="G61" s="421"/>
      <c r="I61" s="338" t="s">
        <v>65</v>
      </c>
      <c r="J61" s="221">
        <f>COUNTIFS('1. All Data'!$AB$3:$AB$133,"Regeneration &amp; Planning Policy",'1. All Data'!$M$3:$M$133,"On Track to be Achieved")</f>
        <v>0</v>
      </c>
      <c r="K61" s="222" t="e">
        <f>J61/J71</f>
        <v>#DIV/0!</v>
      </c>
      <c r="L61" s="416"/>
      <c r="M61" s="223" t="e">
        <f>J61/J72</f>
        <v>#DIV/0!</v>
      </c>
      <c r="N61" s="421"/>
      <c r="P61" s="338" t="s">
        <v>65</v>
      </c>
      <c r="Q61" s="221">
        <f>COUNTIFS('1. All Data'!$AB$3:$AB$133,"Regeneration &amp; Planning Policy",'1. All Data'!$R$3:$R$133,"On Track to be Achieved")</f>
        <v>0</v>
      </c>
      <c r="R61" s="222" t="e">
        <f>Q61/Q71</f>
        <v>#DIV/0!</v>
      </c>
      <c r="S61" s="416"/>
      <c r="T61" s="223" t="e">
        <f>Q61/Q72</f>
        <v>#DIV/0!</v>
      </c>
      <c r="U61" s="421"/>
      <c r="W61" s="338" t="s">
        <v>57</v>
      </c>
      <c r="X61" s="221">
        <f>COUNTIFS('1. All Data'!$AB$3:$AB$133,"Regeneration &amp; Planning Policy",'1. All Data'!$V$3:$V$133,"Numerical Outturn Within 5% Tolerance")</f>
        <v>0</v>
      </c>
      <c r="Y61" s="222" t="e">
        <f>X61/X71</f>
        <v>#DIV/0!</v>
      </c>
      <c r="Z61" s="416"/>
      <c r="AA61" s="222" t="e">
        <f>X61/X72</f>
        <v>#DIV/0!</v>
      </c>
      <c r="AB61" s="392"/>
      <c r="AC61" s="186"/>
    </row>
    <row r="62" spans="2:29" ht="21" customHeight="1">
      <c r="B62" s="410" t="s">
        <v>66</v>
      </c>
      <c r="C62" s="413">
        <f>COUNTIFS('1. All Data'!$AB$3:$AB$133,"Regeneration &amp; Planning Policy",'1. All Data'!$H$3:$H$133,"In Danger of Falling Behind Target")</f>
        <v>1</v>
      </c>
      <c r="D62" s="418">
        <f>C62/C71</f>
        <v>3.2258064516129031E-2</v>
      </c>
      <c r="E62" s="418">
        <f>D62</f>
        <v>3.2258064516129031E-2</v>
      </c>
      <c r="F62" s="404">
        <f>C62/C72</f>
        <v>4.5454545454545456E-2</v>
      </c>
      <c r="G62" s="407">
        <f>F62</f>
        <v>4.5454545454545456E-2</v>
      </c>
      <c r="I62" s="410" t="s">
        <v>66</v>
      </c>
      <c r="J62" s="413">
        <f>COUNTIFS('1. All Data'!$AB$3:$AB$133,"Regeneration &amp; Planning Policy",'1. All Data'!$M$3:$M$133,"In Danger of Falling Behind Target")</f>
        <v>0</v>
      </c>
      <c r="K62" s="418" t="e">
        <f>J62/J71</f>
        <v>#DIV/0!</v>
      </c>
      <c r="L62" s="418" t="e">
        <f>K62</f>
        <v>#DIV/0!</v>
      </c>
      <c r="M62" s="404" t="e">
        <f>J62/J72</f>
        <v>#DIV/0!</v>
      </c>
      <c r="N62" s="407" t="e">
        <f>M62</f>
        <v>#DIV/0!</v>
      </c>
      <c r="P62" s="410" t="s">
        <v>66</v>
      </c>
      <c r="Q62" s="413">
        <f>COUNTIFS('1. All Data'!$AB$3:$AB$133,"Regeneration &amp; Planning Policy",'1. All Data'!$R$3:$R$133,"In Danger of Falling Behind Target")</f>
        <v>0</v>
      </c>
      <c r="R62" s="418" t="e">
        <f>Q62/Q71</f>
        <v>#DIV/0!</v>
      </c>
      <c r="S62" s="418" t="e">
        <f>R62</f>
        <v>#DIV/0!</v>
      </c>
      <c r="T62" s="404" t="e">
        <f>Q62/Q72</f>
        <v>#DIV/0!</v>
      </c>
      <c r="U62" s="407" t="e">
        <f>T62</f>
        <v>#DIV/0!</v>
      </c>
      <c r="W62" s="189" t="s">
        <v>58</v>
      </c>
      <c r="X62" s="190">
        <f>COUNTIFS('1. All Data'!$AB$3:$AB$133,"Regeneration &amp; Planning Policy",'1. All Data'!$V$3:$V$133,"Numerical Outturn Within 10% Tolerance")</f>
        <v>0</v>
      </c>
      <c r="Y62" s="188" t="e">
        <f>X62/X71</f>
        <v>#DIV/0!</v>
      </c>
      <c r="Z62" s="375" t="e">
        <f>SUM(Y62:Y64)</f>
        <v>#DIV/0!</v>
      </c>
      <c r="AA62" s="188" t="e">
        <f>X62/X72</f>
        <v>#DIV/0!</v>
      </c>
      <c r="AB62" s="376" t="e">
        <f>SUM(AA62:AA64)</f>
        <v>#DIV/0!</v>
      </c>
      <c r="AC62" s="186"/>
    </row>
    <row r="63" spans="2:29" ht="18.75" customHeight="1">
      <c r="B63" s="411"/>
      <c r="C63" s="414"/>
      <c r="D63" s="419"/>
      <c r="E63" s="419"/>
      <c r="F63" s="405"/>
      <c r="G63" s="408"/>
      <c r="I63" s="411"/>
      <c r="J63" s="414"/>
      <c r="K63" s="419"/>
      <c r="L63" s="419"/>
      <c r="M63" s="405"/>
      <c r="N63" s="408"/>
      <c r="P63" s="411"/>
      <c r="Q63" s="414"/>
      <c r="R63" s="419"/>
      <c r="S63" s="419"/>
      <c r="T63" s="405"/>
      <c r="U63" s="408"/>
      <c r="W63" s="189" t="s">
        <v>59</v>
      </c>
      <c r="X63" s="190">
        <f>COUNTIFS('1. All Data'!$AB$3:$AB$133,"Regeneration &amp; Planning Policy",'1. All Data'!$V$3:$V$133,"Target Partially Met")</f>
        <v>0</v>
      </c>
      <c r="Y63" s="188" t="e">
        <f>X63/X71</f>
        <v>#DIV/0!</v>
      </c>
      <c r="Z63" s="375"/>
      <c r="AA63" s="188" t="e">
        <f>X63/X72</f>
        <v>#DIV/0!</v>
      </c>
      <c r="AB63" s="376"/>
      <c r="AC63" s="186"/>
    </row>
    <row r="64" spans="2:29" ht="20.25" customHeight="1">
      <c r="B64" s="412"/>
      <c r="C64" s="415"/>
      <c r="D64" s="420"/>
      <c r="E64" s="420"/>
      <c r="F64" s="406"/>
      <c r="G64" s="409"/>
      <c r="I64" s="412"/>
      <c r="J64" s="415"/>
      <c r="K64" s="420"/>
      <c r="L64" s="420"/>
      <c r="M64" s="406"/>
      <c r="N64" s="409"/>
      <c r="P64" s="412"/>
      <c r="Q64" s="415"/>
      <c r="R64" s="420"/>
      <c r="S64" s="420"/>
      <c r="T64" s="406"/>
      <c r="U64" s="409"/>
      <c r="W64" s="189" t="s">
        <v>62</v>
      </c>
      <c r="X64" s="190">
        <f>COUNTIFS('1. All Data'!$AB$3:$AB$133,"Regeneration &amp; Planning Policy",'1. All Data'!$V$3:$V$133,"Completion Date Within Reasonable Tolerance")</f>
        <v>0</v>
      </c>
      <c r="Y64" s="188" t="e">
        <f>X64/X71</f>
        <v>#DIV/0!</v>
      </c>
      <c r="Z64" s="375"/>
      <c r="AA64" s="188" t="e">
        <f>X64/X72</f>
        <v>#DIV/0!</v>
      </c>
      <c r="AB64" s="376"/>
      <c r="AC64" s="186"/>
    </row>
    <row r="65" spans="2:29" ht="30" customHeight="1">
      <c r="B65" s="224" t="s">
        <v>67</v>
      </c>
      <c r="C65" s="221">
        <f>COUNTIFS('1. All Data'!$AB$3:$AB$133,"Regeneration &amp; Planning Policy",'1. All Data'!$H$3:$H$133,"Completed Behind Schedule")</f>
        <v>0</v>
      </c>
      <c r="D65" s="222">
        <f>C65/C71</f>
        <v>0</v>
      </c>
      <c r="E65" s="416">
        <f>D65+D66</f>
        <v>0</v>
      </c>
      <c r="F65" s="223">
        <f>C65/C72</f>
        <v>0</v>
      </c>
      <c r="G65" s="417">
        <f>F65+F66</f>
        <v>0</v>
      </c>
      <c r="I65" s="224" t="s">
        <v>67</v>
      </c>
      <c r="J65" s="221">
        <f>COUNTIFS('1. All Data'!$AB$3:$AB$133,"Regeneration &amp; Planning Policy",'1. All Data'!$M$3:$M$133,"Completed Behind Schedule")</f>
        <v>0</v>
      </c>
      <c r="K65" s="222" t="e">
        <f>J65/J71</f>
        <v>#DIV/0!</v>
      </c>
      <c r="L65" s="416" t="e">
        <f>K65+K66</f>
        <v>#DIV/0!</v>
      </c>
      <c r="M65" s="223" t="e">
        <f>J65/J72</f>
        <v>#DIV/0!</v>
      </c>
      <c r="N65" s="417" t="e">
        <f>M65+M66</f>
        <v>#DIV/0!</v>
      </c>
      <c r="P65" s="224" t="s">
        <v>67</v>
      </c>
      <c r="Q65" s="221">
        <f>COUNTIFS('1. All Data'!$AB$3:$AB$133,"Regeneration &amp; Planning Policy",'1. All Data'!$R$3:$R$133,"Completed Behind Schedule")</f>
        <v>0</v>
      </c>
      <c r="R65" s="222" t="e">
        <f>Q65/Q71</f>
        <v>#DIV/0!</v>
      </c>
      <c r="S65" s="416" t="e">
        <f>R65+R66</f>
        <v>#DIV/0!</v>
      </c>
      <c r="T65" s="223" t="e">
        <f>Q65/Q72</f>
        <v>#DIV/0!</v>
      </c>
      <c r="U65" s="417" t="e">
        <f>T65+T66</f>
        <v>#DIV/0!</v>
      </c>
      <c r="W65" s="191" t="s">
        <v>61</v>
      </c>
      <c r="X65" s="221">
        <f>COUNTIFS('1. All Data'!$AB$3:$AB$133,"Regeneration &amp; Planning Policy",'1. All Data'!$V$3:$V$133,"Completed Significantly After Target Deadline")</f>
        <v>0</v>
      </c>
      <c r="Y65" s="222" t="e">
        <f>X65/X71</f>
        <v>#DIV/0!</v>
      </c>
      <c r="Z65" s="416" t="e">
        <f>Y65+Y66</f>
        <v>#DIV/0!</v>
      </c>
      <c r="AA65" s="188" t="e">
        <f>X65/X72</f>
        <v>#DIV/0!</v>
      </c>
      <c r="AB65" s="377" t="e">
        <f>AA65+AA66</f>
        <v>#DIV/0!</v>
      </c>
      <c r="AC65" s="186"/>
    </row>
    <row r="66" spans="2:29" ht="30" customHeight="1">
      <c r="B66" s="224" t="s">
        <v>60</v>
      </c>
      <c r="C66" s="221">
        <f>COUNTIFS('1. All Data'!$AB$3:$AB$133,"Regeneration &amp; Planning Policy",'1. All Data'!$H$3:$H$133,"Off Target")</f>
        <v>0</v>
      </c>
      <c r="D66" s="222">
        <f>C66/C71</f>
        <v>0</v>
      </c>
      <c r="E66" s="416"/>
      <c r="F66" s="223">
        <f>C66/C72</f>
        <v>0</v>
      </c>
      <c r="G66" s="417"/>
      <c r="I66" s="224" t="s">
        <v>60</v>
      </c>
      <c r="J66" s="221">
        <f>COUNTIFS('1. All Data'!$AB$3:$AB$133,"Regeneration &amp; Planning Policy",'1. All Data'!$M$3:$M$133,"Off Target")</f>
        <v>0</v>
      </c>
      <c r="K66" s="222" t="e">
        <f>J66/J71</f>
        <v>#DIV/0!</v>
      </c>
      <c r="L66" s="416"/>
      <c r="M66" s="223" t="e">
        <f>J66/J72</f>
        <v>#DIV/0!</v>
      </c>
      <c r="N66" s="417"/>
      <c r="P66" s="224" t="s">
        <v>60</v>
      </c>
      <c r="Q66" s="221">
        <f>COUNTIFS('1. All Data'!$AB$3:$AB$133,"Regeneration &amp; Planning Policy",'1. All Data'!$R$3:$R$133,"Off Target")</f>
        <v>0</v>
      </c>
      <c r="R66" s="222" t="e">
        <f>Q66/Q71</f>
        <v>#DIV/0!</v>
      </c>
      <c r="S66" s="416"/>
      <c r="T66" s="223" t="e">
        <f>Q66/Q72</f>
        <v>#DIV/0!</v>
      </c>
      <c r="U66" s="417"/>
      <c r="W66" s="191" t="s">
        <v>60</v>
      </c>
      <c r="X66" s="221">
        <f>COUNTIFS('1. All Data'!$AB$3:$AB$133,"Regeneration &amp; Planning Policy",'1. All Data'!$R$3:$R$133,"Off Target")</f>
        <v>0</v>
      </c>
      <c r="Y66" s="222" t="e">
        <f>X66/X71</f>
        <v>#DIV/0!</v>
      </c>
      <c r="Z66" s="416"/>
      <c r="AA66" s="188" t="e">
        <f>X66/X72</f>
        <v>#DIV/0!</v>
      </c>
      <c r="AB66" s="377"/>
      <c r="AC66" s="186"/>
    </row>
    <row r="67" spans="2:29" ht="15.75" customHeight="1">
      <c r="B67" s="225" t="s">
        <v>89</v>
      </c>
      <c r="C67" s="221">
        <f>COUNTIFS('1. All Data'!$AB$3:$AB$133,"Regeneration &amp; Planning Policy",'1. All Data'!$H$3:$H$133,"Not yet due")</f>
        <v>9</v>
      </c>
      <c r="D67" s="226">
        <f>C67/C71</f>
        <v>0.29032258064516131</v>
      </c>
      <c r="E67" s="226">
        <f>D67</f>
        <v>0.29032258064516131</v>
      </c>
      <c r="F67" s="227"/>
      <c r="G67" s="65"/>
      <c r="I67" s="225" t="s">
        <v>89</v>
      </c>
      <c r="J67" s="221">
        <f>COUNTIFS('1. All Data'!$AB$3:$AB$133,"Regeneration &amp; Planning Policy",'1. All Data'!$M$3:$M$133,"Not yet due")</f>
        <v>0</v>
      </c>
      <c r="K67" s="226" t="e">
        <f>J67/J71</f>
        <v>#DIV/0!</v>
      </c>
      <c r="L67" s="226" t="e">
        <f>K67</f>
        <v>#DIV/0!</v>
      </c>
      <c r="M67" s="227"/>
      <c r="N67" s="65"/>
      <c r="P67" s="225" t="s">
        <v>89</v>
      </c>
      <c r="Q67" s="221">
        <f>COUNTIFS('1. All Data'!$AB$3:$AB$133,"Regeneration &amp; Planning Policy",'1. All Data'!$R$3:$R$133,"Not yet due")</f>
        <v>0</v>
      </c>
      <c r="R67" s="226" t="e">
        <f>Q67/Q71</f>
        <v>#DIV/0!</v>
      </c>
      <c r="S67" s="226" t="e">
        <f>R67</f>
        <v>#DIV/0!</v>
      </c>
      <c r="T67" s="227"/>
      <c r="U67" s="65"/>
      <c r="W67" s="192" t="s">
        <v>89</v>
      </c>
      <c r="X67" s="221">
        <f>COUNTIFS('1. All Data'!$AB$3:$AB$133,"Regeneration &amp; Planning Policy",'1. All Data'!$V$3:$V$133,"Not yet due")</f>
        <v>0</v>
      </c>
      <c r="Y67" s="226" t="e">
        <f>X67/X71</f>
        <v>#DIV/0!</v>
      </c>
      <c r="Z67" s="226" t="e">
        <f>Y67</f>
        <v>#DIV/0!</v>
      </c>
      <c r="AA67" s="194"/>
      <c r="AB67" s="65"/>
      <c r="AC67" s="186"/>
    </row>
    <row r="68" spans="2:29" ht="15.75" customHeight="1">
      <c r="B68" s="225" t="s">
        <v>55</v>
      </c>
      <c r="C68" s="221">
        <f>COUNTIFS('1. All Data'!$AB$3:$AB$133,"Regeneration &amp; Planning Policy",'1. All Data'!$H$3:$H$133,"Update not provided")</f>
        <v>0</v>
      </c>
      <c r="D68" s="226">
        <f>C68/C71</f>
        <v>0</v>
      </c>
      <c r="E68" s="226">
        <f>D68</f>
        <v>0</v>
      </c>
      <c r="F68" s="227"/>
      <c r="G68" s="8"/>
      <c r="I68" s="225" t="s">
        <v>55</v>
      </c>
      <c r="J68" s="221">
        <f>COUNTIFS('1. All Data'!$AB$3:$AB$133,"Regeneration &amp; Planning Policy",'1. All Data'!$M$3:$M$133,"Update not provided")</f>
        <v>0</v>
      </c>
      <c r="K68" s="226" t="e">
        <f>J68/J71</f>
        <v>#DIV/0!</v>
      </c>
      <c r="L68" s="226" t="e">
        <f>K68</f>
        <v>#DIV/0!</v>
      </c>
      <c r="M68" s="227"/>
      <c r="N68" s="8"/>
      <c r="P68" s="225" t="s">
        <v>55</v>
      </c>
      <c r="Q68" s="221">
        <f>COUNTIFS('1. All Data'!$AB$3:$AB$133,"Regeneration &amp; Planning Policy",'1. All Data'!$R$3:$R$133,"Update not provided")</f>
        <v>0</v>
      </c>
      <c r="R68" s="226" t="e">
        <f>Q68/Q71</f>
        <v>#DIV/0!</v>
      </c>
      <c r="S68" s="226" t="e">
        <f>R68</f>
        <v>#DIV/0!</v>
      </c>
      <c r="T68" s="227"/>
      <c r="U68" s="8"/>
      <c r="W68" s="192" t="s">
        <v>55</v>
      </c>
      <c r="X68" s="221">
        <f>COUNTIFS('1. All Data'!$AB$3:$AB$133,"Regeneration &amp; Planning Policy",'1. All Data'!$V$3:$V$133,"Update not provided")</f>
        <v>0</v>
      </c>
      <c r="Y68" s="226" t="e">
        <f>X68/X71</f>
        <v>#DIV/0!</v>
      </c>
      <c r="Z68" s="226" t="e">
        <f>Y68</f>
        <v>#DIV/0!</v>
      </c>
      <c r="AA68" s="194"/>
      <c r="AB68" s="8"/>
      <c r="AC68" s="186"/>
    </row>
    <row r="69" spans="2:29" ht="15.75" customHeight="1">
      <c r="B69" s="228" t="s">
        <v>63</v>
      </c>
      <c r="C69" s="221">
        <f>COUNTIFS('1. All Data'!$AB$3:$AB$133,"Regeneration &amp; Planning Policy",'1. All Data'!$H$3:$H$133,"Deferred")</f>
        <v>0</v>
      </c>
      <c r="D69" s="229">
        <f>C69/C71</f>
        <v>0</v>
      </c>
      <c r="E69" s="229">
        <f>D69</f>
        <v>0</v>
      </c>
      <c r="F69" s="230"/>
      <c r="G69" s="65"/>
      <c r="I69" s="228" t="s">
        <v>63</v>
      </c>
      <c r="J69" s="221">
        <f>COUNTIFS('1. All Data'!$AB$3:$AB$133,"Regeneration &amp; Planning Policy",'1. All Data'!$M$3:$M$133,"Deferred")</f>
        <v>0</v>
      </c>
      <c r="K69" s="229" t="e">
        <f>J69/J71</f>
        <v>#DIV/0!</v>
      </c>
      <c r="L69" s="229" t="e">
        <f>K69</f>
        <v>#DIV/0!</v>
      </c>
      <c r="M69" s="230"/>
      <c r="N69" s="65"/>
      <c r="P69" s="228" t="s">
        <v>63</v>
      </c>
      <c r="Q69" s="221">
        <f>COUNTIFS('1. All Data'!$AB$3:$AB$133,"Regeneration &amp; Planning Policy",'1. All Data'!$R$3:$R$133,"Deferred")</f>
        <v>0</v>
      </c>
      <c r="R69" s="229" t="e">
        <f>Q69/Q71</f>
        <v>#DIV/0!</v>
      </c>
      <c r="S69" s="229" t="e">
        <f>R69</f>
        <v>#DIV/0!</v>
      </c>
      <c r="T69" s="230"/>
      <c r="U69" s="65"/>
      <c r="W69" s="195" t="s">
        <v>63</v>
      </c>
      <c r="X69" s="221">
        <f>COUNTIFS('1. All Data'!$AB$3:$AB$133,"Regeneration &amp; Planning Policy",'1. All Data'!$V$3:$V$133,"Deferred")</f>
        <v>0</v>
      </c>
      <c r="Y69" s="229" t="e">
        <f>X69/X71</f>
        <v>#DIV/0!</v>
      </c>
      <c r="Z69" s="229" t="e">
        <f>Y69</f>
        <v>#DIV/0!</v>
      </c>
      <c r="AA69" s="197"/>
      <c r="AB69" s="65"/>
      <c r="AC69" s="186"/>
    </row>
    <row r="70" spans="2:29" ht="15.75" customHeight="1">
      <c r="B70" s="228" t="s">
        <v>64</v>
      </c>
      <c r="C70" s="221">
        <f>COUNTIFS('1. All Data'!$AB$3:$AB$133,"Regeneration &amp; Planning Policy",'1. All Data'!$H$3:$H$133,"Deleted")</f>
        <v>0</v>
      </c>
      <c r="D70" s="229">
        <f>C70/C71</f>
        <v>0</v>
      </c>
      <c r="E70" s="229">
        <f>D70</f>
        <v>0</v>
      </c>
      <c r="F70" s="230"/>
      <c r="G70" s="36"/>
      <c r="I70" s="228" t="s">
        <v>64</v>
      </c>
      <c r="J70" s="221">
        <f>COUNTIFS('1. All Data'!$AB$3:$AB$133,"Regeneration &amp; Planning Policy",'1. All Data'!$M$3:$M$133,"Deleted")</f>
        <v>0</v>
      </c>
      <c r="K70" s="229" t="e">
        <f>J70/J71</f>
        <v>#DIV/0!</v>
      </c>
      <c r="L70" s="229" t="e">
        <f>K70</f>
        <v>#DIV/0!</v>
      </c>
      <c r="M70" s="230"/>
      <c r="N70" s="36"/>
      <c r="P70" s="228" t="s">
        <v>64</v>
      </c>
      <c r="Q70" s="221">
        <f>COUNTIFS('1. All Data'!$AB$3:$AB$133,"Regeneration &amp; Planning Policy",'1. All Data'!$R$3:$R$133,"Deleted")</f>
        <v>0</v>
      </c>
      <c r="R70" s="229" t="e">
        <f>Q70/Q71</f>
        <v>#DIV/0!</v>
      </c>
      <c r="S70" s="229" t="e">
        <f>R70</f>
        <v>#DIV/0!</v>
      </c>
      <c r="T70" s="230"/>
      <c r="U70" s="36"/>
      <c r="W70" s="195" t="s">
        <v>64</v>
      </c>
      <c r="X70" s="221">
        <f>COUNTIFS('1. All Data'!$AB$3:$AB$133,"Regeneration &amp; Planning Policy",'1. All Data'!$V$3:$V$133,"Deleted")</f>
        <v>0</v>
      </c>
      <c r="Y70" s="229" t="e">
        <f>X70/X71</f>
        <v>#DIV/0!</v>
      </c>
      <c r="Z70" s="229" t="e">
        <f>Y70</f>
        <v>#DIV/0!</v>
      </c>
      <c r="AA70" s="197"/>
      <c r="AB70" s="9"/>
      <c r="AC70" s="186"/>
    </row>
    <row r="71" spans="2:29" ht="15.75" customHeight="1">
      <c r="B71" s="231" t="s">
        <v>91</v>
      </c>
      <c r="C71" s="232">
        <f>SUM(C60:C70)</f>
        <v>31</v>
      </c>
      <c r="D71" s="197"/>
      <c r="E71" s="197"/>
      <c r="F71" s="233"/>
      <c r="G71" s="65"/>
      <c r="I71" s="231" t="s">
        <v>91</v>
      </c>
      <c r="J71" s="232">
        <f>SUM(J60:J70)</f>
        <v>0</v>
      </c>
      <c r="K71" s="197"/>
      <c r="L71" s="197"/>
      <c r="M71" s="233"/>
      <c r="N71" s="65"/>
      <c r="P71" s="231" t="s">
        <v>91</v>
      </c>
      <c r="Q71" s="232">
        <f>SUM(Q60:Q70)</f>
        <v>0</v>
      </c>
      <c r="R71" s="197"/>
      <c r="S71" s="197"/>
      <c r="T71" s="233"/>
      <c r="U71" s="65"/>
      <c r="W71" s="198" t="s">
        <v>91</v>
      </c>
      <c r="X71" s="232">
        <f>SUM(X60:X70)</f>
        <v>0</v>
      </c>
      <c r="Y71" s="197"/>
      <c r="Z71" s="197"/>
      <c r="AA71" s="65"/>
      <c r="AB71" s="65"/>
      <c r="AC71" s="186"/>
    </row>
    <row r="72" spans="2:29" ht="15.75" customHeight="1">
      <c r="B72" s="231" t="s">
        <v>92</v>
      </c>
      <c r="C72" s="232">
        <f>C71-C70-C69-C68-C67</f>
        <v>22</v>
      </c>
      <c r="D72" s="65"/>
      <c r="E72" s="65"/>
      <c r="F72" s="233"/>
      <c r="G72" s="65"/>
      <c r="I72" s="231" t="s">
        <v>92</v>
      </c>
      <c r="J72" s="232">
        <f>J71-J70-J69-J68-J67</f>
        <v>0</v>
      </c>
      <c r="K72" s="65"/>
      <c r="L72" s="65"/>
      <c r="M72" s="233"/>
      <c r="N72" s="65"/>
      <c r="P72" s="231" t="s">
        <v>92</v>
      </c>
      <c r="Q72" s="232">
        <f>Q71-Q70-Q69-Q68-Q67</f>
        <v>0</v>
      </c>
      <c r="R72" s="65"/>
      <c r="S72" s="65"/>
      <c r="T72" s="233"/>
      <c r="U72" s="65"/>
      <c r="W72" s="198" t="s">
        <v>92</v>
      </c>
      <c r="X72" s="232">
        <f>X71-X70-X69-X68-X67</f>
        <v>0</v>
      </c>
      <c r="Y72" s="65"/>
      <c r="Z72" s="65"/>
      <c r="AA72" s="65"/>
      <c r="AB72" s="65"/>
      <c r="AC72" s="186"/>
    </row>
    <row r="73" spans="2:29" ht="15.75" customHeight="1">
      <c r="W73" s="200"/>
      <c r="AA73" s="8"/>
      <c r="AC73" s="186"/>
    </row>
    <row r="74" spans="2:29" ht="15.75" customHeight="1">
      <c r="W74" s="185"/>
      <c r="X74" s="185"/>
      <c r="Y74" s="185"/>
      <c r="Z74" s="185"/>
      <c r="AA74" s="185"/>
      <c r="AB74" s="207"/>
      <c r="AC74" s="186"/>
    </row>
    <row r="75" spans="2:29" s="186" customFormat="1" ht="15.75" customHeight="1">
      <c r="B75" s="208"/>
      <c r="C75" s="185"/>
      <c r="D75" s="185"/>
      <c r="E75" s="185"/>
      <c r="F75" s="233"/>
      <c r="G75" s="185"/>
      <c r="I75" s="208"/>
      <c r="J75" s="185"/>
      <c r="K75" s="185"/>
      <c r="L75" s="185"/>
      <c r="M75" s="233"/>
      <c r="N75" s="185"/>
      <c r="P75" s="208"/>
      <c r="Q75" s="185"/>
      <c r="R75" s="185"/>
      <c r="S75" s="185"/>
      <c r="T75" s="233"/>
      <c r="U75" s="185"/>
      <c r="W75" s="185"/>
      <c r="X75" s="185"/>
      <c r="Y75" s="185"/>
      <c r="Z75" s="185"/>
      <c r="AA75" s="185"/>
      <c r="AB75" s="207"/>
    </row>
    <row r="76" spans="2:29" s="186" customFormat="1" ht="15.6">
      <c r="B76" s="238" t="s">
        <v>250</v>
      </c>
      <c r="C76" s="217"/>
      <c r="D76" s="217"/>
      <c r="E76" s="217"/>
      <c r="F76" s="218"/>
      <c r="G76" s="217"/>
      <c r="I76" s="238" t="s">
        <v>250</v>
      </c>
      <c r="J76" s="217"/>
      <c r="K76" s="217"/>
      <c r="L76" s="217"/>
      <c r="M76" s="218"/>
      <c r="N76" s="217"/>
      <c r="P76" s="238" t="s">
        <v>250</v>
      </c>
      <c r="Q76" s="217"/>
      <c r="R76" s="217"/>
      <c r="S76" s="217"/>
      <c r="T76" s="218"/>
      <c r="U76" s="217"/>
      <c r="W76" s="238" t="s">
        <v>250</v>
      </c>
      <c r="X76" s="217"/>
      <c r="Y76" s="217"/>
      <c r="Z76" s="217"/>
      <c r="AA76" s="218"/>
      <c r="AB76" s="217"/>
    </row>
    <row r="77" spans="2:29" ht="36" customHeight="1">
      <c r="B77" s="219" t="s">
        <v>82</v>
      </c>
      <c r="C77" s="220" t="s">
        <v>83</v>
      </c>
      <c r="D77" s="220" t="s">
        <v>84</v>
      </c>
      <c r="E77" s="220" t="s">
        <v>85</v>
      </c>
      <c r="F77" s="219" t="s">
        <v>86</v>
      </c>
      <c r="G77" s="220" t="s">
        <v>87</v>
      </c>
      <c r="I77" s="219" t="s">
        <v>82</v>
      </c>
      <c r="J77" s="220" t="s">
        <v>83</v>
      </c>
      <c r="K77" s="220" t="s">
        <v>84</v>
      </c>
      <c r="L77" s="220" t="s">
        <v>85</v>
      </c>
      <c r="M77" s="219" t="s">
        <v>86</v>
      </c>
      <c r="N77" s="220" t="s">
        <v>87</v>
      </c>
      <c r="P77" s="219" t="s">
        <v>82</v>
      </c>
      <c r="Q77" s="220" t="s">
        <v>83</v>
      </c>
      <c r="R77" s="220" t="s">
        <v>84</v>
      </c>
      <c r="S77" s="220" t="s">
        <v>85</v>
      </c>
      <c r="T77" s="219" t="s">
        <v>86</v>
      </c>
      <c r="U77" s="220" t="s">
        <v>87</v>
      </c>
      <c r="W77" s="184" t="s">
        <v>82</v>
      </c>
      <c r="X77" s="184" t="s">
        <v>83</v>
      </c>
      <c r="Y77" s="184" t="s">
        <v>84</v>
      </c>
      <c r="Z77" s="184" t="s">
        <v>85</v>
      </c>
      <c r="AA77" s="184" t="s">
        <v>86</v>
      </c>
      <c r="AB77" s="184" t="s">
        <v>87</v>
      </c>
      <c r="AC77" s="186"/>
    </row>
    <row r="78" spans="2:29" ht="18.75" customHeight="1">
      <c r="B78" s="338" t="s">
        <v>88</v>
      </c>
      <c r="C78" s="221">
        <f>COUNTIFS('1. All Data'!$AB$3:$AB$133,"Community &amp; Regulatory Services",'1. All Data'!$H$3:$H$133,"Fully Achieved")</f>
        <v>1</v>
      </c>
      <c r="D78" s="222">
        <f>C78/C89</f>
        <v>0.05</v>
      </c>
      <c r="E78" s="416">
        <f>D78+D79</f>
        <v>0.8</v>
      </c>
      <c r="F78" s="223">
        <f>C78/C90</f>
        <v>6.25E-2</v>
      </c>
      <c r="G78" s="421">
        <f>F78+F79</f>
        <v>1</v>
      </c>
      <c r="I78" s="338" t="s">
        <v>88</v>
      </c>
      <c r="J78" s="221">
        <f>COUNTIFS('1. All Data'!$AB$3:$AB$133,"Community &amp; Regulatory Services",'1. All Data'!$M$3:$M$133,"Fully Achieved")</f>
        <v>0</v>
      </c>
      <c r="K78" s="222" t="e">
        <f>J78/J89</f>
        <v>#DIV/0!</v>
      </c>
      <c r="L78" s="416" t="e">
        <f>K78+K79</f>
        <v>#DIV/0!</v>
      </c>
      <c r="M78" s="223" t="e">
        <f>J78/J90</f>
        <v>#DIV/0!</v>
      </c>
      <c r="N78" s="421" t="e">
        <f>M78+M79</f>
        <v>#DIV/0!</v>
      </c>
      <c r="P78" s="338" t="s">
        <v>88</v>
      </c>
      <c r="Q78" s="221">
        <f>COUNTIFS('1. All Data'!$AB$3:$AB$133,"Community &amp; Regulatory Services",'1. All Data'!$R$3:$R$133,"Fully Achieved")</f>
        <v>0</v>
      </c>
      <c r="R78" s="222" t="e">
        <f>Q78/Q89</f>
        <v>#DIV/0!</v>
      </c>
      <c r="S78" s="416" t="e">
        <f>R78+R79</f>
        <v>#DIV/0!</v>
      </c>
      <c r="T78" s="223" t="e">
        <f>Q78/Q90</f>
        <v>#DIV/0!</v>
      </c>
      <c r="U78" s="421" t="e">
        <f>T78+T79</f>
        <v>#DIV/0!</v>
      </c>
      <c r="W78" s="338" t="s">
        <v>88</v>
      </c>
      <c r="X78" s="221">
        <f>COUNTIFS('1. All Data'!$AB$3:$AB$133,"Community &amp; Regulatory Services",'1. All Data'!$V$3:$V$133,"Fully Achieved")</f>
        <v>0</v>
      </c>
      <c r="Y78" s="222" t="e">
        <f>X78/X89</f>
        <v>#DIV/0!</v>
      </c>
      <c r="Z78" s="416" t="e">
        <f>Y78+Y79</f>
        <v>#DIV/0!</v>
      </c>
      <c r="AA78" s="222" t="e">
        <f>X78/X90</f>
        <v>#DIV/0!</v>
      </c>
      <c r="AB78" s="392" t="e">
        <f>AA78+AA79</f>
        <v>#DIV/0!</v>
      </c>
      <c r="AC78" s="186"/>
    </row>
    <row r="79" spans="2:29" ht="18.75" customHeight="1">
      <c r="B79" s="338" t="s">
        <v>65</v>
      </c>
      <c r="C79" s="221">
        <f>COUNTIFS('1. All Data'!$AB$3:$AB$133,"Community &amp; Regulatory Services",'1. All Data'!$H$3:$H$133,"On Track to be Achieved")</f>
        <v>15</v>
      </c>
      <c r="D79" s="222">
        <f>C79/C89</f>
        <v>0.75</v>
      </c>
      <c r="E79" s="416"/>
      <c r="F79" s="223">
        <f>C79/C90</f>
        <v>0.9375</v>
      </c>
      <c r="G79" s="421"/>
      <c r="I79" s="338" t="s">
        <v>65</v>
      </c>
      <c r="J79" s="221">
        <f>COUNTIFS('1. All Data'!$AB$3:$AB$133,"Community &amp; Regulatory Services",'1. All Data'!$M$3:$M$133,"On Track to be Achieved")</f>
        <v>0</v>
      </c>
      <c r="K79" s="222" t="e">
        <f>J79/J89</f>
        <v>#DIV/0!</v>
      </c>
      <c r="L79" s="416"/>
      <c r="M79" s="223" t="e">
        <f>J79/J90</f>
        <v>#DIV/0!</v>
      </c>
      <c r="N79" s="421"/>
      <c r="P79" s="338" t="s">
        <v>65</v>
      </c>
      <c r="Q79" s="221">
        <f>COUNTIFS('1. All Data'!$AB$3:$AB$133,"Community &amp; Regulatory Services",'1. All Data'!$R$3:$R$133,"On Track to be Achieved")</f>
        <v>0</v>
      </c>
      <c r="R79" s="222" t="e">
        <f>Q79/Q89</f>
        <v>#DIV/0!</v>
      </c>
      <c r="S79" s="416"/>
      <c r="T79" s="223" t="e">
        <f>Q79/Q90</f>
        <v>#DIV/0!</v>
      </c>
      <c r="U79" s="421"/>
      <c r="W79" s="338" t="s">
        <v>57</v>
      </c>
      <c r="X79" s="221">
        <f>COUNTIFS('1. All Data'!$AB$3:$AB$133,"Community &amp; Regulatory Services",'1. All Data'!$V$3:$V$133,"Numerical Outturn Within 5% Tolerance")</f>
        <v>0</v>
      </c>
      <c r="Y79" s="222" t="e">
        <f>X79/X89</f>
        <v>#DIV/0!</v>
      </c>
      <c r="Z79" s="416"/>
      <c r="AA79" s="222" t="e">
        <f>X79/X90</f>
        <v>#DIV/0!</v>
      </c>
      <c r="AB79" s="392"/>
      <c r="AC79" s="186"/>
    </row>
    <row r="80" spans="2:29" ht="16.5" customHeight="1">
      <c r="B80" s="410" t="s">
        <v>66</v>
      </c>
      <c r="C80" s="413">
        <f>COUNTIFS('1. All Data'!$AB$3:$AB$133,"Community &amp; Regulatory Services",'1. All Data'!$H$3:$H$133,"In Danger of Falling Behind Target")</f>
        <v>0</v>
      </c>
      <c r="D80" s="418">
        <f>C80/C89</f>
        <v>0</v>
      </c>
      <c r="E80" s="418">
        <f>D80</f>
        <v>0</v>
      </c>
      <c r="F80" s="404">
        <f>C80/C90</f>
        <v>0</v>
      </c>
      <c r="G80" s="407">
        <f>F80</f>
        <v>0</v>
      </c>
      <c r="I80" s="410" t="s">
        <v>66</v>
      </c>
      <c r="J80" s="413">
        <f>COUNTIFS('1. All Data'!$AB$3:$AB$133,"Community &amp; Regulatory Services",'1. All Data'!$M$3:$M$133,"In Danger of Falling Behind Target")</f>
        <v>0</v>
      </c>
      <c r="K80" s="418" t="e">
        <f>J80/J89</f>
        <v>#DIV/0!</v>
      </c>
      <c r="L80" s="418" t="e">
        <f>K80</f>
        <v>#DIV/0!</v>
      </c>
      <c r="M80" s="404" t="e">
        <f>J80/J90</f>
        <v>#DIV/0!</v>
      </c>
      <c r="N80" s="407" t="e">
        <f>M80</f>
        <v>#DIV/0!</v>
      </c>
      <c r="P80" s="410" t="s">
        <v>66</v>
      </c>
      <c r="Q80" s="413">
        <f>COUNTIFS('1. All Data'!$AB$3:$AB$133,"Community &amp; Regulatory Services",'1. All Data'!$R$3:$R$133,"In Danger of Falling Behind Target")</f>
        <v>0</v>
      </c>
      <c r="R80" s="418" t="e">
        <f>Q80/Q89</f>
        <v>#DIV/0!</v>
      </c>
      <c r="S80" s="418" t="e">
        <f>R80</f>
        <v>#DIV/0!</v>
      </c>
      <c r="T80" s="404" t="e">
        <f>Q80/Q90</f>
        <v>#DIV/0!</v>
      </c>
      <c r="U80" s="407" t="e">
        <f>T80</f>
        <v>#DIV/0!</v>
      </c>
      <c r="W80" s="189" t="s">
        <v>58</v>
      </c>
      <c r="X80" s="190">
        <f>COUNTIFS('1. All Data'!$AB$3:$AB$133,"Community &amp; Regulatory Services",'1. All Data'!$V$3:$V$133,"Numerical Outturn Within 10% Tolerance")</f>
        <v>0</v>
      </c>
      <c r="Y80" s="188" t="e">
        <f>X80/X89</f>
        <v>#DIV/0!</v>
      </c>
      <c r="Z80" s="375" t="e">
        <f>SUM(Y80:Y82)</f>
        <v>#DIV/0!</v>
      </c>
      <c r="AA80" s="188" t="e">
        <f>X80/X90</f>
        <v>#DIV/0!</v>
      </c>
      <c r="AB80" s="376" t="e">
        <f>SUM(AA80:AA82)</f>
        <v>#DIV/0!</v>
      </c>
      <c r="AC80" s="186"/>
    </row>
    <row r="81" spans="2:29" ht="16.5" customHeight="1">
      <c r="B81" s="411"/>
      <c r="C81" s="414"/>
      <c r="D81" s="419"/>
      <c r="E81" s="419"/>
      <c r="F81" s="405"/>
      <c r="G81" s="408"/>
      <c r="I81" s="411"/>
      <c r="J81" s="414"/>
      <c r="K81" s="419"/>
      <c r="L81" s="419"/>
      <c r="M81" s="405"/>
      <c r="N81" s="408"/>
      <c r="P81" s="411"/>
      <c r="Q81" s="414"/>
      <c r="R81" s="419"/>
      <c r="S81" s="419"/>
      <c r="T81" s="405"/>
      <c r="U81" s="408"/>
      <c r="W81" s="189" t="s">
        <v>59</v>
      </c>
      <c r="X81" s="190">
        <f>COUNTIFS('1. All Data'!$AB$3:$AB$133,"Community &amp; Regulatory Services",'1. All Data'!$V$3:$V$133,"Target Partially Met")</f>
        <v>0</v>
      </c>
      <c r="Y81" s="188" t="e">
        <f>X81/X89</f>
        <v>#DIV/0!</v>
      </c>
      <c r="Z81" s="375"/>
      <c r="AA81" s="188" t="e">
        <f>X81/X90</f>
        <v>#DIV/0!</v>
      </c>
      <c r="AB81" s="376"/>
      <c r="AC81" s="186"/>
    </row>
    <row r="82" spans="2:29" ht="16.5" customHeight="1">
      <c r="B82" s="412"/>
      <c r="C82" s="415"/>
      <c r="D82" s="420"/>
      <c r="E82" s="420"/>
      <c r="F82" s="406"/>
      <c r="G82" s="409"/>
      <c r="I82" s="412"/>
      <c r="J82" s="415"/>
      <c r="K82" s="420"/>
      <c r="L82" s="420"/>
      <c r="M82" s="406"/>
      <c r="N82" s="409"/>
      <c r="P82" s="412"/>
      <c r="Q82" s="415"/>
      <c r="R82" s="420"/>
      <c r="S82" s="420"/>
      <c r="T82" s="406"/>
      <c r="U82" s="409"/>
      <c r="W82" s="189" t="s">
        <v>62</v>
      </c>
      <c r="X82" s="190">
        <f>COUNTIFS('1. All Data'!$AB$3:$AB$133,"Community &amp; Regulatory Services",'1. All Data'!$V$3:$V$133,"Completion Date Within Reasonable Tolerance")</f>
        <v>0</v>
      </c>
      <c r="Y82" s="188" t="e">
        <f>X82/X89</f>
        <v>#DIV/0!</v>
      </c>
      <c r="Z82" s="375"/>
      <c r="AA82" s="188" t="e">
        <f>X82/X90</f>
        <v>#DIV/0!</v>
      </c>
      <c r="AB82" s="376"/>
      <c r="AC82" s="186"/>
    </row>
    <row r="83" spans="2:29" ht="22.5" customHeight="1">
      <c r="B83" s="224" t="s">
        <v>67</v>
      </c>
      <c r="C83" s="221">
        <f>COUNTIFS('1. All Data'!$AB$3:$AB$133,"Community &amp; Regulatory Services",'1. All Data'!$H$3:$H$133,"Completed Behind Schedule")</f>
        <v>0</v>
      </c>
      <c r="D83" s="222">
        <f>C83/C89</f>
        <v>0</v>
      </c>
      <c r="E83" s="416">
        <f>D83+D84</f>
        <v>0</v>
      </c>
      <c r="F83" s="223">
        <f>C83/C90</f>
        <v>0</v>
      </c>
      <c r="G83" s="417">
        <f>F83+F84</f>
        <v>0</v>
      </c>
      <c r="I83" s="224" t="s">
        <v>67</v>
      </c>
      <c r="J83" s="221">
        <f>COUNTIFS('1. All Data'!$AB$3:$AB$133,"Community &amp; Regulatory Services",'1. All Data'!$M$3:$M$133,"Completed Behind Schedule")</f>
        <v>0</v>
      </c>
      <c r="K83" s="222" t="e">
        <f>J83/J89</f>
        <v>#DIV/0!</v>
      </c>
      <c r="L83" s="416" t="e">
        <f>K83+K84</f>
        <v>#DIV/0!</v>
      </c>
      <c r="M83" s="223" t="e">
        <f>J83/J90</f>
        <v>#DIV/0!</v>
      </c>
      <c r="N83" s="417" t="e">
        <f>M83+M84</f>
        <v>#DIV/0!</v>
      </c>
      <c r="P83" s="224" t="s">
        <v>67</v>
      </c>
      <c r="Q83" s="221">
        <f>COUNTIFS('1. All Data'!$AB$3:$AB$133,"Community &amp; Regulatory Services",'1. All Data'!$R$3:$R$133,"Completed Behind Schedule")</f>
        <v>0</v>
      </c>
      <c r="R83" s="222" t="e">
        <f>Q83/Q89</f>
        <v>#DIV/0!</v>
      </c>
      <c r="S83" s="416" t="e">
        <f>R83+R84</f>
        <v>#DIV/0!</v>
      </c>
      <c r="T83" s="223" t="e">
        <f>Q83/Q90</f>
        <v>#DIV/0!</v>
      </c>
      <c r="U83" s="417" t="e">
        <f>T83+T84</f>
        <v>#DIV/0!</v>
      </c>
      <c r="W83" s="191" t="s">
        <v>61</v>
      </c>
      <c r="X83" s="221">
        <f>COUNTIFS('1. All Data'!$AB$3:$AB$133,"Community &amp; Regulatory Services",'1. All Data'!$V$3:$V$133,"Completed Significantly After Target Deadline")</f>
        <v>0</v>
      </c>
      <c r="Y83" s="222" t="e">
        <f>X83/X89</f>
        <v>#DIV/0!</v>
      </c>
      <c r="Z83" s="416" t="e">
        <f>Y83+Y84</f>
        <v>#DIV/0!</v>
      </c>
      <c r="AA83" s="188" t="e">
        <f>X83/X90</f>
        <v>#DIV/0!</v>
      </c>
      <c r="AB83" s="377" t="e">
        <f>AA83+AA84</f>
        <v>#DIV/0!</v>
      </c>
      <c r="AC83" s="186"/>
    </row>
    <row r="84" spans="2:29" ht="22.5" customHeight="1">
      <c r="B84" s="224" t="s">
        <v>60</v>
      </c>
      <c r="C84" s="221">
        <f>COUNTIFS('1. All Data'!$AB$3:$AB$133,"Community &amp; Regulatory Services",'1. All Data'!$H$3:$H$133,"Off Target")</f>
        <v>0</v>
      </c>
      <c r="D84" s="222">
        <f>C84/C89</f>
        <v>0</v>
      </c>
      <c r="E84" s="416"/>
      <c r="F84" s="223">
        <f>C84/C90</f>
        <v>0</v>
      </c>
      <c r="G84" s="417"/>
      <c r="I84" s="224" t="s">
        <v>60</v>
      </c>
      <c r="J84" s="221">
        <f>COUNTIFS('1. All Data'!$AB$3:$AB$133,"Community &amp; Regulatory Services",'1. All Data'!$M$3:$M$133,"Off Target")</f>
        <v>0</v>
      </c>
      <c r="K84" s="222" t="e">
        <f>J84/J89</f>
        <v>#DIV/0!</v>
      </c>
      <c r="L84" s="416"/>
      <c r="M84" s="223" t="e">
        <f>J84/J90</f>
        <v>#DIV/0!</v>
      </c>
      <c r="N84" s="417"/>
      <c r="P84" s="224" t="s">
        <v>60</v>
      </c>
      <c r="Q84" s="221">
        <f>COUNTIFS('1. All Data'!$AB$3:$AB$133,"Community &amp; Regulatory Services",'1. All Data'!$R$3:$R$133,"Off Target")</f>
        <v>0</v>
      </c>
      <c r="R84" s="222" t="e">
        <f>Q84/Q89</f>
        <v>#DIV/0!</v>
      </c>
      <c r="S84" s="416"/>
      <c r="T84" s="223" t="e">
        <f>Q84/Q90</f>
        <v>#DIV/0!</v>
      </c>
      <c r="U84" s="417"/>
      <c r="W84" s="191" t="s">
        <v>60</v>
      </c>
      <c r="X84" s="221">
        <f>COUNTIFS('1. All Data'!$AB$3:$AB$133,"Community &amp; Regulatory Services",'1. All Data'!$R$3:$R$133,"Off Target")</f>
        <v>0</v>
      </c>
      <c r="Y84" s="222" t="e">
        <f>X84/X89</f>
        <v>#DIV/0!</v>
      </c>
      <c r="Z84" s="416"/>
      <c r="AA84" s="188" t="e">
        <f>X84/X90</f>
        <v>#DIV/0!</v>
      </c>
      <c r="AB84" s="377"/>
      <c r="AC84" s="186"/>
    </row>
    <row r="85" spans="2:29" ht="15.75" customHeight="1">
      <c r="B85" s="225" t="s">
        <v>89</v>
      </c>
      <c r="C85" s="221">
        <f>COUNTIFS('1. All Data'!$AB$3:$AB$133,"Community &amp; Regulatory Services",'1. All Data'!$H$3:$H$133,"Not yet due")</f>
        <v>4</v>
      </c>
      <c r="D85" s="226">
        <f>C85/C89</f>
        <v>0.2</v>
      </c>
      <c r="E85" s="226">
        <f>D85</f>
        <v>0.2</v>
      </c>
      <c r="F85" s="227"/>
      <c r="G85" s="65"/>
      <c r="I85" s="225" t="s">
        <v>89</v>
      </c>
      <c r="J85" s="221">
        <f>COUNTIFS('1. All Data'!$AB$3:$AB$133,"Community &amp; Regulatory Services",'1. All Data'!$M$3:$M$133,"Not yet due")</f>
        <v>0</v>
      </c>
      <c r="K85" s="226" t="e">
        <f>J85/J89</f>
        <v>#DIV/0!</v>
      </c>
      <c r="L85" s="226" t="e">
        <f>K85</f>
        <v>#DIV/0!</v>
      </c>
      <c r="M85" s="227"/>
      <c r="N85" s="65"/>
      <c r="P85" s="225" t="s">
        <v>89</v>
      </c>
      <c r="Q85" s="221">
        <f>COUNTIFS('1. All Data'!$AB$3:$AB$133,"Community &amp; Regulatory Services",'1. All Data'!$R$3:$R$133,"Not yet due")</f>
        <v>0</v>
      </c>
      <c r="R85" s="226" t="e">
        <f>Q85/Q89</f>
        <v>#DIV/0!</v>
      </c>
      <c r="S85" s="226" t="e">
        <f>R85</f>
        <v>#DIV/0!</v>
      </c>
      <c r="T85" s="227"/>
      <c r="U85" s="65"/>
      <c r="W85" s="192" t="s">
        <v>89</v>
      </c>
      <c r="X85" s="221">
        <f>COUNTIFS('1. All Data'!$AB$3:$AB$133,"Community &amp; Regulatory Services",'1. All Data'!$V$3:$V$133,"Not yet due")</f>
        <v>0</v>
      </c>
      <c r="Y85" s="226" t="e">
        <f>X85/X89</f>
        <v>#DIV/0!</v>
      </c>
      <c r="Z85" s="226" t="e">
        <f>Y85</f>
        <v>#DIV/0!</v>
      </c>
      <c r="AA85" s="194"/>
      <c r="AB85" s="65"/>
      <c r="AC85" s="186"/>
    </row>
    <row r="86" spans="2:29" ht="15.75" customHeight="1">
      <c r="B86" s="225" t="s">
        <v>55</v>
      </c>
      <c r="C86" s="221">
        <f>COUNTIFS('1. All Data'!$AB$3:$AB$133,"Community &amp; Regulatory Services",'1. All Data'!$H$3:$H$133,"Update not provided")</f>
        <v>0</v>
      </c>
      <c r="D86" s="226">
        <f>C86/C89</f>
        <v>0</v>
      </c>
      <c r="E86" s="226">
        <f>D86</f>
        <v>0</v>
      </c>
      <c r="F86" s="227"/>
      <c r="G86" s="8"/>
      <c r="I86" s="225" t="s">
        <v>55</v>
      </c>
      <c r="J86" s="221">
        <f>COUNTIFS('1. All Data'!$AB$3:$AB$133,"Community &amp; Regulatory Services",'1. All Data'!$M$3:$M$133,"Update not provided")</f>
        <v>0</v>
      </c>
      <c r="K86" s="226" t="e">
        <f>J86/J89</f>
        <v>#DIV/0!</v>
      </c>
      <c r="L86" s="226" t="e">
        <f>K86</f>
        <v>#DIV/0!</v>
      </c>
      <c r="M86" s="227"/>
      <c r="N86" s="8"/>
      <c r="P86" s="225" t="s">
        <v>55</v>
      </c>
      <c r="Q86" s="221">
        <f>COUNTIFS('1. All Data'!$AB$3:$AB$133,"Community &amp; Regulatory Services",'1. All Data'!$R$3:$R$133,"Update not provided")</f>
        <v>0</v>
      </c>
      <c r="R86" s="226" t="e">
        <f>Q86/Q89</f>
        <v>#DIV/0!</v>
      </c>
      <c r="S86" s="226" t="e">
        <f>R86</f>
        <v>#DIV/0!</v>
      </c>
      <c r="T86" s="227"/>
      <c r="U86" s="8"/>
      <c r="W86" s="192" t="s">
        <v>55</v>
      </c>
      <c r="X86" s="221">
        <f>COUNTIFS('1. All Data'!$AB$3:$AB$133,"Community &amp; Regulatory Services",'1. All Data'!$V$3:$V$133,"Update not provided")</f>
        <v>0</v>
      </c>
      <c r="Y86" s="226" t="e">
        <f>X86/X89</f>
        <v>#DIV/0!</v>
      </c>
      <c r="Z86" s="226" t="e">
        <f>Y86</f>
        <v>#DIV/0!</v>
      </c>
      <c r="AA86" s="194"/>
      <c r="AB86" s="8"/>
      <c r="AC86" s="186"/>
    </row>
    <row r="87" spans="2:29" ht="15.75" customHeight="1">
      <c r="B87" s="228" t="s">
        <v>63</v>
      </c>
      <c r="C87" s="221">
        <f>COUNTIFS('1. All Data'!$AB$3:$AB$133,"Community &amp; Regulatory Services",'1. All Data'!$H$3:$H$133,"Deferred")</f>
        <v>0</v>
      </c>
      <c r="D87" s="229">
        <f>C87/C89</f>
        <v>0</v>
      </c>
      <c r="E87" s="229">
        <f>D87</f>
        <v>0</v>
      </c>
      <c r="F87" s="230"/>
      <c r="G87" s="65"/>
      <c r="I87" s="228" t="s">
        <v>63</v>
      </c>
      <c r="J87" s="221">
        <f>COUNTIFS('1. All Data'!$AB$3:$AB$133,"Community &amp; Regulatory Services",'1. All Data'!$M$3:$M$133,"Deferred")</f>
        <v>0</v>
      </c>
      <c r="K87" s="229" t="e">
        <f>J87/J89</f>
        <v>#DIV/0!</v>
      </c>
      <c r="L87" s="229" t="e">
        <f>K87</f>
        <v>#DIV/0!</v>
      </c>
      <c r="M87" s="230"/>
      <c r="N87" s="65"/>
      <c r="P87" s="228" t="s">
        <v>63</v>
      </c>
      <c r="Q87" s="221">
        <f>COUNTIFS('1. All Data'!$AB$3:$AB$133,"Community &amp; Regulatory Services",'1. All Data'!$R$3:$R$133,"Deferred")</f>
        <v>0</v>
      </c>
      <c r="R87" s="229" t="e">
        <f>Q87/Q89</f>
        <v>#DIV/0!</v>
      </c>
      <c r="S87" s="229" t="e">
        <f>R87</f>
        <v>#DIV/0!</v>
      </c>
      <c r="T87" s="230"/>
      <c r="U87" s="65"/>
      <c r="W87" s="195" t="s">
        <v>63</v>
      </c>
      <c r="X87" s="221">
        <f>COUNTIFS('1. All Data'!$AB$3:$AB$133,"Community &amp; Regulatory Services",'1. All Data'!$V$3:$V$133,"Deferred")</f>
        <v>0</v>
      </c>
      <c r="Y87" s="229" t="e">
        <f>X87/X89</f>
        <v>#DIV/0!</v>
      </c>
      <c r="Z87" s="229" t="e">
        <f>Y87</f>
        <v>#DIV/0!</v>
      </c>
      <c r="AA87" s="197"/>
      <c r="AB87" s="65"/>
      <c r="AC87" s="186"/>
    </row>
    <row r="88" spans="2:29" ht="15.75" customHeight="1">
      <c r="B88" s="228" t="s">
        <v>64</v>
      </c>
      <c r="C88" s="221">
        <f>COUNTIFS('1. All Data'!$AB$3:$AB$133,"Community &amp; Regulatory Services",'1. All Data'!$H$3:$H$133,"Deleted")</f>
        <v>0</v>
      </c>
      <c r="D88" s="229">
        <f>C88/C89</f>
        <v>0</v>
      </c>
      <c r="E88" s="229">
        <f>D88</f>
        <v>0</v>
      </c>
      <c r="F88" s="230"/>
      <c r="G88" s="36"/>
      <c r="I88" s="228" t="s">
        <v>64</v>
      </c>
      <c r="J88" s="221">
        <f>COUNTIFS('1. All Data'!$AB$3:$AB$133,"Community &amp; Regulatory Services",'1. All Data'!$M$3:$M$133,"Deleted")</f>
        <v>0</v>
      </c>
      <c r="K88" s="229" t="e">
        <f>J88/J89</f>
        <v>#DIV/0!</v>
      </c>
      <c r="L88" s="229" t="e">
        <f>K88</f>
        <v>#DIV/0!</v>
      </c>
      <c r="M88" s="230"/>
      <c r="N88" s="36"/>
      <c r="P88" s="228" t="s">
        <v>64</v>
      </c>
      <c r="Q88" s="221">
        <f>COUNTIFS('1. All Data'!$AB$3:$AB$133,"Community &amp; Regulatory Services",'1. All Data'!$R$3:$R$133,"Deleted")</f>
        <v>0</v>
      </c>
      <c r="R88" s="229" t="e">
        <f>Q88/Q89</f>
        <v>#DIV/0!</v>
      </c>
      <c r="S88" s="229" t="e">
        <f>R88</f>
        <v>#DIV/0!</v>
      </c>
      <c r="T88" s="230"/>
      <c r="U88" s="36"/>
      <c r="W88" s="195" t="s">
        <v>64</v>
      </c>
      <c r="X88" s="221">
        <f>COUNTIFS('1. All Data'!$AB$3:$AB$133,"Community &amp; Regulatory Services",'1. All Data'!$V$3:$V$133,"Deleted")</f>
        <v>0</v>
      </c>
      <c r="Y88" s="229" t="e">
        <f>X88/X89</f>
        <v>#DIV/0!</v>
      </c>
      <c r="Z88" s="229" t="e">
        <f>Y88</f>
        <v>#DIV/0!</v>
      </c>
      <c r="AA88" s="197"/>
      <c r="AB88" s="9"/>
      <c r="AC88" s="186"/>
    </row>
    <row r="89" spans="2:29" ht="15.75" customHeight="1">
      <c r="B89" s="231" t="s">
        <v>91</v>
      </c>
      <c r="C89" s="232">
        <f>SUM(C78:C88)</f>
        <v>20</v>
      </c>
      <c r="D89" s="197"/>
      <c r="E89" s="197"/>
      <c r="F89" s="233"/>
      <c r="G89" s="65"/>
      <c r="I89" s="231" t="s">
        <v>91</v>
      </c>
      <c r="J89" s="232">
        <f>SUM(J78:J88)</f>
        <v>0</v>
      </c>
      <c r="K89" s="197"/>
      <c r="L89" s="197"/>
      <c r="M89" s="233"/>
      <c r="N89" s="65"/>
      <c r="P89" s="231" t="s">
        <v>91</v>
      </c>
      <c r="Q89" s="232">
        <f>SUM(Q78:Q88)</f>
        <v>0</v>
      </c>
      <c r="R89" s="197"/>
      <c r="S89" s="197"/>
      <c r="T89" s="233"/>
      <c r="U89" s="65"/>
      <c r="W89" s="198" t="s">
        <v>91</v>
      </c>
      <c r="X89" s="232">
        <f>SUM(X78:X88)</f>
        <v>0</v>
      </c>
      <c r="Y89" s="197"/>
      <c r="Z89" s="197"/>
      <c r="AA89" s="65"/>
      <c r="AB89" s="65"/>
      <c r="AC89" s="186"/>
    </row>
    <row r="90" spans="2:29" ht="15.75" customHeight="1">
      <c r="B90" s="231" t="s">
        <v>92</v>
      </c>
      <c r="C90" s="232">
        <f>C89-C88-C87-C86-C85</f>
        <v>16</v>
      </c>
      <c r="D90" s="65"/>
      <c r="E90" s="65"/>
      <c r="F90" s="233"/>
      <c r="G90" s="65"/>
      <c r="I90" s="231" t="s">
        <v>92</v>
      </c>
      <c r="J90" s="232">
        <f>J89-J88-J87-J86-J85</f>
        <v>0</v>
      </c>
      <c r="K90" s="65"/>
      <c r="L90" s="65"/>
      <c r="M90" s="233"/>
      <c r="N90" s="65"/>
      <c r="P90" s="231" t="s">
        <v>92</v>
      </c>
      <c r="Q90" s="232">
        <f>Q89-Q88-Q87-Q86-Q85</f>
        <v>0</v>
      </c>
      <c r="R90" s="65"/>
      <c r="S90" s="65"/>
      <c r="T90" s="233"/>
      <c r="U90" s="65"/>
      <c r="W90" s="198" t="s">
        <v>92</v>
      </c>
      <c r="X90" s="232">
        <f>X89-X88-X87-X86-X85</f>
        <v>0</v>
      </c>
      <c r="Y90" s="65"/>
      <c r="Z90" s="65"/>
      <c r="AA90" s="65"/>
      <c r="AB90" s="65"/>
      <c r="AC90" s="186"/>
    </row>
    <row r="91" spans="2:29" ht="15.75" customHeight="1">
      <c r="W91" s="200"/>
      <c r="AA91" s="8"/>
      <c r="AC91" s="186"/>
    </row>
    <row r="92" spans="2:29" ht="15.75" customHeight="1">
      <c r="W92" s="185"/>
      <c r="X92" s="185"/>
      <c r="Y92" s="185"/>
      <c r="Z92" s="185"/>
      <c r="AA92" s="185"/>
      <c r="AB92" s="207"/>
      <c r="AC92" s="186"/>
    </row>
    <row r="93" spans="2:29" ht="15.75" customHeight="1">
      <c r="W93" s="185"/>
      <c r="X93" s="185"/>
      <c r="Y93" s="185"/>
      <c r="Z93" s="185"/>
      <c r="AA93" s="185"/>
      <c r="AB93" s="207"/>
      <c r="AC93" s="186"/>
    </row>
    <row r="94" spans="2:29">
      <c r="W94" s="185"/>
      <c r="X94" s="185"/>
      <c r="Y94" s="185"/>
      <c r="Z94" s="185"/>
      <c r="AA94" s="185"/>
      <c r="AB94" s="207"/>
      <c r="AC94" s="186"/>
    </row>
    <row r="95" spans="2:29">
      <c r="W95" s="185"/>
      <c r="X95" s="185"/>
      <c r="Y95" s="185"/>
      <c r="Z95" s="185"/>
      <c r="AA95" s="185"/>
      <c r="AB95" s="207"/>
      <c r="AC95" s="186"/>
    </row>
    <row r="96" spans="2:29">
      <c r="W96" s="185"/>
      <c r="X96" s="185"/>
      <c r="Y96" s="185"/>
      <c r="Z96" s="185"/>
      <c r="AA96" s="185"/>
      <c r="AB96" s="207"/>
      <c r="AC96" s="186"/>
    </row>
    <row r="97" spans="23:29">
      <c r="W97" s="185"/>
      <c r="X97" s="185"/>
      <c r="Y97" s="185"/>
      <c r="Z97" s="185"/>
      <c r="AA97" s="185"/>
      <c r="AB97" s="207"/>
      <c r="AC97" s="186"/>
    </row>
    <row r="98" spans="23:29">
      <c r="W98" s="185"/>
      <c r="X98" s="185"/>
      <c r="Y98" s="185"/>
      <c r="Z98" s="185"/>
      <c r="AA98" s="185"/>
      <c r="AB98" s="207"/>
      <c r="AC98" s="186"/>
    </row>
    <row r="99" spans="23:29">
      <c r="W99" s="185"/>
      <c r="X99" s="185"/>
      <c r="Y99" s="185"/>
      <c r="Z99" s="185"/>
      <c r="AA99" s="185"/>
      <c r="AB99" s="207"/>
      <c r="AC99" s="186"/>
    </row>
    <row r="100" spans="23:29">
      <c r="W100" s="185"/>
      <c r="X100" s="185"/>
      <c r="Y100" s="185"/>
      <c r="Z100" s="185"/>
      <c r="AA100" s="185"/>
      <c r="AB100" s="207"/>
      <c r="AC100" s="186"/>
    </row>
    <row r="101" spans="23:29">
      <c r="W101" s="185"/>
      <c r="X101" s="185"/>
      <c r="Y101" s="185"/>
      <c r="Z101" s="185"/>
      <c r="AA101" s="185"/>
      <c r="AB101" s="207"/>
      <c r="AC101" s="186"/>
    </row>
    <row r="102" spans="23:29">
      <c r="W102" s="185"/>
      <c r="X102" s="185"/>
      <c r="Y102" s="185"/>
      <c r="Z102" s="185"/>
      <c r="AA102" s="185"/>
      <c r="AB102" s="207"/>
      <c r="AC102" s="186"/>
    </row>
    <row r="103" spans="23:29">
      <c r="W103" s="185"/>
      <c r="X103" s="185"/>
      <c r="Y103" s="185"/>
      <c r="Z103" s="185"/>
      <c r="AA103" s="185"/>
      <c r="AB103" s="207"/>
      <c r="AC103" s="186"/>
    </row>
    <row r="104" spans="23:29">
      <c r="W104" s="185"/>
      <c r="X104" s="185"/>
      <c r="Y104" s="185"/>
      <c r="Z104" s="185"/>
      <c r="AA104" s="185"/>
      <c r="AB104" s="207"/>
      <c r="AC104" s="186"/>
    </row>
    <row r="105" spans="23:29">
      <c r="W105" s="185"/>
      <c r="X105" s="185"/>
      <c r="Y105" s="185"/>
      <c r="Z105" s="185"/>
      <c r="AA105" s="185"/>
      <c r="AB105" s="207"/>
      <c r="AC105" s="186"/>
    </row>
    <row r="106" spans="23:29">
      <c r="W106" s="185"/>
      <c r="X106" s="185"/>
      <c r="Y106" s="185"/>
      <c r="Z106" s="185"/>
      <c r="AA106" s="185"/>
      <c r="AB106" s="207"/>
      <c r="AC106" s="186"/>
    </row>
    <row r="107" spans="23:29">
      <c r="W107" s="185"/>
      <c r="X107" s="185"/>
      <c r="Y107" s="185"/>
      <c r="Z107" s="185"/>
      <c r="AA107" s="185"/>
      <c r="AB107" s="207"/>
      <c r="AC107" s="186"/>
    </row>
    <row r="108" spans="23:29">
      <c r="W108" s="185"/>
      <c r="X108" s="185"/>
      <c r="Y108" s="185"/>
      <c r="Z108" s="185"/>
      <c r="AA108" s="185"/>
      <c r="AB108" s="207"/>
      <c r="AC108" s="186"/>
    </row>
    <row r="109" spans="23:29">
      <c r="W109" s="185"/>
      <c r="X109" s="185"/>
      <c r="Y109" s="185"/>
      <c r="Z109" s="185"/>
      <c r="AA109" s="185"/>
      <c r="AB109" s="207"/>
      <c r="AC109" s="186"/>
    </row>
    <row r="110" spans="23:29">
      <c r="W110" s="185"/>
      <c r="X110" s="185"/>
      <c r="Y110" s="185"/>
      <c r="Z110" s="185"/>
      <c r="AA110" s="185"/>
      <c r="AB110" s="207"/>
      <c r="AC110" s="186"/>
    </row>
    <row r="111" spans="23:29">
      <c r="W111" s="185"/>
      <c r="X111" s="185"/>
      <c r="Y111" s="185"/>
      <c r="Z111" s="185"/>
      <c r="AA111" s="185"/>
      <c r="AB111" s="207"/>
      <c r="AC111" s="186"/>
    </row>
    <row r="112" spans="23:29">
      <c r="W112" s="185"/>
      <c r="X112" s="185"/>
      <c r="Y112" s="185"/>
      <c r="Z112" s="185"/>
      <c r="AA112" s="185"/>
      <c r="AB112" s="207"/>
      <c r="AC112" s="186"/>
    </row>
    <row r="113" spans="23:29">
      <c r="W113" s="185"/>
      <c r="X113" s="185"/>
      <c r="Y113" s="185"/>
      <c r="Z113" s="185"/>
      <c r="AA113" s="185"/>
      <c r="AB113" s="207"/>
      <c r="AC113" s="186"/>
    </row>
    <row r="114" spans="23:29">
      <c r="W114" s="185"/>
      <c r="X114" s="185"/>
      <c r="Y114" s="185"/>
      <c r="Z114" s="185"/>
      <c r="AA114" s="185"/>
      <c r="AB114" s="207"/>
      <c r="AC114" s="186"/>
    </row>
    <row r="115" spans="23:29">
      <c r="W115" s="185"/>
      <c r="X115" s="185"/>
      <c r="Y115" s="185"/>
      <c r="Z115" s="185"/>
      <c r="AA115" s="185"/>
      <c r="AB115" s="207"/>
      <c r="AC115" s="186"/>
    </row>
    <row r="116" spans="23:29">
      <c r="W116" s="185"/>
      <c r="X116" s="185"/>
      <c r="Y116" s="185"/>
      <c r="Z116" s="185"/>
      <c r="AA116" s="185"/>
      <c r="AB116" s="207"/>
      <c r="AC116" s="186"/>
    </row>
    <row r="117" spans="23:29">
      <c r="W117" s="185"/>
      <c r="X117" s="185"/>
      <c r="Y117" s="185"/>
      <c r="Z117" s="185"/>
      <c r="AA117" s="185"/>
      <c r="AB117" s="207"/>
      <c r="AC117" s="186"/>
    </row>
    <row r="118" spans="23:29">
      <c r="W118" s="185"/>
      <c r="X118" s="185"/>
      <c r="Y118" s="185"/>
      <c r="Z118" s="185"/>
      <c r="AA118" s="185"/>
      <c r="AB118" s="207"/>
      <c r="AC118" s="186"/>
    </row>
    <row r="119" spans="23:29">
      <c r="W119" s="185"/>
      <c r="X119" s="185"/>
      <c r="Y119" s="185"/>
      <c r="Z119" s="185"/>
      <c r="AA119" s="185"/>
      <c r="AB119" s="207"/>
      <c r="AC119" s="186"/>
    </row>
    <row r="120" spans="23:29">
      <c r="W120" s="185"/>
      <c r="X120" s="185"/>
      <c r="Y120" s="185"/>
      <c r="Z120" s="185"/>
      <c r="AA120" s="185"/>
      <c r="AB120" s="207"/>
      <c r="AC120" s="186"/>
    </row>
    <row r="121" spans="23:29">
      <c r="W121" s="185"/>
      <c r="X121" s="185"/>
      <c r="Y121" s="185"/>
      <c r="Z121" s="185"/>
      <c r="AA121" s="185"/>
      <c r="AB121" s="207"/>
      <c r="AC121" s="186"/>
    </row>
    <row r="122" spans="23:29">
      <c r="W122" s="185"/>
      <c r="X122" s="185"/>
      <c r="Y122" s="185"/>
      <c r="Z122" s="185"/>
      <c r="AA122" s="185"/>
      <c r="AB122" s="207"/>
      <c r="AC122" s="186"/>
    </row>
    <row r="123" spans="23:29">
      <c r="W123" s="185"/>
      <c r="X123" s="185"/>
      <c r="Y123" s="185"/>
      <c r="Z123" s="185"/>
      <c r="AA123" s="185"/>
      <c r="AB123" s="207"/>
      <c r="AC123" s="186"/>
    </row>
    <row r="124" spans="23:29">
      <c r="W124" s="185"/>
      <c r="X124" s="185"/>
      <c r="Y124" s="185"/>
      <c r="Z124" s="185"/>
      <c r="AA124" s="185"/>
      <c r="AB124" s="207"/>
      <c r="AC124" s="186"/>
    </row>
    <row r="125" spans="23:29">
      <c r="W125" s="185"/>
      <c r="X125" s="185"/>
      <c r="Y125" s="185"/>
      <c r="Z125" s="185"/>
      <c r="AA125" s="185"/>
      <c r="AB125" s="207"/>
      <c r="AC125" s="186"/>
    </row>
    <row r="126" spans="23:29">
      <c r="W126" s="185"/>
      <c r="X126" s="185"/>
      <c r="Y126" s="185"/>
      <c r="Z126" s="185"/>
      <c r="AA126" s="185"/>
      <c r="AB126" s="207"/>
      <c r="AC126" s="186"/>
    </row>
    <row r="127" spans="23:29">
      <c r="W127" s="185"/>
      <c r="X127" s="185"/>
      <c r="Y127" s="185"/>
      <c r="Z127" s="185"/>
      <c r="AA127" s="185"/>
      <c r="AB127" s="207"/>
      <c r="AC127" s="186"/>
    </row>
    <row r="128" spans="23:29">
      <c r="W128" s="185"/>
      <c r="X128" s="185"/>
      <c r="Y128" s="185"/>
      <c r="Z128" s="185"/>
      <c r="AA128" s="185"/>
      <c r="AB128" s="207"/>
      <c r="AC128" s="186"/>
    </row>
    <row r="129" spans="23:29">
      <c r="W129" s="185"/>
      <c r="X129" s="185"/>
      <c r="Y129" s="185"/>
      <c r="Z129" s="185"/>
      <c r="AA129" s="185"/>
      <c r="AB129" s="207"/>
      <c r="AC129" s="186"/>
    </row>
    <row r="130" spans="23:29">
      <c r="W130" s="185"/>
      <c r="X130" s="185"/>
      <c r="Y130" s="185"/>
      <c r="Z130" s="185"/>
      <c r="AA130" s="185"/>
      <c r="AB130" s="207"/>
      <c r="AC130" s="186"/>
    </row>
    <row r="131" spans="23:29">
      <c r="W131" s="185"/>
      <c r="X131" s="185"/>
      <c r="Y131" s="185"/>
      <c r="Z131" s="185"/>
      <c r="AA131" s="185"/>
      <c r="AB131" s="207"/>
      <c r="AC131" s="186"/>
    </row>
    <row r="132" spans="23:29">
      <c r="W132" s="185"/>
      <c r="X132" s="185"/>
      <c r="Y132" s="185"/>
      <c r="Z132" s="185"/>
      <c r="AA132" s="185"/>
      <c r="AB132" s="207"/>
      <c r="AC132" s="186"/>
    </row>
    <row r="133" spans="23:29">
      <c r="W133" s="185"/>
      <c r="X133" s="185"/>
      <c r="Y133" s="185"/>
      <c r="Z133" s="185"/>
      <c r="AA133" s="185"/>
      <c r="AB133" s="207"/>
      <c r="AC133" s="186"/>
    </row>
    <row r="134" spans="23:29">
      <c r="W134" s="185"/>
      <c r="X134" s="185"/>
      <c r="Y134" s="185"/>
      <c r="Z134" s="185"/>
      <c r="AA134" s="185"/>
      <c r="AB134" s="207"/>
      <c r="AC134" s="186"/>
    </row>
    <row r="135" spans="23:29">
      <c r="W135" s="185"/>
      <c r="X135" s="185"/>
      <c r="Y135" s="185"/>
      <c r="Z135" s="185"/>
      <c r="AA135" s="185"/>
      <c r="AB135" s="207"/>
      <c r="AC135" s="186"/>
    </row>
    <row r="136" spans="23:29">
      <c r="W136" s="185"/>
      <c r="X136" s="185"/>
      <c r="Y136" s="185"/>
      <c r="Z136" s="185"/>
      <c r="AA136" s="185"/>
      <c r="AB136" s="207"/>
      <c r="AC136" s="186"/>
    </row>
    <row r="137" spans="23:29">
      <c r="W137" s="185"/>
      <c r="X137" s="185"/>
      <c r="Y137" s="185"/>
      <c r="Z137" s="185"/>
      <c r="AA137" s="185"/>
      <c r="AB137" s="207"/>
      <c r="AC137" s="186"/>
    </row>
    <row r="138" spans="23:29">
      <c r="W138" s="185"/>
      <c r="X138" s="185"/>
      <c r="Y138" s="185"/>
      <c r="Z138" s="185"/>
      <c r="AA138" s="185"/>
      <c r="AB138" s="207"/>
      <c r="AC138" s="186"/>
    </row>
    <row r="139" spans="23:29">
      <c r="W139" s="185"/>
      <c r="X139" s="185"/>
      <c r="Y139" s="185"/>
      <c r="Z139" s="185"/>
      <c r="AA139" s="185"/>
      <c r="AB139" s="207"/>
      <c r="AC139" s="186"/>
    </row>
    <row r="140" spans="23:29">
      <c r="W140" s="185"/>
      <c r="X140" s="185"/>
      <c r="Y140" s="185"/>
      <c r="Z140" s="185"/>
      <c r="AA140" s="185"/>
      <c r="AB140" s="207"/>
      <c r="AC140" s="186"/>
    </row>
    <row r="141" spans="23:29">
      <c r="W141" s="185"/>
      <c r="X141" s="185"/>
      <c r="Y141" s="185"/>
      <c r="Z141" s="185"/>
      <c r="AA141" s="185"/>
      <c r="AB141" s="207"/>
      <c r="AC141" s="186"/>
    </row>
    <row r="142" spans="23:29">
      <c r="W142" s="185"/>
      <c r="X142" s="185"/>
      <c r="Y142" s="185"/>
      <c r="Z142" s="185"/>
      <c r="AA142" s="185"/>
      <c r="AB142" s="207"/>
      <c r="AC142" s="186"/>
    </row>
    <row r="143" spans="23:29">
      <c r="W143" s="185"/>
      <c r="X143" s="185"/>
      <c r="Y143" s="185"/>
      <c r="Z143" s="185"/>
      <c r="AA143" s="185"/>
      <c r="AB143" s="207"/>
      <c r="AC143" s="186"/>
    </row>
    <row r="144" spans="23:29">
      <c r="W144" s="185"/>
      <c r="X144" s="185"/>
      <c r="Y144" s="185"/>
      <c r="Z144" s="185"/>
      <c r="AA144" s="185"/>
      <c r="AB144" s="207"/>
      <c r="AC144" s="186"/>
    </row>
    <row r="145" spans="23:29">
      <c r="W145" s="185"/>
      <c r="X145" s="185"/>
      <c r="Y145" s="185"/>
      <c r="Z145" s="185"/>
      <c r="AA145" s="185"/>
      <c r="AB145" s="207"/>
      <c r="AC145" s="186"/>
    </row>
    <row r="146" spans="23:29">
      <c r="W146" s="185"/>
      <c r="X146" s="185"/>
      <c r="Y146" s="185"/>
      <c r="Z146" s="185"/>
      <c r="AA146" s="185"/>
      <c r="AB146" s="207"/>
      <c r="AC146" s="186"/>
    </row>
    <row r="147" spans="23:29">
      <c r="W147" s="185"/>
      <c r="X147" s="185"/>
      <c r="Y147" s="185"/>
      <c r="Z147" s="185"/>
      <c r="AA147" s="185"/>
      <c r="AB147" s="207"/>
      <c r="AC147" s="186"/>
    </row>
    <row r="148" spans="23:29">
      <c r="W148" s="185"/>
      <c r="X148" s="185"/>
      <c r="Y148" s="185"/>
      <c r="Z148" s="185"/>
      <c r="AA148" s="185"/>
      <c r="AB148" s="207"/>
      <c r="AC148" s="186"/>
    </row>
    <row r="149" spans="23:29">
      <c r="W149" s="185"/>
      <c r="X149" s="185"/>
      <c r="Y149" s="185"/>
      <c r="Z149" s="185"/>
      <c r="AA149" s="185"/>
      <c r="AB149" s="207"/>
      <c r="AC149" s="186"/>
    </row>
    <row r="150" spans="23:29">
      <c r="W150" s="185"/>
      <c r="X150" s="185"/>
      <c r="Y150" s="185"/>
      <c r="Z150" s="185"/>
      <c r="AA150" s="185"/>
      <c r="AB150" s="207"/>
      <c r="AC150" s="186"/>
    </row>
    <row r="151" spans="23:29">
      <c r="W151" s="185"/>
      <c r="X151" s="185"/>
      <c r="Y151" s="185"/>
      <c r="Z151" s="185"/>
      <c r="AA151" s="185"/>
      <c r="AB151" s="207"/>
      <c r="AC151" s="186"/>
    </row>
    <row r="152" spans="23:29">
      <c r="W152" s="185"/>
      <c r="X152" s="185"/>
      <c r="Y152" s="185"/>
      <c r="Z152" s="185"/>
      <c r="AA152" s="185"/>
      <c r="AB152" s="207"/>
      <c r="AC152" s="186"/>
    </row>
    <row r="153" spans="23:29">
      <c r="W153" s="185"/>
      <c r="X153" s="185"/>
      <c r="Y153" s="185"/>
      <c r="Z153" s="185"/>
      <c r="AA153" s="185"/>
      <c r="AB153" s="207"/>
      <c r="AC153" s="186"/>
    </row>
    <row r="154" spans="23:29">
      <c r="W154" s="185"/>
      <c r="X154" s="185"/>
      <c r="Y154" s="185"/>
      <c r="Z154" s="185"/>
      <c r="AA154" s="185"/>
      <c r="AB154" s="207"/>
      <c r="AC154" s="186"/>
    </row>
    <row r="155" spans="23:29">
      <c r="W155" s="185"/>
      <c r="X155" s="185"/>
      <c r="Y155" s="185"/>
      <c r="Z155" s="185"/>
      <c r="AA155" s="185"/>
      <c r="AB155" s="207"/>
      <c r="AC155" s="186"/>
    </row>
    <row r="156" spans="23:29">
      <c r="W156" s="185"/>
      <c r="X156" s="185"/>
      <c r="Y156" s="185"/>
      <c r="Z156" s="185"/>
      <c r="AA156" s="185"/>
      <c r="AB156" s="207"/>
      <c r="AC156" s="186"/>
    </row>
    <row r="157" spans="23:29">
      <c r="W157" s="185"/>
      <c r="X157" s="185"/>
      <c r="Y157" s="185"/>
      <c r="Z157" s="185"/>
      <c r="AA157" s="185"/>
      <c r="AB157" s="207"/>
      <c r="AC157" s="186"/>
    </row>
    <row r="158" spans="23:29">
      <c r="W158" s="185"/>
      <c r="X158" s="185"/>
      <c r="Y158" s="185"/>
      <c r="Z158" s="185"/>
      <c r="AA158" s="185"/>
      <c r="AB158" s="207"/>
      <c r="AC158" s="186"/>
    </row>
    <row r="159" spans="23:29">
      <c r="W159" s="185"/>
      <c r="X159" s="185"/>
      <c r="Y159" s="185"/>
      <c r="Z159" s="185"/>
      <c r="AA159" s="185"/>
      <c r="AB159" s="207"/>
      <c r="AC159" s="186"/>
    </row>
    <row r="160" spans="23:29">
      <c r="W160" s="185"/>
      <c r="X160" s="185"/>
      <c r="Y160" s="185"/>
      <c r="Z160" s="185"/>
      <c r="AA160" s="185"/>
      <c r="AB160" s="207"/>
      <c r="AC160" s="186"/>
    </row>
    <row r="161" spans="23:29">
      <c r="W161" s="185"/>
      <c r="X161" s="185"/>
      <c r="Y161" s="185"/>
      <c r="Z161" s="185"/>
      <c r="AA161" s="185"/>
      <c r="AB161" s="207"/>
      <c r="AC161" s="186"/>
    </row>
    <row r="162" spans="23:29">
      <c r="W162" s="185"/>
      <c r="X162" s="185"/>
      <c r="Y162" s="185"/>
      <c r="Z162" s="185"/>
      <c r="AA162" s="185"/>
      <c r="AB162" s="207"/>
      <c r="AC162" s="186"/>
    </row>
    <row r="163" spans="23:29">
      <c r="W163" s="185"/>
      <c r="X163" s="185"/>
      <c r="Y163" s="185"/>
      <c r="Z163" s="185"/>
      <c r="AA163" s="185"/>
      <c r="AB163" s="207"/>
      <c r="AC163" s="186"/>
    </row>
    <row r="164" spans="23:29">
      <c r="W164" s="185"/>
      <c r="X164" s="185"/>
      <c r="Y164" s="185"/>
      <c r="Z164" s="185"/>
      <c r="AA164" s="185"/>
      <c r="AB164" s="207"/>
      <c r="AC164" s="186"/>
    </row>
    <row r="165" spans="23:29">
      <c r="W165" s="185"/>
      <c r="X165" s="185"/>
      <c r="Y165" s="185"/>
      <c r="Z165" s="185"/>
      <c r="AA165" s="185"/>
      <c r="AB165" s="207"/>
      <c r="AC165" s="186"/>
    </row>
    <row r="166" spans="23:29">
      <c r="W166" s="185"/>
      <c r="X166" s="185"/>
      <c r="Y166" s="185"/>
      <c r="Z166" s="185"/>
      <c r="AA166" s="185"/>
      <c r="AB166" s="207"/>
      <c r="AC166" s="186"/>
    </row>
    <row r="167" spans="23:29">
      <c r="W167" s="185"/>
      <c r="X167" s="185"/>
      <c r="Y167" s="185"/>
      <c r="Z167" s="185"/>
      <c r="AA167" s="185"/>
      <c r="AB167" s="207"/>
      <c r="AC167" s="186"/>
    </row>
    <row r="168" spans="23:29">
      <c r="W168" s="185"/>
      <c r="X168" s="185"/>
      <c r="Y168" s="185"/>
      <c r="Z168" s="185"/>
      <c r="AA168" s="185"/>
      <c r="AB168" s="207"/>
      <c r="AC168" s="186"/>
    </row>
    <row r="169" spans="23:29">
      <c r="W169" s="185"/>
      <c r="X169" s="185"/>
      <c r="Y169" s="185"/>
      <c r="Z169" s="185"/>
      <c r="AA169" s="185"/>
      <c r="AB169" s="207"/>
      <c r="AC169" s="186"/>
    </row>
    <row r="170" spans="23:29">
      <c r="W170" s="185"/>
      <c r="X170" s="185"/>
      <c r="Y170" s="185"/>
      <c r="Z170" s="185"/>
      <c r="AA170" s="185"/>
      <c r="AB170" s="207"/>
      <c r="AC170" s="186"/>
    </row>
    <row r="171" spans="23:29">
      <c r="W171" s="185"/>
      <c r="X171" s="185"/>
      <c r="Y171" s="185"/>
      <c r="Z171" s="185"/>
      <c r="AA171" s="185"/>
      <c r="AB171" s="207"/>
      <c r="AC171" s="186"/>
    </row>
    <row r="172" spans="23:29">
      <c r="W172" s="185"/>
      <c r="X172" s="185"/>
      <c r="Y172" s="185"/>
      <c r="Z172" s="185"/>
      <c r="AA172" s="185"/>
      <c r="AB172" s="207"/>
      <c r="AC172" s="186"/>
    </row>
    <row r="173" spans="23:29">
      <c r="W173" s="185"/>
      <c r="X173" s="185"/>
      <c r="Y173" s="185"/>
      <c r="Z173" s="185"/>
      <c r="AA173" s="185"/>
      <c r="AB173" s="207"/>
      <c r="AC173" s="186"/>
    </row>
    <row r="174" spans="23:29">
      <c r="W174" s="185"/>
      <c r="X174" s="185"/>
      <c r="Y174" s="185"/>
      <c r="Z174" s="185"/>
      <c r="AA174" s="185"/>
      <c r="AB174" s="207"/>
      <c r="AC174" s="186"/>
    </row>
    <row r="175" spans="23:29">
      <c r="W175" s="185"/>
      <c r="X175" s="185"/>
      <c r="Y175" s="185"/>
      <c r="Z175" s="185"/>
      <c r="AA175" s="185"/>
      <c r="AB175" s="207"/>
      <c r="AC175" s="186"/>
    </row>
    <row r="176" spans="23:29">
      <c r="W176" s="185"/>
      <c r="X176" s="185"/>
      <c r="Y176" s="185"/>
      <c r="Z176" s="185"/>
      <c r="AA176" s="185"/>
      <c r="AB176" s="207"/>
      <c r="AC176" s="186"/>
    </row>
    <row r="177" spans="23:29">
      <c r="W177" s="185"/>
      <c r="X177" s="185"/>
      <c r="Y177" s="185"/>
      <c r="Z177" s="185"/>
      <c r="AA177" s="185"/>
      <c r="AB177" s="207"/>
      <c r="AC177" s="186"/>
    </row>
    <row r="178" spans="23:29">
      <c r="W178" s="185"/>
      <c r="X178" s="185"/>
      <c r="Y178" s="185"/>
      <c r="Z178" s="185"/>
      <c r="AA178" s="185"/>
      <c r="AB178" s="207"/>
      <c r="AC178" s="186"/>
    </row>
    <row r="179" spans="23:29">
      <c r="W179" s="185"/>
      <c r="X179" s="185"/>
      <c r="Y179" s="185"/>
      <c r="Z179" s="185"/>
      <c r="AA179" s="185"/>
      <c r="AB179" s="207"/>
      <c r="AC179" s="186"/>
    </row>
    <row r="180" spans="23:29">
      <c r="W180" s="185"/>
      <c r="X180" s="185"/>
      <c r="Y180" s="185"/>
      <c r="Z180" s="185"/>
      <c r="AA180" s="185"/>
      <c r="AB180" s="207"/>
      <c r="AC180" s="186"/>
    </row>
    <row r="181" spans="23:29">
      <c r="W181" s="185"/>
      <c r="X181" s="185"/>
      <c r="Y181" s="185"/>
      <c r="Z181" s="185"/>
      <c r="AA181" s="185"/>
      <c r="AB181" s="207"/>
      <c r="AC181" s="186"/>
    </row>
    <row r="182" spans="23:29">
      <c r="W182" s="185"/>
      <c r="X182" s="185"/>
      <c r="Y182" s="185"/>
      <c r="Z182" s="185"/>
      <c r="AA182" s="185"/>
      <c r="AB182" s="207"/>
      <c r="AC182" s="186"/>
    </row>
    <row r="183" spans="23:29">
      <c r="W183" s="185"/>
      <c r="X183" s="185"/>
      <c r="Y183" s="185"/>
      <c r="Z183" s="185"/>
      <c r="AA183" s="185"/>
      <c r="AB183" s="207"/>
      <c r="AC183" s="186"/>
    </row>
    <row r="184" spans="23:29">
      <c r="W184" s="185"/>
      <c r="X184" s="185"/>
      <c r="Y184" s="185"/>
      <c r="Z184" s="185"/>
      <c r="AA184" s="185"/>
      <c r="AB184" s="207"/>
      <c r="AC184" s="186"/>
    </row>
    <row r="185" spans="23:29">
      <c r="W185" s="185"/>
      <c r="X185" s="185"/>
      <c r="Y185" s="185"/>
      <c r="Z185" s="185"/>
      <c r="AA185" s="185"/>
      <c r="AB185" s="207"/>
      <c r="AC185" s="186"/>
    </row>
    <row r="186" spans="23:29">
      <c r="W186" s="185"/>
      <c r="X186" s="185"/>
      <c r="Y186" s="185"/>
      <c r="Z186" s="185"/>
      <c r="AA186" s="185"/>
      <c r="AB186" s="207"/>
      <c r="AC186" s="186"/>
    </row>
    <row r="187" spans="23:29">
      <c r="W187" s="185"/>
      <c r="X187" s="185"/>
      <c r="Y187" s="185"/>
      <c r="Z187" s="185"/>
      <c r="AA187" s="185"/>
      <c r="AB187" s="207"/>
      <c r="AC187" s="186"/>
    </row>
    <row r="188" spans="23:29">
      <c r="W188" s="185"/>
      <c r="X188" s="185"/>
      <c r="Y188" s="185"/>
      <c r="Z188" s="185"/>
      <c r="AA188" s="185"/>
      <c r="AB188" s="207"/>
      <c r="AC188" s="186"/>
    </row>
    <row r="189" spans="23:29">
      <c r="W189" s="185"/>
      <c r="X189" s="185"/>
      <c r="Y189" s="185"/>
      <c r="Z189" s="185"/>
      <c r="AA189" s="185"/>
      <c r="AB189" s="207"/>
      <c r="AC189" s="186"/>
    </row>
    <row r="190" spans="23:29">
      <c r="W190" s="185"/>
      <c r="X190" s="185"/>
      <c r="Y190" s="185"/>
      <c r="Z190" s="185"/>
      <c r="AA190" s="185"/>
      <c r="AB190" s="207"/>
      <c r="AC190" s="186"/>
    </row>
    <row r="191" spans="23:29">
      <c r="W191" s="185"/>
      <c r="X191" s="185"/>
      <c r="Y191" s="185"/>
      <c r="Z191" s="185"/>
      <c r="AA191" s="185"/>
      <c r="AB191" s="207"/>
      <c r="AC191" s="186"/>
    </row>
    <row r="192" spans="23:29">
      <c r="W192" s="185"/>
      <c r="X192" s="185"/>
      <c r="Y192" s="185"/>
      <c r="Z192" s="185"/>
      <c r="AA192" s="185"/>
      <c r="AB192" s="207"/>
      <c r="AC192" s="186"/>
    </row>
    <row r="193" spans="23:29">
      <c r="W193" s="185"/>
      <c r="X193" s="185"/>
      <c r="Y193" s="185"/>
      <c r="Z193" s="185"/>
      <c r="AA193" s="185"/>
      <c r="AB193" s="207"/>
      <c r="AC193" s="186"/>
    </row>
    <row r="194" spans="23:29">
      <c r="W194" s="185"/>
      <c r="X194" s="185"/>
      <c r="Y194" s="185"/>
      <c r="Z194" s="185"/>
      <c r="AA194" s="185"/>
      <c r="AB194" s="207"/>
      <c r="AC194" s="186"/>
    </row>
    <row r="195" spans="23:29">
      <c r="W195" s="185"/>
      <c r="X195" s="185"/>
      <c r="Y195" s="185"/>
      <c r="Z195" s="185"/>
      <c r="AA195" s="185"/>
      <c r="AB195" s="207"/>
      <c r="AC195" s="186"/>
    </row>
    <row r="196" spans="23:29">
      <c r="W196" s="185"/>
      <c r="X196" s="185"/>
      <c r="Y196" s="185"/>
      <c r="Z196" s="185"/>
      <c r="AA196" s="185"/>
      <c r="AB196" s="207"/>
      <c r="AC196" s="186"/>
    </row>
    <row r="197" spans="23:29">
      <c r="W197" s="185"/>
      <c r="X197" s="185"/>
      <c r="Y197" s="185"/>
      <c r="Z197" s="185"/>
      <c r="AA197" s="185"/>
      <c r="AB197" s="207"/>
      <c r="AC197" s="186"/>
    </row>
  </sheetData>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09375" defaultRowHeight="14.4"/>
  <cols>
    <col min="1" max="1" width="3.44140625" style="75" customWidth="1"/>
    <col min="2" max="9" width="9.109375" style="75"/>
    <col min="10" max="10" width="3.44140625" style="75" customWidth="1"/>
    <col min="11" max="11" width="9.109375" style="76"/>
    <col min="12" max="18" width="9.109375" style="75"/>
    <col min="19" max="19" width="3.44140625" style="75" customWidth="1"/>
    <col min="20" max="27" width="9.109375" style="75" customWidth="1"/>
    <col min="28" max="28" width="3.44140625" style="75" customWidth="1"/>
    <col min="29" max="36" width="9.109375" style="75" customWidth="1"/>
    <col min="37" max="37" width="3.44140625" style="75" customWidth="1"/>
    <col min="38" max="47" width="9.109375" style="75" customWidth="1"/>
    <col min="48" max="50" width="9.109375" style="75"/>
    <col min="51" max="51" width="9.109375" style="81"/>
    <col min="52" max="55" width="10" style="81" customWidth="1"/>
    <col min="56" max="16384" width="9.109375" style="75"/>
  </cols>
  <sheetData>
    <row r="1" spans="2:56" s="74" customFormat="1" ht="35.25" customHeight="1" thickTop="1">
      <c r="B1" s="80" t="s">
        <v>117</v>
      </c>
      <c r="K1" s="422" t="s">
        <v>97</v>
      </c>
      <c r="L1" s="423"/>
      <c r="M1" s="423"/>
      <c r="N1" s="423"/>
      <c r="O1" s="423"/>
      <c r="P1" s="423"/>
      <c r="Q1" s="423"/>
      <c r="R1" s="423"/>
      <c r="S1" s="423"/>
      <c r="T1" s="423"/>
      <c r="U1" s="423"/>
      <c r="V1" s="423"/>
      <c r="W1" s="423"/>
      <c r="X1" s="424"/>
      <c r="AY1" s="80"/>
      <c r="AZ1" s="80"/>
      <c r="BA1" s="80"/>
      <c r="BB1" s="80"/>
      <c r="BC1" s="80"/>
    </row>
    <row r="2" spans="2:56" s="74" customFormat="1" ht="35.4">
      <c r="K2" s="425"/>
      <c r="L2" s="426"/>
      <c r="M2" s="426"/>
      <c r="N2" s="426"/>
      <c r="O2" s="426"/>
      <c r="P2" s="426"/>
      <c r="Q2" s="426"/>
      <c r="R2" s="426"/>
      <c r="S2" s="426"/>
      <c r="T2" s="426"/>
      <c r="U2" s="426"/>
      <c r="V2" s="426"/>
      <c r="W2" s="426"/>
      <c r="X2" s="427"/>
      <c r="AY2" s="80"/>
      <c r="AZ2" s="80"/>
      <c r="BA2" s="80"/>
      <c r="BB2" s="80"/>
      <c r="BC2" s="80"/>
    </row>
    <row r="3" spans="2:56" s="74" customFormat="1" ht="36" thickBot="1">
      <c r="K3" s="428"/>
      <c r="L3" s="429"/>
      <c r="M3" s="429"/>
      <c r="N3" s="429"/>
      <c r="O3" s="429"/>
      <c r="P3" s="429"/>
      <c r="Q3" s="429"/>
      <c r="R3" s="429"/>
      <c r="S3" s="429"/>
      <c r="T3" s="429"/>
      <c r="U3" s="429"/>
      <c r="V3" s="429"/>
      <c r="W3" s="429"/>
      <c r="X3" s="430"/>
      <c r="AY3" s="80"/>
      <c r="AZ3" s="80"/>
      <c r="BA3" s="80"/>
      <c r="BB3" s="80"/>
      <c r="BC3" s="80"/>
    </row>
    <row r="4" spans="2:56" ht="15" thickTop="1">
      <c r="N4" s="77" t="s">
        <v>90</v>
      </c>
      <c r="W4" s="77" t="s">
        <v>90</v>
      </c>
      <c r="AF4" s="77" t="s">
        <v>90</v>
      </c>
      <c r="AO4" s="77" t="s">
        <v>90</v>
      </c>
    </row>
    <row r="5" spans="2:56">
      <c r="AY5" s="82" t="s">
        <v>103</v>
      </c>
      <c r="AZ5" s="83"/>
      <c r="BA5" s="83"/>
      <c r="BB5" s="83"/>
      <c r="BC5" s="83"/>
      <c r="BD5" s="76"/>
    </row>
    <row r="6" spans="2:56">
      <c r="AY6" s="84"/>
      <c r="AZ6" s="85" t="s">
        <v>33</v>
      </c>
      <c r="BA6" s="85" t="s">
        <v>34</v>
      </c>
      <c r="BB6" s="85" t="s">
        <v>35</v>
      </c>
      <c r="BC6" s="85" t="s">
        <v>32</v>
      </c>
      <c r="BD6" s="76"/>
    </row>
    <row r="7" spans="2:56">
      <c r="AY7" s="86" t="s">
        <v>99</v>
      </c>
      <c r="AZ7" s="87">
        <f>'3a. % by Portfolio'!G5</f>
        <v>1</v>
      </c>
      <c r="BA7" s="87" t="e">
        <f>'3a. % by Portfolio'!N5</f>
        <v>#DIV/0!</v>
      </c>
      <c r="BB7" s="87" t="e">
        <f>'3a. % by Portfolio'!U5</f>
        <v>#DIV/0!</v>
      </c>
      <c r="BC7" s="87" t="e">
        <f>'3a. % by Portfolio'!AB5</f>
        <v>#DIV/0!</v>
      </c>
      <c r="BD7" s="76"/>
    </row>
    <row r="8" spans="2:56">
      <c r="L8" s="78"/>
      <c r="M8" s="78"/>
      <c r="AY8" s="86" t="s">
        <v>100</v>
      </c>
      <c r="AZ8" s="87">
        <f>'3a. % by Portfolio'!G7</f>
        <v>0</v>
      </c>
      <c r="BA8" s="87" t="e">
        <f>'3a. % by Portfolio'!N7</f>
        <v>#DIV/0!</v>
      </c>
      <c r="BB8" s="87" t="e">
        <f>'3a. % by Portfolio'!U7</f>
        <v>#DIV/0!</v>
      </c>
      <c r="BC8" s="87" t="e">
        <f>'3a. % by Portfolio'!AB7</f>
        <v>#DIV/0!</v>
      </c>
      <c r="BD8" s="76"/>
    </row>
    <row r="9" spans="2:56">
      <c r="L9" s="78"/>
      <c r="M9" s="78"/>
      <c r="AY9" s="86" t="s">
        <v>101</v>
      </c>
      <c r="AZ9" s="87">
        <f>'3a. % by Portfolio'!G10</f>
        <v>0</v>
      </c>
      <c r="BA9" s="87" t="e">
        <f>'3a. % by Portfolio'!N10</f>
        <v>#DIV/0!</v>
      </c>
      <c r="BB9" s="87" t="e">
        <f>'3a. % by Portfolio'!U10</f>
        <v>#DIV/0!</v>
      </c>
      <c r="BC9" s="87" t="e">
        <f>'3a. % by Portfolio'!AB10</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90</v>
      </c>
      <c r="W20" s="77" t="s">
        <v>90</v>
      </c>
      <c r="AF20" s="77" t="s">
        <v>90</v>
      </c>
      <c r="AO20" s="77" t="s">
        <v>90</v>
      </c>
      <c r="AY20" s="83"/>
      <c r="AZ20" s="83"/>
      <c r="BA20" s="83"/>
      <c r="BB20" s="83"/>
      <c r="BC20" s="83"/>
      <c r="BD20" s="76"/>
    </row>
    <row r="21" spans="12:56">
      <c r="AY21" s="82" t="s">
        <v>113</v>
      </c>
      <c r="AZ21" s="83"/>
      <c r="BA21" s="83"/>
      <c r="BB21" s="83"/>
      <c r="BC21" s="83"/>
      <c r="BD21" s="76"/>
    </row>
    <row r="22" spans="12:56">
      <c r="AY22" s="84"/>
      <c r="AZ22" s="85" t="s">
        <v>33</v>
      </c>
      <c r="BA22" s="85" t="s">
        <v>34</v>
      </c>
      <c r="BB22" s="85" t="s">
        <v>35</v>
      </c>
      <c r="BC22" s="85" t="s">
        <v>32</v>
      </c>
      <c r="BD22" s="76"/>
    </row>
    <row r="23" spans="12:56">
      <c r="AY23" s="86" t="s">
        <v>99</v>
      </c>
      <c r="AZ23" s="87">
        <f>'3a. % by Portfolio'!G24</f>
        <v>0.96000000000000008</v>
      </c>
      <c r="BA23" s="87" t="e">
        <f>'3a. % by Portfolio'!N24</f>
        <v>#DIV/0!</v>
      </c>
      <c r="BB23" s="87" t="e">
        <f>'3a. % by Portfolio'!U24</f>
        <v>#DIV/0!</v>
      </c>
      <c r="BC23" s="87" t="e">
        <f>'3a. % by Portfolio'!AB24</f>
        <v>#DIV/0!</v>
      </c>
      <c r="BD23" s="76"/>
    </row>
    <row r="24" spans="12:56">
      <c r="L24" s="78"/>
      <c r="M24" s="78"/>
      <c r="AY24" s="86" t="s">
        <v>100</v>
      </c>
      <c r="AZ24" s="87">
        <f>'3a. % by Portfolio'!G26</f>
        <v>0.04</v>
      </c>
      <c r="BA24" s="87" t="e">
        <f>'3a. % by Portfolio'!N26</f>
        <v>#DIV/0!</v>
      </c>
      <c r="BB24" s="87" t="e">
        <f>'3a. % by Portfolio'!U26</f>
        <v>#DIV/0!</v>
      </c>
      <c r="BC24" s="87" t="e">
        <f>'3a. % by Portfolio'!AB26</f>
        <v>#DIV/0!</v>
      </c>
      <c r="BD24" s="76"/>
    </row>
    <row r="25" spans="12:56">
      <c r="L25" s="78"/>
      <c r="M25" s="78"/>
      <c r="AY25" s="86" t="s">
        <v>101</v>
      </c>
      <c r="AZ25" s="87">
        <f>'3a. % by Portfolio'!G29</f>
        <v>0</v>
      </c>
      <c r="BA25" s="87" t="e">
        <f>'3a. % by Portfolio'!N29</f>
        <v>#DIV/0!</v>
      </c>
      <c r="BB25" s="87" t="e">
        <f>'3a. % by Portfolio'!U29</f>
        <v>#DIV/0!</v>
      </c>
      <c r="BC25" s="87" t="e">
        <f>'3a. % by Portfolio'!AB29</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90</v>
      </c>
      <c r="W36" s="77" t="s">
        <v>90</v>
      </c>
      <c r="AF36" s="77" t="s">
        <v>90</v>
      </c>
      <c r="AO36" s="77" t="s">
        <v>90</v>
      </c>
      <c r="AY36" s="83"/>
      <c r="AZ36" s="83"/>
      <c r="BA36" s="83"/>
      <c r="BB36" s="83"/>
      <c r="BC36" s="83"/>
      <c r="BD36" s="76"/>
    </row>
    <row r="37" spans="11:56">
      <c r="AY37" s="82" t="s">
        <v>114</v>
      </c>
      <c r="AZ37" s="91"/>
      <c r="BA37" s="91"/>
      <c r="BB37" s="91"/>
      <c r="BC37" s="91"/>
      <c r="BD37" s="79"/>
    </row>
    <row r="38" spans="11:56">
      <c r="AY38" s="92"/>
      <c r="AZ38" s="85" t="s">
        <v>33</v>
      </c>
      <c r="BA38" s="85" t="s">
        <v>34</v>
      </c>
      <c r="BB38" s="85" t="s">
        <v>35</v>
      </c>
      <c r="BC38" s="85" t="s">
        <v>32</v>
      </c>
      <c r="BD38" s="79"/>
    </row>
    <row r="39" spans="11:56">
      <c r="AY39" s="86" t="s">
        <v>99</v>
      </c>
      <c r="AZ39" s="87">
        <f>'3a. % by Portfolio'!G42</f>
        <v>0.9</v>
      </c>
      <c r="BA39" s="87" t="e">
        <f>'3a. % by Portfolio'!N42</f>
        <v>#DIV/0!</v>
      </c>
      <c r="BB39" s="87" t="e">
        <f>'3a. % by Portfolio'!U42</f>
        <v>#DIV/0!</v>
      </c>
      <c r="BC39" s="87" t="e">
        <f>'3a. % by Portfolio'!AB42</f>
        <v>#DIV/0!</v>
      </c>
      <c r="BD39" s="79"/>
    </row>
    <row r="40" spans="11:56">
      <c r="K40" s="78"/>
      <c r="L40" s="78"/>
      <c r="AY40" s="86" t="s">
        <v>100</v>
      </c>
      <c r="AZ40" s="87">
        <f>'3a. % by Portfolio'!G44</f>
        <v>0.1</v>
      </c>
      <c r="BA40" s="87" t="e">
        <f>'3a. % by Portfolio'!N44</f>
        <v>#DIV/0!</v>
      </c>
      <c r="BB40" s="87" t="e">
        <f>'3a. % by Portfolio'!U44</f>
        <v>#DIV/0!</v>
      </c>
      <c r="BC40" s="87" t="e">
        <f>'3a. % by Portfolio'!AB44</f>
        <v>#DIV/0!</v>
      </c>
      <c r="BD40" s="79"/>
    </row>
    <row r="41" spans="11:56">
      <c r="K41" s="78"/>
      <c r="L41" s="78"/>
      <c r="AY41" s="86" t="s">
        <v>101</v>
      </c>
      <c r="AZ41" s="87">
        <f>'3a. % by Portfolio'!G47</f>
        <v>0</v>
      </c>
      <c r="BA41" s="87" t="e">
        <f>'3a. % by Portfolio'!N47</f>
        <v>#DIV/0!</v>
      </c>
      <c r="BB41" s="87" t="e">
        <f>'3a. % by Portfolio'!U47</f>
        <v>#DIV/0!</v>
      </c>
      <c r="BC41" s="87" t="e">
        <f>'3a. % by Portfolio'!AB47</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90</v>
      </c>
      <c r="W52" s="77" t="s">
        <v>90</v>
      </c>
      <c r="AF52" s="77" t="s">
        <v>90</v>
      </c>
      <c r="AO52" s="77" t="s">
        <v>90</v>
      </c>
      <c r="AY52" s="83"/>
      <c r="AZ52" s="83"/>
      <c r="BA52" s="83"/>
      <c r="BB52" s="83"/>
      <c r="BC52" s="83"/>
      <c r="BD52" s="76"/>
    </row>
    <row r="53" spans="12:56">
      <c r="AY53" s="82" t="s">
        <v>115</v>
      </c>
      <c r="AZ53" s="91"/>
      <c r="BA53" s="91"/>
      <c r="BB53" s="91"/>
      <c r="BC53" s="91"/>
      <c r="BD53" s="76"/>
    </row>
    <row r="54" spans="12:56">
      <c r="AY54" s="92"/>
      <c r="AZ54" s="85" t="s">
        <v>33</v>
      </c>
      <c r="BA54" s="85" t="s">
        <v>34</v>
      </c>
      <c r="BB54" s="85" t="s">
        <v>35</v>
      </c>
      <c r="BC54" s="85" t="s">
        <v>32</v>
      </c>
      <c r="BD54" s="76"/>
    </row>
    <row r="55" spans="12:56">
      <c r="AY55" s="86" t="s">
        <v>99</v>
      </c>
      <c r="AZ55" s="87">
        <f>'3a. % by Portfolio'!G60</f>
        <v>0.95454545454545459</v>
      </c>
      <c r="BA55" s="87" t="e">
        <f>'3a. % by Portfolio'!N60</f>
        <v>#DIV/0!</v>
      </c>
      <c r="BB55" s="87" t="e">
        <f>'3a. % by Portfolio'!U60</f>
        <v>#DIV/0!</v>
      </c>
      <c r="BC55" s="87" t="e">
        <f>'3a. % by Portfolio'!AB60</f>
        <v>#DIV/0!</v>
      </c>
      <c r="BD55" s="76"/>
    </row>
    <row r="56" spans="12:56">
      <c r="L56" s="78"/>
      <c r="M56" s="78"/>
      <c r="AY56" s="86" t="s">
        <v>100</v>
      </c>
      <c r="AZ56" s="87">
        <f>'3a. % by Portfolio'!G62</f>
        <v>4.5454545454545456E-2</v>
      </c>
      <c r="BA56" s="87" t="e">
        <f>'3a. % by Portfolio'!N62</f>
        <v>#DIV/0!</v>
      </c>
      <c r="BB56" s="87" t="e">
        <f>'3a. % by Portfolio'!U62</f>
        <v>#DIV/0!</v>
      </c>
      <c r="BC56" s="87" t="e">
        <f>'3a. % by Portfolio'!AB62</f>
        <v>#DIV/0!</v>
      </c>
      <c r="BD56" s="76"/>
    </row>
    <row r="57" spans="12:56">
      <c r="L57" s="78"/>
      <c r="M57" s="78"/>
      <c r="AY57" s="86" t="s">
        <v>101</v>
      </c>
      <c r="AZ57" s="87">
        <f>'3a. % by Portfolio'!G65</f>
        <v>0</v>
      </c>
      <c r="BA57" s="87" t="e">
        <f>'3a. % by Portfolio'!N65</f>
        <v>#DIV/0!</v>
      </c>
      <c r="BB57" s="87" t="e">
        <f>'3a. % by Portfolio'!U65</f>
        <v>#DIV/0!</v>
      </c>
      <c r="BC57" s="87" t="e">
        <f>'3a. % by Portfolio'!AB65</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90</v>
      </c>
      <c r="W68" s="77" t="s">
        <v>90</v>
      </c>
      <c r="AF68" s="77" t="s">
        <v>90</v>
      </c>
      <c r="AO68" s="77" t="s">
        <v>90</v>
      </c>
      <c r="AY68" s="83"/>
      <c r="AZ68" s="83"/>
      <c r="BA68" s="83"/>
      <c r="BB68" s="83"/>
      <c r="BC68" s="83"/>
      <c r="BD68" s="76"/>
    </row>
    <row r="69" spans="14:56">
      <c r="AY69" s="82" t="s">
        <v>116</v>
      </c>
      <c r="AZ69" s="91"/>
      <c r="BA69" s="91"/>
      <c r="BB69" s="91"/>
      <c r="BC69" s="91"/>
    </row>
    <row r="70" spans="14:56">
      <c r="AY70" s="92"/>
      <c r="AZ70" s="85" t="s">
        <v>33</v>
      </c>
      <c r="BA70" s="85" t="s">
        <v>34</v>
      </c>
      <c r="BB70" s="85" t="s">
        <v>35</v>
      </c>
      <c r="BC70" s="85" t="s">
        <v>32</v>
      </c>
    </row>
    <row r="71" spans="14:56">
      <c r="AY71" s="86" t="s">
        <v>99</v>
      </c>
      <c r="AZ71" s="87">
        <f>'3a. % by Portfolio'!G78</f>
        <v>1</v>
      </c>
      <c r="BA71" s="87" t="e">
        <f>'3a. % by Portfolio'!N78</f>
        <v>#DIV/0!</v>
      </c>
      <c r="BB71" s="87" t="e">
        <f>'3a. % by Portfolio'!U78</f>
        <v>#DIV/0!</v>
      </c>
      <c r="BC71" s="87" t="e">
        <f>'3a. % by Portfolio'!AB78</f>
        <v>#DIV/0!</v>
      </c>
    </row>
    <row r="72" spans="14:56">
      <c r="AY72" s="86" t="s">
        <v>100</v>
      </c>
      <c r="AZ72" s="87">
        <f>'3a. % by Portfolio'!G80</f>
        <v>0</v>
      </c>
      <c r="BA72" s="87" t="e">
        <f>'3a. % by Portfolio'!N80</f>
        <v>#DIV/0!</v>
      </c>
      <c r="BB72" s="87" t="e">
        <f>'3a. % by Portfolio'!U80</f>
        <v>#DIV/0!</v>
      </c>
      <c r="BC72" s="87" t="e">
        <f>'3a. % by Portfolio'!AB80</f>
        <v>#DIV/0!</v>
      </c>
    </row>
    <row r="73" spans="14:56">
      <c r="AY73" s="86" t="s">
        <v>101</v>
      </c>
      <c r="AZ73" s="87">
        <f>'3a. % by Portfolio'!G83</f>
        <v>0</v>
      </c>
      <c r="BA73" s="87" t="e">
        <f>'3a. % by Portfolio'!N83</f>
        <v>#DIV/0!</v>
      </c>
      <c r="BB73" s="87" t="e">
        <f>'3a. % by Portfolio'!U83</f>
        <v>#DIV/0!</v>
      </c>
      <c r="BC73" s="87" t="e">
        <f>'3a. % by Portfolio'!AB83</f>
        <v>#DIV/0!</v>
      </c>
    </row>
    <row r="84" spans="14:56">
      <c r="N84" s="77" t="s">
        <v>90</v>
      </c>
      <c r="W84" s="77" t="s">
        <v>90</v>
      </c>
      <c r="AF84" s="77" t="s">
        <v>90</v>
      </c>
      <c r="AO84" s="77" t="s">
        <v>90</v>
      </c>
    </row>
    <row r="85" spans="14:56">
      <c r="AY85" s="82" t="s">
        <v>104</v>
      </c>
      <c r="AZ85" s="91"/>
      <c r="BA85" s="91"/>
      <c r="BB85" s="91"/>
      <c r="BC85" s="91"/>
    </row>
    <row r="86" spans="14:56">
      <c r="AY86" s="92"/>
      <c r="AZ86" s="85" t="s">
        <v>33</v>
      </c>
      <c r="BA86" s="85" t="s">
        <v>34</v>
      </c>
      <c r="BB86" s="85" t="s">
        <v>35</v>
      </c>
      <c r="BC86" s="85" t="s">
        <v>32</v>
      </c>
    </row>
    <row r="87" spans="14:56">
      <c r="AY87" s="86" t="s">
        <v>99</v>
      </c>
      <c r="AZ87" s="87">
        <f>'3a. % by Portfolio'!G97</f>
        <v>0</v>
      </c>
      <c r="BA87" s="87">
        <f>'3a. % by Portfolio'!N97</f>
        <v>0</v>
      </c>
      <c r="BB87" s="87">
        <f>'3a. % by Portfolio'!U97</f>
        <v>0</v>
      </c>
      <c r="BC87" s="87">
        <f>'3a. % by Portfolio'!AB97</f>
        <v>0</v>
      </c>
    </row>
    <row r="88" spans="14:56">
      <c r="AY88" s="86" t="s">
        <v>100</v>
      </c>
      <c r="AZ88" s="87">
        <f>'3a. % by Portfolio'!G100</f>
        <v>0</v>
      </c>
      <c r="BA88" s="87">
        <f>'3a. % by Portfolio'!N100</f>
        <v>0</v>
      </c>
      <c r="BB88" s="87">
        <f>'3a. % by Portfolio'!U100</f>
        <v>0</v>
      </c>
      <c r="BC88" s="87">
        <f>'3a. % by Portfolio'!AB100</f>
        <v>0</v>
      </c>
    </row>
    <row r="89" spans="14:56">
      <c r="AY89" s="86" t="s">
        <v>101</v>
      </c>
      <c r="AZ89" s="87">
        <f>'3a. % by Portfolio'!G104</f>
        <v>0</v>
      </c>
      <c r="BA89" s="87">
        <f>'3a. % by Portfolio'!N104</f>
        <v>0</v>
      </c>
      <c r="BB89" s="87">
        <f>'3a. % by Portfolio'!U104</f>
        <v>0</v>
      </c>
      <c r="BC89" s="87">
        <f>'3a. % by Portfolio'!AB104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90</v>
      </c>
      <c r="W100" s="77" t="s">
        <v>90</v>
      </c>
      <c r="AF100" s="77" t="s">
        <v>90</v>
      </c>
      <c r="AO100" s="77" t="s">
        <v>90</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90</v>
      </c>
      <c r="W116" s="77" t="s">
        <v>90</v>
      </c>
      <c r="AF116" s="77" t="s">
        <v>90</v>
      </c>
      <c r="AO116" s="77"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2021-09-15T16:17:15Z</dcterms:modified>
</cp:coreProperties>
</file>