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0\AGENDA 25 JUNE 2020\PDFs\"/>
    </mc:Choice>
  </mc:AlternateContent>
  <bookViews>
    <workbookView xWindow="0" yWindow="0" windowWidth="20490" windowHeight="7755" tabRatio="884" activeTab="1"/>
  </bookViews>
  <sheets>
    <sheet name="Index" sheetId="13"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r:id="rId12"/>
  </sheets>
  <definedNames>
    <definedName name="_xlnm._FilterDatabase" localSheetId="1" hidden="1">'1. All Data'!$A$2:$AE$111</definedName>
    <definedName name="_Toc382250483" localSheetId="1">'1. All Data'!$C$70</definedName>
    <definedName name="OLE_LINK3" localSheetId="1">'1. All Data'!$E$40</definedName>
    <definedName name="_xlnm.Print_Area" localSheetId="1">'1. All Data'!$C$1:$V$111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6" l="1"/>
  <c r="H8" i="16"/>
  <c r="D8" i="16"/>
  <c r="AA58" i="5"/>
  <c r="AA57" i="5"/>
  <c r="AA51" i="5"/>
  <c r="AA50" i="5"/>
  <c r="AB98" i="7" l="1"/>
  <c r="AA103" i="7"/>
  <c r="AA102" i="7"/>
  <c r="AA100" i="7"/>
  <c r="AA99" i="7"/>
  <c r="AA98" i="7"/>
  <c r="Y100" i="7"/>
  <c r="Y99" i="7"/>
  <c r="Y98" i="7"/>
  <c r="AB76" i="7"/>
  <c r="AA81" i="7"/>
  <c r="AA80" i="7"/>
  <c r="AA78" i="7"/>
  <c r="AA77" i="7"/>
  <c r="AA76" i="7"/>
  <c r="Y78" i="7"/>
  <c r="Y77" i="7"/>
  <c r="Y76" i="7"/>
  <c r="AB54" i="7"/>
  <c r="AA56" i="7"/>
  <c r="AA55" i="7"/>
  <c r="AA54" i="7"/>
  <c r="Z58" i="7"/>
  <c r="Y56" i="7"/>
  <c r="Y55" i="7"/>
  <c r="Y54" i="7"/>
  <c r="AA34" i="7"/>
  <c r="AA33" i="7"/>
  <c r="AA32" i="7"/>
  <c r="Y34" i="7"/>
  <c r="Y33" i="7"/>
  <c r="Y32" i="7"/>
  <c r="AB13" i="7"/>
  <c r="AB6" i="7"/>
  <c r="AB9" i="7"/>
  <c r="AA80" i="5"/>
  <c r="AA79" i="5"/>
  <c r="AA77" i="5"/>
  <c r="AA76" i="5"/>
  <c r="AA75" i="5"/>
  <c r="AB75" i="5" s="1"/>
  <c r="AA73" i="5"/>
  <c r="AA55" i="5"/>
  <c r="AB53" i="5" s="1"/>
  <c r="AA54" i="5"/>
  <c r="AA53" i="5"/>
  <c r="Y51" i="5"/>
  <c r="Y50" i="5"/>
  <c r="Y58" i="5"/>
  <c r="Z53" i="5"/>
  <c r="Z50" i="5"/>
  <c r="Y53" i="5"/>
  <c r="X50" i="5"/>
  <c r="AB31" i="5"/>
  <c r="AB79" i="5"/>
  <c r="Z84" i="5"/>
  <c r="Z85" i="5"/>
  <c r="Z82" i="5"/>
  <c r="Z83" i="5"/>
  <c r="Z39" i="5"/>
  <c r="Z40" i="5"/>
  <c r="Z41" i="5"/>
  <c r="Z38" i="5"/>
  <c r="Z18" i="5"/>
  <c r="Z17" i="5"/>
  <c r="Z16" i="5"/>
  <c r="Z13" i="5"/>
  <c r="AB13" i="5"/>
  <c r="AB9" i="5"/>
  <c r="AA28" i="5"/>
  <c r="AA6" i="5"/>
  <c r="Y7" i="5"/>
  <c r="Y6" i="5"/>
  <c r="AB32" i="7" l="1"/>
  <c r="X14" i="5"/>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G13" i="16" l="1"/>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X20" i="5" l="1"/>
  <c r="X21" i="5" s="1"/>
  <c r="Y6" i="7"/>
  <c r="Y52" i="7"/>
  <c r="Y83" i="7"/>
  <c r="Z83" i="7" s="1"/>
  <c r="Y59" i="7"/>
  <c r="Y63" i="7"/>
  <c r="Z63" i="7" s="1"/>
  <c r="G5" i="16"/>
  <c r="G7" i="16"/>
  <c r="X66" i="7"/>
  <c r="AA52" i="7" s="1"/>
  <c r="Y14" i="7"/>
  <c r="Y103" i="7"/>
  <c r="Y10" i="7"/>
  <c r="Y105" i="7"/>
  <c r="Z105" i="7" s="1"/>
  <c r="Y17" i="7"/>
  <c r="Z17" i="7" s="1"/>
  <c r="X21" i="7"/>
  <c r="AA7" i="7" s="1"/>
  <c r="Y16" i="7"/>
  <c r="Z16" i="7" s="1"/>
  <c r="Y81" i="7"/>
  <c r="Y85" i="7"/>
  <c r="Z85" i="7" s="1"/>
  <c r="Y108" i="7"/>
  <c r="Z108" i="7" s="1"/>
  <c r="X110" i="7"/>
  <c r="AA96" i="7" s="1"/>
  <c r="Y13" i="7"/>
  <c r="Y19" i="7"/>
  <c r="Z19" i="7" s="1"/>
  <c r="Y9" i="7"/>
  <c r="Y86" i="7"/>
  <c r="Z86" i="7" s="1"/>
  <c r="Y95" i="7"/>
  <c r="Y107" i="7"/>
  <c r="Z107" i="7" s="1"/>
  <c r="E5" i="16"/>
  <c r="G8" i="16"/>
  <c r="G9" i="16"/>
  <c r="Y11" i="7"/>
  <c r="Y73" i="7"/>
  <c r="Y102" i="7"/>
  <c r="Y96" i="7"/>
  <c r="X88" i="7"/>
  <c r="AA73" i="7" s="1"/>
  <c r="Y80" i="7"/>
  <c r="Y74" i="7"/>
  <c r="Y64" i="7"/>
  <c r="Z64" i="7" s="1"/>
  <c r="Y62" i="7"/>
  <c r="Z62" i="7" s="1"/>
  <c r="Y58" i="7"/>
  <c r="Y51" i="7"/>
  <c r="Y42" i="7"/>
  <c r="Z42" i="7" s="1"/>
  <c r="Y29" i="7"/>
  <c r="Y30" i="7"/>
  <c r="Y39" i="7"/>
  <c r="Z39" i="7" s="1"/>
  <c r="Y37" i="7"/>
  <c r="Y36" i="7"/>
  <c r="X44" i="7"/>
  <c r="AA37" i="7" s="1"/>
  <c r="Y40" i="7"/>
  <c r="Z40" i="7" s="1"/>
  <c r="E7" i="16"/>
  <c r="E8" i="16"/>
  <c r="E9" i="16"/>
  <c r="C7" i="16"/>
  <c r="Y7" i="7"/>
  <c r="Z6" i="7" s="1"/>
  <c r="C5" i="16"/>
  <c r="Y16" i="5"/>
  <c r="X42" i="5"/>
  <c r="Y38" i="5" s="1"/>
  <c r="X86" i="5"/>
  <c r="Y73" i="5" s="1"/>
  <c r="C9" i="16"/>
  <c r="X64" i="5"/>
  <c r="X65" i="5" l="1"/>
  <c r="Y63" i="5"/>
  <c r="Z63" i="5" s="1"/>
  <c r="Y61" i="5"/>
  <c r="Z61" i="5" s="1"/>
  <c r="Y60" i="5"/>
  <c r="Z60" i="5" s="1"/>
  <c r="Y62" i="5"/>
  <c r="Z62" i="5" s="1"/>
  <c r="Y57" i="5"/>
  <c r="Y55" i="5"/>
  <c r="Y54" i="5"/>
  <c r="Z51" i="7"/>
  <c r="AA58" i="7"/>
  <c r="AA29" i="7"/>
  <c r="Z102" i="7"/>
  <c r="AA30" i="7"/>
  <c r="AA36" i="7"/>
  <c r="AA74" i="7"/>
  <c r="AA59" i="7"/>
  <c r="AA51" i="7"/>
  <c r="AB51" i="7" s="1"/>
  <c r="D13" i="16" s="1"/>
  <c r="Z13" i="7"/>
  <c r="Z73" i="7"/>
  <c r="Z76" i="7"/>
  <c r="AA95" i="7"/>
  <c r="Z36" i="7"/>
  <c r="Z29" i="7"/>
  <c r="Z95" i="7"/>
  <c r="Z80" i="7"/>
  <c r="Y11" i="5"/>
  <c r="Z32" i="7"/>
  <c r="X87" i="5"/>
  <c r="AA72" i="5" s="1"/>
  <c r="Z98" i="7"/>
  <c r="Z9" i="7"/>
  <c r="AA6" i="7"/>
  <c r="AA14" i="7"/>
  <c r="AA11" i="7"/>
  <c r="AA13" i="7"/>
  <c r="AA10" i="7"/>
  <c r="F13" i="16"/>
  <c r="AA9" i="7"/>
  <c r="Y72" i="5"/>
  <c r="Z72" i="5" s="1"/>
  <c r="Y13" i="5"/>
  <c r="Z54" i="7"/>
  <c r="Y39" i="5"/>
  <c r="Y75" i="5"/>
  <c r="X43" i="5"/>
  <c r="Y85" i="5"/>
  <c r="Y80" i="5"/>
  <c r="Y83" i="5"/>
  <c r="Y79" i="5"/>
  <c r="Y41" i="5"/>
  <c r="Y28" i="5"/>
  <c r="Y31" i="5"/>
  <c r="Y77" i="5"/>
  <c r="Y18" i="5"/>
  <c r="Y84" i="5"/>
  <c r="Y36" i="5"/>
  <c r="Y40" i="5"/>
  <c r="Y33" i="5"/>
  <c r="Y76" i="5"/>
  <c r="Y82" i="5"/>
  <c r="Y35" i="5"/>
  <c r="Y29" i="5"/>
  <c r="Y32" i="5"/>
  <c r="Y10" i="5"/>
  <c r="Y9" i="5"/>
  <c r="Y14" i="5"/>
  <c r="Y19" i="5"/>
  <c r="Z19" i="5" s="1"/>
  <c r="Y17" i="5"/>
  <c r="Q16" i="5"/>
  <c r="Q13" i="5"/>
  <c r="Q14" i="5"/>
  <c r="Q6" i="5"/>
  <c r="Q7" i="5"/>
  <c r="E5" i="15"/>
  <c r="AB50" i="5" l="1"/>
  <c r="AB58" i="7"/>
  <c r="H13" i="16" s="1"/>
  <c r="Z35" i="5"/>
  <c r="Z9" i="5"/>
  <c r="Z28" i="5"/>
  <c r="Z57" i="5"/>
  <c r="E11" i="16"/>
  <c r="Z6" i="5"/>
  <c r="Z79" i="5"/>
  <c r="Z31" i="5"/>
  <c r="AB72" i="5"/>
  <c r="D9" i="16" s="1"/>
  <c r="AA29" i="5"/>
  <c r="F9" i="16"/>
  <c r="AA36" i="5"/>
  <c r="F8" i="16"/>
  <c r="AA33" i="5"/>
  <c r="AA31" i="5"/>
  <c r="AA32" i="5"/>
  <c r="AA35" i="5"/>
  <c r="AA14" i="5"/>
  <c r="AA10" i="5"/>
  <c r="AA9" i="5"/>
  <c r="AA13" i="5"/>
  <c r="AA7" i="5"/>
  <c r="AA11" i="5"/>
  <c r="Z75" i="5"/>
  <c r="G5" i="15"/>
  <c r="C5" i="15"/>
  <c r="J53" i="5"/>
  <c r="E8" i="14" s="1"/>
  <c r="J51" i="5"/>
  <c r="J9" i="5"/>
  <c r="E5" i="14" s="1"/>
  <c r="J31" i="5"/>
  <c r="E7" i="14" s="1"/>
  <c r="J29" i="5"/>
  <c r="AB28" i="5" l="1"/>
  <c r="D7" i="16" s="1"/>
  <c r="H9" i="16"/>
  <c r="AB57" i="5"/>
  <c r="F5" i="16"/>
  <c r="AB6" i="5"/>
  <c r="C9" i="7"/>
  <c r="C9" i="5"/>
  <c r="C6" i="5"/>
  <c r="AD6" i="5" l="1"/>
  <c r="AH6" i="5"/>
  <c r="AF13" i="5"/>
  <c r="AH13" i="5"/>
  <c r="D5" i="16"/>
  <c r="AF6" i="5"/>
  <c r="H5" i="16"/>
  <c r="AD13"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Q108" i="7"/>
  <c r="Q107" i="7"/>
  <c r="Q106" i="7"/>
  <c r="Q105" i="7"/>
  <c r="Q103" i="7"/>
  <c r="Q102" i="7"/>
  <c r="Q98" i="7"/>
  <c r="E15" i="15" s="1"/>
  <c r="Q96" i="7"/>
  <c r="C15" i="15"/>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C11" i="15" l="1"/>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G13" i="14"/>
  <c r="C15" i="14"/>
  <c r="G14" i="14"/>
  <c r="G12" i="14"/>
  <c r="G11"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2"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T13" i="7"/>
  <c r="T14" i="7"/>
  <c r="T6"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50" i="5"/>
  <c r="C41" i="5"/>
  <c r="C40" i="5"/>
  <c r="C39" i="5"/>
  <c r="C38" i="5"/>
  <c r="C36" i="5"/>
  <c r="C35" i="5"/>
  <c r="C31" i="5"/>
  <c r="C29" i="5"/>
  <c r="C28" i="5"/>
  <c r="C18" i="5"/>
  <c r="C17" i="5"/>
  <c r="C16" i="5"/>
  <c r="C14" i="5"/>
  <c r="C13" i="5"/>
  <c r="E5" i="9"/>
  <c r="C7" i="5"/>
  <c r="L6" i="7" l="1"/>
  <c r="C9" i="15"/>
  <c r="S73" i="7"/>
  <c r="BC24" i="6"/>
  <c r="F7" i="16"/>
  <c r="BC25" i="6"/>
  <c r="H7" i="16"/>
  <c r="C7" i="15"/>
  <c r="G8" i="15"/>
  <c r="G7" i="15"/>
  <c r="BB8" i="8"/>
  <c r="F11" i="15"/>
  <c r="C8" i="15"/>
  <c r="G9" i="15"/>
  <c r="AZ9" i="8"/>
  <c r="E7" i="9"/>
  <c r="E8" i="9"/>
  <c r="AZ8" i="8"/>
  <c r="C5" i="9"/>
  <c r="E9" i="9"/>
  <c r="G9" i="14"/>
  <c r="G7" i="14"/>
  <c r="G8" i="14"/>
  <c r="C5" i="14"/>
  <c r="J20" i="5"/>
  <c r="K9" i="5" s="1"/>
  <c r="U6" i="7"/>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U1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C42" i="5"/>
  <c r="C43" i="5" s="1"/>
  <c r="R40" i="5" l="1"/>
  <c r="S40" i="5" s="1"/>
  <c r="R31" i="5"/>
  <c r="S31" i="5" s="1"/>
  <c r="R19" i="5"/>
  <c r="S19" i="5" s="1"/>
  <c r="Q21" i="5"/>
  <c r="T6" i="5" s="1"/>
  <c r="R16" i="5"/>
  <c r="R14" i="5"/>
  <c r="BB24" i="8"/>
  <c r="F12" i="15"/>
  <c r="BB57" i="8"/>
  <c r="H14" i="15"/>
  <c r="BB23" i="8"/>
  <c r="D12" i="15"/>
  <c r="BB9" i="8"/>
  <c r="H11"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S16" i="5"/>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S6" i="5" l="1"/>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72" i="5" l="1"/>
  <c r="BB24" i="6"/>
  <c r="F7" i="15"/>
  <c r="BB56" i="6"/>
  <c r="F9" i="15"/>
  <c r="BB40" i="6"/>
  <c r="F8" i="15"/>
  <c r="BB8" i="6"/>
  <c r="F5" i="15"/>
  <c r="U6" i="5"/>
  <c r="U13" i="5"/>
  <c r="H8" i="9"/>
  <c r="AZ40" i="6"/>
  <c r="BA24" i="6"/>
  <c r="F7" i="14"/>
  <c r="BA8" i="6"/>
  <c r="F5" i="14"/>
  <c r="BA40" i="6"/>
  <c r="F8" i="14"/>
  <c r="N13" i="5"/>
  <c r="N50" i="5"/>
  <c r="AZ23" i="6"/>
  <c r="D7" i="9"/>
  <c r="F8" i="9"/>
  <c r="AZ41" i="6"/>
  <c r="G50" i="5"/>
  <c r="AZ57" i="6"/>
  <c r="H9" i="9"/>
  <c r="AZ8" i="6"/>
  <c r="F5" i="9"/>
  <c r="AZ25" i="6"/>
  <c r="H7" i="9"/>
  <c r="AZ55" i="6"/>
  <c r="D9" i="9"/>
  <c r="AZ56" i="6"/>
  <c r="F9" i="9"/>
  <c r="N6" i="5"/>
  <c r="N79" i="5"/>
  <c r="N72" i="5"/>
  <c r="N57" i="5"/>
  <c r="U50" i="5"/>
  <c r="BB39" i="6" s="1"/>
  <c r="U57" i="5"/>
  <c r="U35" i="5"/>
  <c r="U79" i="5"/>
  <c r="N28" i="5"/>
  <c r="U72" i="5"/>
  <c r="N35" i="5"/>
  <c r="U28" i="5"/>
  <c r="G6" i="5"/>
  <c r="G13" i="5"/>
  <c r="BB23" i="6" l="1"/>
  <c r="D7" i="15"/>
  <c r="BB57" i="6"/>
  <c r="H9" i="15"/>
  <c r="BB25" i="6"/>
  <c r="H7" i="15"/>
  <c r="BB9" i="6"/>
  <c r="H5" i="15"/>
  <c r="BB55" i="6"/>
  <c r="D9" i="15"/>
  <c r="BB41" i="6"/>
  <c r="H8" i="15"/>
  <c r="BB7" i="6"/>
  <c r="D5" i="15"/>
  <c r="D5" i="9"/>
  <c r="D8" i="9"/>
  <c r="D8" i="15"/>
  <c r="BA23" i="6"/>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E29" authorId="0" shapeId="0">
      <text>
        <r>
          <rPr>
            <sz val="9"/>
            <color indexed="81"/>
            <rFont val="Tahoma"/>
            <family val="2"/>
          </rPr>
          <t>…"to showcase the Council and raise the profile of its services". (p26)</t>
        </r>
      </text>
    </comment>
    <comment ref="E30" authorId="0" shapeId="0">
      <text>
        <r>
          <rPr>
            <sz val="9"/>
            <color indexed="81"/>
            <rFont val="Tahoma"/>
            <family val="2"/>
          </rPr>
          <t>…"to showcase the Council and raise the profile of its services". (p26)</t>
        </r>
      </text>
    </comment>
    <comment ref="E37" authorId="0" shapeId="0">
      <text>
        <r>
          <rPr>
            <sz val="9"/>
            <color indexed="81"/>
            <rFont val="Tahoma"/>
            <family val="2"/>
          </rPr>
          <t>in relation to waste management p.27</t>
        </r>
      </text>
    </comment>
  </commentList>
</comments>
</file>

<file path=xl/sharedStrings.xml><?xml version="1.0" encoding="utf-8"?>
<sst xmlns="http://schemas.openxmlformats.org/spreadsheetml/2006/main" count="3097" uniqueCount="837">
  <si>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</si>
  <si>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</si>
  <si>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</si>
  <si>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</si>
  <si>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</si>
  <si>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</si>
  <si>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</si>
  <si>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</si>
  <si>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</si>
  <si>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</si>
  <si>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</si>
  <si>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</si>
  <si>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</si>
  <si>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</si>
  <si>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</si>
  <si>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</si>
  <si>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</si>
  <si>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</si>
  <si>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</si>
  <si>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</si>
  <si>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</si>
  <si>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</si>
  <si>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</si>
  <si>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</si>
  <si>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</si>
  <si>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</si>
  <si>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</si>
  <si>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</si>
  <si>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</si>
  <si>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</si>
  <si>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</si>
  <si>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</si>
  <si>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</si>
  <si>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</si>
  <si>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</si>
  <si>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</si>
  <si>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</si>
  <si>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</si>
  <si>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</si>
  <si>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</si>
  <si>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</si>
  <si>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</si>
  <si>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</si>
  <si>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</si>
  <si>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</si>
  <si>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</si>
  <si>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</si>
  <si>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</si>
  <si>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</si>
  <si>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</si>
  <si>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</si>
  <si>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</si>
  <si>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</si>
  <si>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</si>
  <si>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</si>
  <si>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</si>
  <si>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</si>
  <si>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</si>
  <si>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</si>
  <si>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</si>
  <si>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</si>
  <si>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</si>
  <si>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</si>
  <si>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</si>
  <si>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</si>
  <si>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</si>
  <si>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</si>
  <si>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</si>
  <si>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</si>
  <si>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</si>
  <si>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</si>
  <si>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</si>
  <si>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</si>
  <si>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</si>
  <si>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</si>
  <si>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</si>
  <si>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</si>
  <si>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</si>
  <si>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</si>
  <si>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</si>
  <si>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</si>
  <si>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</si>
  <si>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</si>
  <si>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</si>
  <si>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</si>
  <si>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</si>
  <si>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</si>
  <si>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</si>
  <si>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</si>
  <si>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</si>
  <si>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</si>
  <si>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</si>
  <si>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</si>
  <si>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</si>
  <si>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</si>
  <si>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</si>
  <si>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</si>
  <si>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</si>
  <si>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</si>
  <si>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</si>
  <si>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</si>
  <si>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</si>
  <si>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</si>
  <si>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</si>
  <si>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</si>
  <si>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</si>
  <si>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</si>
  <si>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</si>
  <si>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</si>
  <si>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</si>
  <si>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</si>
  <si>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</si>
  <si>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</si>
  <si>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</si>
  <si>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</si>
  <si>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</si>
  <si>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</si>
  <si>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</si>
  <si>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</si>
  <si>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</si>
  <si>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</si>
  <si>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</si>
  <si>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</si>
  <si>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</si>
  <si>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</si>
  <si>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</si>
  <si>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</si>
  <si>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</si>
  <si>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</si>
  <si>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</si>
  <si>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</si>
  <si>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</si>
  <si>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</si>
  <si>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</si>
  <si>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</si>
  <si>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</si>
  <si>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</si>
  <si>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</si>
  <si>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</si>
  <si>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</si>
  <si>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</si>
  <si>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</si>
  <si>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</si>
  <si>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</si>
  <si>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</si>
  <si>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</si>
  <si>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</si>
  <si>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</si>
  <si>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</si>
  <si>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</si>
  <si>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</si>
  <si>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</si>
  <si>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</si>
  <si>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</si>
  <si>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</si>
  <si>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</si>
  <si>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</si>
  <si>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</si>
  <si>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</si>
  <si>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</si>
  <si>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</si>
  <si>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</si>
  <si>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</si>
  <si>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</si>
  <si>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</si>
  <si>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</si>
  <si>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</si>
  <si>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</si>
  <si>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</si>
  <si>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</si>
  <si>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</si>
  <si>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</si>
  <si>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</si>
  <si>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</si>
  <si>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</si>
  <si>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</si>
  <si>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</si>
  <si>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</si>
  <si>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</si>
  <si>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</si>
  <si>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</si>
  <si>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</si>
  <si>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</si>
  <si>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</si>
  <si>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</si>
  <si>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</si>
  <si>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</si>
  <si>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</si>
  <si>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</si>
  <si>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</si>
  <si>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</si>
  <si>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</si>
  <si>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</si>
  <si>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</si>
  <si>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</si>
  <si>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</si>
  <si>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</si>
  <si>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</si>
  <si>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</si>
  <si>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</si>
  <si>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</si>
  <si>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</si>
  <si>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</si>
  <si>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</si>
  <si>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</si>
  <si>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</si>
  <si>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</si>
  <si>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</si>
  <si>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</si>
  <si>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</si>
  <si>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</si>
  <si>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</si>
  <si>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</si>
  <si>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</si>
  <si>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</si>
  <si>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</si>
  <si>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</si>
  <si>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</si>
  <si>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</si>
  <si>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</si>
  <si>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</si>
  <si>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</si>
  <si>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</si>
  <si>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</si>
  <si>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</si>
  <si>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</si>
  <si>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</si>
  <si>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</si>
  <si>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</si>
  <si>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</si>
  <si>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</si>
  <si>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</si>
  <si>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</si>
  <si>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</si>
  <si>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</si>
  <si>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</si>
  <si>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</si>
  <si>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</si>
  <si>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</si>
  <si>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</si>
  <si>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</si>
  <si>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</si>
  <si>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</si>
  <si>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</si>
  <si>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</si>
  <si>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</si>
  <si>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</si>
  <si>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</si>
  <si>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</si>
  <si>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</si>
  <si>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</si>
  <si>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</si>
  <si>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</si>
  <si>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</si>
  <si>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</si>
  <si>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</si>
  <si>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</si>
  <si>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</si>
  <si>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</si>
  <si>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</si>
  <si>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</si>
  <si>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</si>
  <si>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</si>
  <si>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</si>
  <si>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</si>
  <si>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</si>
  <si>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</si>
  <si>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</si>
  <si>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</si>
  <si>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</si>
  <si>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</si>
  <si>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</si>
  <si>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</si>
  <si>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</si>
  <si>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</si>
  <si>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</si>
  <si>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</si>
  <si>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</si>
  <si>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</si>
  <si>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</si>
  <si>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</si>
  <si>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</si>
  <si>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</si>
  <si>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</si>
  <si>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</si>
  <si>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</si>
  <si>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</si>
  <si>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</si>
  <si>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</si>
  <si>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</si>
  <si>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</si>
  <si>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</si>
  <si>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</si>
  <si>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</si>
  <si>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</si>
  <si>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</si>
  <si>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</si>
  <si>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</si>
  <si>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</si>
  <si>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</si>
  <si>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</si>
  <si>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</si>
  <si>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</si>
  <si>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</si>
  <si>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</si>
  <si>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</si>
  <si>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</si>
  <si>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</si>
  <si>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</si>
  <si>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</si>
  <si>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</si>
  <si>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</si>
  <si>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</si>
  <si>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</si>
  <si>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</si>
  <si>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</si>
  <si>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</si>
  <si>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</si>
  <si>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</si>
  <si>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</si>
  <si>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</si>
  <si>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</si>
  <si>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</si>
  <si>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</si>
  <si>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</si>
  <si>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</si>
  <si>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</si>
  <si>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</si>
  <si>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</si>
  <si>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</si>
  <si>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</si>
  <si>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</si>
  <si>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</si>
  <si>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</si>
  <si>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</si>
  <si>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</si>
  <si>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</si>
  <si>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</si>
  <si>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</si>
  <si>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</si>
  <si>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</si>
  <si>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</si>
  <si>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</si>
  <si>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</si>
  <si>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</si>
  <si>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</si>
  <si>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</si>
  <si>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</si>
  <si>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</si>
  <si>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</si>
  <si>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</si>
  <si>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</si>
  <si>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</si>
  <si>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</si>
  <si>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</si>
  <si>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</si>
  <si>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</si>
  <si>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</si>
  <si>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</si>
  <si>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</si>
  <si>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</si>
  <si>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</si>
  <si>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</si>
  <si>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</si>
  <si>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</si>
  <si>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</si>
  <si>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</si>
  <si>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</si>
  <si>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</si>
  <si>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</si>
  <si>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</si>
  <si>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</si>
  <si>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</si>
  <si>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</si>
  <si>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</si>
  <si>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</si>
  <si>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</si>
  <si>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</si>
  <si>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</si>
  <si>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</si>
  <si>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</si>
  <si>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</si>
  <si>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</si>
  <si>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</si>
  <si>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</si>
  <si>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</si>
  <si>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</si>
  <si>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</si>
  <si>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</si>
  <si>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</si>
  <si>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</si>
  <si>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</si>
  <si>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</si>
  <si>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</si>
  <si>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</si>
  <si>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</si>
  <si>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</si>
  <si>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</si>
  <si>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</si>
  <si>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</si>
  <si>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</si>
  <si>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</si>
  <si>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</si>
  <si>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</si>
  <si>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</si>
  <si>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</si>
  <si>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</si>
  <si>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</si>
  <si>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</si>
  <si>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</si>
  <si>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</si>
  <si>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</si>
  <si>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</si>
  <si>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</si>
  <si>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</si>
  <si>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</si>
  <si>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</si>
  <si>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</si>
  <si>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</si>
  <si>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</si>
  <si>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</si>
  <si>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</si>
  <si>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</si>
  <si>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</si>
  <si>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</si>
  <si>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</si>
  <si>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</si>
  <si>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</si>
  <si>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</si>
  <si>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</si>
  <si>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</si>
  <si>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</si>
  <si>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</si>
  <si>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</si>
  <si>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</si>
  <si>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</si>
  <si>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</si>
  <si>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</si>
  <si>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</si>
  <si>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</si>
  <si>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</si>
  <si>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</si>
  <si>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</si>
  <si>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</si>
  <si>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</si>
  <si>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</si>
  <si>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</si>
  <si>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</si>
  <si>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</si>
  <si>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</si>
  <si>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</si>
  <si>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</si>
  <si>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</si>
  <si>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</si>
  <si>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</si>
  <si>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</si>
  <si>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</si>
  <si>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</si>
  <si>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</si>
  <si>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</si>
  <si>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</si>
  <si>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</si>
  <si>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</si>
  <si>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</si>
  <si>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</si>
  <si>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</si>
  <si>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</si>
  <si>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</si>
  <si>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</si>
  <si>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</si>
  <si>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</si>
  <si>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</si>
  <si>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</si>
  <si>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</si>
  <si>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</si>
  <si>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</si>
  <si>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</si>
  <si>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</si>
  <si>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</si>
  <si>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</si>
  <si>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</si>
  <si>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</si>
  <si>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</si>
  <si>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</si>
  <si>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</si>
  <si>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</si>
  <si>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</si>
  <si>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</si>
  <si>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</si>
  <si>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</si>
  <si>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</si>
  <si>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</si>
  <si>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</si>
  <si>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</si>
  <si>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</si>
  <si>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</si>
  <si>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</si>
  <si>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</si>
  <si>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</si>
  <si>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</si>
  <si>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</si>
  <si>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</si>
  <si>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</si>
  <si>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</si>
  <si>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</si>
  <si>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</si>
  <si>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</si>
  <si>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</si>
  <si>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</si>
  <si>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</si>
  <si>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</si>
  <si>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</si>
  <si>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</si>
  <si>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</si>
  <si>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</si>
  <si>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</si>
  <si>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</si>
  <si>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</si>
  <si>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</si>
  <si>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</si>
  <si>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</si>
  <si>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</si>
  <si>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</si>
  <si>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</si>
  <si>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</si>
  <si>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</si>
  <si>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</si>
  <si>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</si>
  <si>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</si>
  <si>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</si>
  <si>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</si>
  <si>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</si>
  <si>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</si>
  <si>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</si>
  <si>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</si>
  <si>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</si>
  <si>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</si>
  <si>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</si>
  <si>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</si>
  <si>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</si>
  <si>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</si>
  <si>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</si>
  <si>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</si>
  <si>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</si>
  <si>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</si>
  <si>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</si>
  <si>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</si>
  <si>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</si>
  <si>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</si>
  <si>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</si>
  <si>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</si>
  <si>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</si>
  <si>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</si>
  <si>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</si>
  <si>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</si>
  <si>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</si>
  <si>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</si>
  <si>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</si>
  <si>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</si>
  <si>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</si>
  <si>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</si>
  <si>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</si>
  <si>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</si>
  <si>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</si>
  <si>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</si>
  <si>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</si>
  <si>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</si>
  <si>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</si>
  <si>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</si>
  <si>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</si>
  <si>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</si>
  <si>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</si>
  <si>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</si>
  <si>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</si>
  <si>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</si>
  <si>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</si>
  <si>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</si>
  <si>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VFM39a</t>
  </si>
  <si>
    <t>VFM39b</t>
  </si>
  <si>
    <t>Target adopted post tender via Q1 report to Cabinet</t>
  </si>
  <si>
    <t>Occupied Property Discounts – March 2020</t>
  </si>
  <si>
    <t xml:space="preserve">Empty Properties – October 2019
</t>
  </si>
  <si>
    <t>Quarter Two (2019/20)</t>
  </si>
  <si>
    <t>The report was presented at the Full Council meeting in September 2019. 
All of the recommendations of the report were approved and the agreement to fund the public realm project has been finalised.</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</si>
  <si>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</si>
  <si>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</si>
  <si>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</si>
  <si>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</si>
  <si>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</si>
  <si>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</si>
  <si>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</si>
  <si>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</si>
  <si>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</si>
  <si>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</si>
  <si>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</si>
  <si>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</si>
  <si>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</si>
  <si>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</si>
  <si>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</si>
  <si>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</si>
  <si>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</si>
  <si>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</si>
  <si>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</si>
  <si>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</si>
  <si>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</si>
  <si>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</si>
  <si>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</si>
  <si>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</si>
  <si>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</si>
  <si>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</si>
  <si>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</si>
  <si>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</si>
  <si>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</si>
  <si>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</si>
  <si>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</si>
  <si>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</si>
  <si>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</si>
  <si>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</si>
  <si>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</si>
  <si>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</si>
  <si>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</si>
  <si>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</si>
  <si>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</si>
  <si>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</si>
  <si>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</si>
  <si>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</si>
  <si>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</si>
  <si>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</si>
  <si>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</si>
  <si>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</si>
  <si>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</si>
  <si>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</si>
  <si>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</si>
  <si>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</si>
  <si>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</si>
  <si>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</si>
  <si>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</si>
  <si>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</si>
  <si>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</si>
  <si>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</si>
  <si>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</si>
  <si>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</si>
  <si>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</si>
  <si>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</si>
  <si>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Judging results received in Qtr 2 and Green Flag status reached for Bramshall. However, the combined Stapenhill Gardens + Washlands entry did not reach Green Flag standard. This was  because the ambitions of the Washlands project have yet to come into fruition. Judges identified that Stapenhill Gardens was worthy of Green Flag status if entered as a separate entry without the Washlands</t>
  </si>
  <si>
    <t>Consultants have identified the estimated costs for the Cemetery extension. Capital bid to be prepared for 2020/21.</t>
  </si>
  <si>
    <t>Government announced deferral of implementation date to April 2021.</t>
  </si>
  <si>
    <t>The necessary upgrade to UNIT 4 could potentially delay the delivery of this project depending on the upgrade timescales</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</si>
  <si>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</si>
  <si>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</si>
  <si>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</si>
  <si>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</si>
  <si>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</si>
  <si>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</si>
  <si>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</si>
  <si>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</si>
  <si>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</si>
  <si>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</si>
  <si>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</si>
  <si>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</si>
  <si>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</si>
  <si>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</si>
  <si>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</si>
  <si>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</si>
  <si>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</si>
  <si>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</si>
  <si>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</si>
  <si>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</si>
  <si>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</si>
  <si>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</si>
  <si>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</si>
  <si>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</si>
  <si>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</si>
  <si>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</si>
  <si>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</si>
  <si>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</si>
  <si>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</si>
  <si>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</si>
  <si>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</si>
  <si>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</si>
  <si>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</si>
  <si>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</si>
  <si>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</si>
  <si>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</si>
  <si>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</si>
  <si>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</si>
  <si>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</si>
  <si>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Ashley Baldwin</t>
  </si>
  <si>
    <t>Quarter Three (2019/20)</t>
  </si>
  <si>
    <t>The target was achieved in Quarter 2</t>
  </si>
  <si>
    <t>Administration Away Evening, Settlement Received late December</t>
  </si>
  <si>
    <t>Government has pushed back the implementation of these changes to April 2021.  Officers continue to monitor developments in this regard.</t>
  </si>
  <si>
    <t>In this quarter we organised two out reach dates with Coopers Square Shopping Centre and The Octagon Shopping Centre in order to promote ESBC events and venues.</t>
  </si>
  <si>
    <t>Pre April 2019 (previous years) charges raised since 01/04/2019 (current year) total £975k. If those charges had not been raised, the outstanding figure would be well within target.</t>
  </si>
  <si>
    <t>Reviews will be completed during Q4.</t>
  </si>
  <si>
    <t>5.31 days</t>
  </si>
  <si>
    <t>4.74 days</t>
  </si>
  <si>
    <t xml:space="preserve">Not yet due </t>
  </si>
  <si>
    <t>Proposed policy being taken to January CMT.</t>
  </si>
  <si>
    <t>Member briefing planned for 22nd January.</t>
  </si>
  <si>
    <t>Changes implemented as they arise, PSN confirmed to end in the near future but end date not formally agreed yet</t>
  </si>
  <si>
    <t>Aug - Nov - 0%</t>
  </si>
  <si>
    <t>ISO accreditation received in Oct-19</t>
  </si>
  <si>
    <t>Second report completed, reviewing the garden waste collection service.</t>
  </si>
  <si>
    <t>3.1 per 10,000</t>
  </si>
  <si>
    <t>3.06 per 10,000</t>
  </si>
  <si>
    <t>A Festive Food Festival, developed in conjunction with CJ's Events was held in the Market Place on Sunday 8th December, featuring a total of 22 speciality traders from across the region.</t>
  </si>
  <si>
    <t>Member training provided at Planning Committee</t>
  </si>
  <si>
    <t>Incorporated into the Authority Monitoring Report (Dec 2019)</t>
  </si>
  <si>
    <t>Uploaded to website December 2019.</t>
  </si>
  <si>
    <t>SPD adopted in December 2019</t>
  </si>
  <si>
    <t>SPD adopted in October 2019</t>
  </si>
  <si>
    <t>Continued support is being provided on the Washlands project</t>
  </si>
  <si>
    <t>40.38% - estimated as not all tonnage data received</t>
  </si>
  <si>
    <t>126.93kg - estimated as not all tonnage data received</t>
  </si>
  <si>
    <t>47.41% - estimated</t>
  </si>
  <si>
    <t>368.85kg - estimated</t>
  </si>
  <si>
    <t>This event will be reviewed with a view to further 'food events' taking place in the Market Hall.</t>
  </si>
  <si>
    <t>2 job fairs in total have been delivered.</t>
  </si>
  <si>
    <t>SCC are now consulting on the Local Cycling and Walking Infrastructure Plan in January 2020 and so the proposals for that will not be available until after that consultation process. As previous, ESBC will be feeding into the development of the plan.</t>
  </si>
  <si>
    <t>SCC has been engaged over the potential creation of a bus interchange. The County Council has been asked to provide an engineering view on whether a bus interchange will be feasible. It is likely that these works will be taken forwards under the Towns Fund partnership.</t>
  </si>
  <si>
    <t>Strategic partners continue to be engaged in the regeneration projects being taken forwards by the Council.</t>
  </si>
  <si>
    <t>A BID MoU was agreed between the Council and the Chamber of Commerce. With the development of the Towns Fund, works on implementing a BID may take place at a later stage.</t>
  </si>
  <si>
    <t>Wayfinding routes around the town centre have been proposed in line with the Public Realm Improvement Plan. These works may be implemented as part of the Towns Fund projects.</t>
  </si>
  <si>
    <t>6 commercial events held during Quarter 3</t>
  </si>
  <si>
    <t>Draft report started ready to go to the February CMT meeting.</t>
  </si>
  <si>
    <t>3 new projects now brought to completion and 5 existing projects now brought to completion.</t>
  </si>
  <si>
    <t>Planting Strategy approved and signed off by Deputy Leader for commencement in 2020/21</t>
  </si>
  <si>
    <t>See Quarter 2 comments</t>
  </si>
  <si>
    <t>Officers are carrying an audit of potential tourism attractions and capability within East Staffordshire.</t>
  </si>
  <si>
    <t>1.47 days</t>
  </si>
  <si>
    <t>66 initial decisions were taken in Q3 with an time of 1 day.</t>
  </si>
  <si>
    <t>6.4 days</t>
  </si>
  <si>
    <t>77 Applications - 68 within time - 88%</t>
  </si>
  <si>
    <t>133 Applications - 124 within time - 93%</t>
  </si>
  <si>
    <t>Validation Document sign off</t>
  </si>
  <si>
    <t>Completed in Quarter 2</t>
  </si>
  <si>
    <t>Delivered in Quarter 1.</t>
  </si>
  <si>
    <t>86% of milestones have been achieved or are on track to be achieved by Q4.</t>
  </si>
  <si>
    <t>Ongoing dialogue is now happening and best practice can be shared regarding operational elements of leisure contract arrangements between relevant local authority partners within the Staffordshire region.
PALS meeting scheduled for 7th April 2020 has been agreed as a workshop relating to contract management and outsourced arrangements. The Sport England facilities and leisure contract lead, has agreed to co-deliver this session including sharing their new Leisure Services Delivery Guidance.</t>
  </si>
  <si>
    <t xml:space="preserve">Benchmarking exercise completed in November 2019 considering operational elements of contract management and a review of available value for money and benchmarking information to establish our position and to inform future ongoing benchmarking exercises. 
Considering the information gathered using the various sources and models utilised within this document we have been able to establish a financial benchmark at the outset of that put in place with Everyone Active in 2019. As the contract with Everyone Active matures over future years in terms of the financial arrangement, the Council can now monitor Value for Money against relevant comparator authorities. Similarly the estimated participation levels published via Sport England’s Active Lives Survey can also now be monitored as the survey period for future research will capture responses made within the Contract term with Everyone Active. </t>
  </si>
  <si>
    <t xml:space="preserve">A detailed Procurement Spend Analysis was presented to the relevant officers and Members in December 2019. The majority of transactions are undertaken under contracted arrangements, and options for further consolidation identified. 
</t>
  </si>
  <si>
    <t xml:space="preserve">Final review of the relevant sport and leisure strategy documents will be completed in Quarter 4 with a view to setting the basis for market testing preparations in the next financial year and the associated determination of costs. </t>
  </si>
  <si>
    <t>Licensing committee approved the policy on 7th January 2020 it is to be presented to full council on 24th Feb 2020 for approval and adoption</t>
  </si>
  <si>
    <t xml:space="preserve">Savings targets built into MTFS anticipated to be achieved.  Other pressures highlighted as risks within the MTFS have arisen during the year. </t>
  </si>
  <si>
    <t>Contract Awarded to CW Audit Services following evaluation of the bids submitted.</t>
  </si>
  <si>
    <t xml:space="preserve">The necessary upgrade to Unit 4 has delayed the delivery of this project. 
The project team has agreed the technical approach required to progress this piece of work as necessary, however continues to wait for the Council's 3rd party finance / payment software provider to implement a necessary upgrade and provide further documentation that the Council needs in order to move this project to completion. 
The current range of service and payment mechanisms continue to be in place.  </t>
  </si>
  <si>
    <t>Update provided to Members in the Member Briefing Document in October</t>
  </si>
  <si>
    <t>Draft reporting template is in the process of being created for dynamics</t>
  </si>
  <si>
    <t>Comments and observations from officers have been collated and combined into a single document for recommended changes to the GM contract and other associated areas</t>
  </si>
  <si>
    <t xml:space="preserve">Quarterly performance reports will continue to be circulated to members. </t>
  </si>
  <si>
    <t>Second update report to be provided in Q4.</t>
  </si>
  <si>
    <t>Report completed and approved by Cabinet in November</t>
  </si>
  <si>
    <t>CMT report presented and approved by Cabinet in December</t>
  </si>
  <si>
    <t>Design SPD Appendices amended October 2019 and Separation Distances and Amenity SPD amended October 2019.</t>
  </si>
  <si>
    <t>Internal project undertaken to improve guidance in relation to brewery buildings. This will need to be reviewed in order to give planning status.</t>
  </si>
  <si>
    <t>Achieved Q2.</t>
  </si>
  <si>
    <t>See Q2</t>
  </si>
  <si>
    <t>MHCLG Major applications July - Sept 2019: Top Quartile = 97%</t>
  </si>
  <si>
    <t>MHCLG Major applications July - Sept 2019: Top Quartile = 93%</t>
  </si>
  <si>
    <t>MHCLG Major applications July - Sept 2019: Top Quartile = 96%</t>
  </si>
  <si>
    <t>In October 2019, Cabinet approved the use of S106 commuted sums for the Burton Rugby Club site at Peelcroft. Since then, the Rugby Club have identified an alternative use for the site and so that funding is being reallocated to other brownfield sites being used for affordable housing. The Molson Coors site continues to progress slowly.</t>
  </si>
  <si>
    <t>The external report detailing the findings of the quantitative survey conducted during 2019 is currently in draft status. A report will be taken to Cabinet in March providing an overview of its findings</t>
  </si>
  <si>
    <t>API linked submission now operating by Statutory Deadline. Now working towards secondary deadline of October 2020 for full digital links.</t>
  </si>
  <si>
    <t>This quarter we partnered with two specialist markets and events providers to host two festive markets in the town centre.</t>
  </si>
  <si>
    <t>Work is continuing on a review of the service delivery model and will form the basis of a future report.</t>
  </si>
  <si>
    <t>The average fro Q3 across 6 key to key occurrences is 2.5 days.</t>
  </si>
  <si>
    <t xml:space="preserve">50 Properties have been written to and information is being obtained to consider further action/investigation where required. 2 applications have been submitted which are being processed for a licence. 10 properties per week are being written to on receipt of data being provided by Council Tax. </t>
  </si>
  <si>
    <t>9 Applications - 8 within time - 89%
This equates to 2 applications being outside the target</t>
  </si>
  <si>
    <t>This target has already been deferred once and is dependent on Molson Coors providing the development guidance. It has still not been provided, so it is proposed that this is deleted. It will be considered in due course, when the development guidance has been prepared.</t>
  </si>
  <si>
    <t>Target to be deferred to 2021 as per EDR165/20</t>
  </si>
  <si>
    <t xml:space="preserve">VALUE FOR MONEY COUNCIL </t>
  </si>
  <si>
    <t>We were due to have other events in for March but we had cancellations because of the COVID-19 epidemic. We would have fully achieved our target if it wasn't for this.</t>
  </si>
  <si>
    <t>MTFS Approved by full Council in February 2020</t>
  </si>
  <si>
    <t>Phase one has been achieved and phase 2 was recently (late March 2020) pushed back to April 2021.</t>
  </si>
  <si>
    <t>Following the announcement of the Stronger Towns Fund and other external factors approval was given to defer this target.</t>
  </si>
  <si>
    <t>The external report setting out findings from a quantitative survey was completed in January and a summary of its findings was presented to Members in February and March.</t>
  </si>
  <si>
    <t>The Council has continued to be a partner to the Burton upon Trent Railway Steering Group and are working with the group to deliver improvements to the station platform, after contributing towards the improvements on the forecourt.</t>
  </si>
  <si>
    <t>During 2019/20, key partners have been involved in the development of the emerging environmental enhancement projects, including Brook Hollows Restoration Project and the Washlands Enhancement Project. The Council has supported the TTTV in their wider programme of enhancement projects across the Washlands and other areas.</t>
  </si>
  <si>
    <t>The second phase of FHSF wasn't open to further applications for funding, but was instead an additional list of towns selected from the phase one applications. As Burton was selected to access up to £25m from the Towns Fund instead, we are now applying our learning from the FHSF to the development of the Town Investment Plan for the Towns Fund.</t>
  </si>
  <si>
    <t>A plan is being developed for 2020/21 events at the Market Hall and Place.</t>
  </si>
  <si>
    <t>Second update report approved at March cabinet.</t>
  </si>
  <si>
    <t>2.3 per 10,000</t>
  </si>
  <si>
    <t>2.9 per 10,000</t>
  </si>
  <si>
    <t>Equates to a total of 1,166 missed bins from approximately 3.8M collections</t>
  </si>
  <si>
    <t>9 days</t>
  </si>
  <si>
    <t>Report sent to Defra detailing the number of licences in force and the level of fee charged for licences</t>
  </si>
  <si>
    <t xml:space="preserve">50 letters sent out to suspected HMOs. This target has been incorporated in to 2020/21 due to outstanding HMOs that require further investigation. </t>
  </si>
  <si>
    <t>2.98 days</t>
  </si>
  <si>
    <t>Incorporated in the Authority Monitoring Report</t>
  </si>
  <si>
    <t>Authority Monitoring Report published Dec-19</t>
  </si>
  <si>
    <t>Report presented to LDL Mar 20</t>
  </si>
  <si>
    <t>SPD adopted in Dec-19</t>
  </si>
  <si>
    <t>SPD adopted in Dec 19</t>
  </si>
  <si>
    <t>SPD adopted in Oct 19</t>
  </si>
  <si>
    <t>Review report completed and taken through report process</t>
  </si>
  <si>
    <t>7 Applications all within time - 100%</t>
  </si>
  <si>
    <t>54 Applications - 49 within time = 91%</t>
  </si>
  <si>
    <t>147 Applications - 142 within time = 97%</t>
  </si>
  <si>
    <t>94% (Top Quartile 97%)</t>
  </si>
  <si>
    <t>92% (Top Quartile 97%</t>
  </si>
  <si>
    <t>97% (Top Quartile 96%)</t>
  </si>
  <si>
    <t>35.5% (estimated as not all tonnages received)</t>
  </si>
  <si>
    <t>123.02kg (estimated as not all tonnage received)</t>
  </si>
  <si>
    <t>45.28% (estimated as not all data received)</t>
  </si>
  <si>
    <t>485kg (estimated as not all data received)</t>
  </si>
  <si>
    <t>The current contract has been reviewed and recommendations made for addition or removal once re-tendered in 2020/21. Officers are now working on a revised specification for use in the procurement process.</t>
  </si>
  <si>
    <t>Officers continue to work with strategic partners and are now examining infrastructure linkages to tourist attractions in East Staffordshire and further afield.</t>
  </si>
  <si>
    <t>48 initial decisions were taken in Q4 with an average time of 1 day.</t>
  </si>
  <si>
    <t>The average for Q4 across 5 key to key occurrences is 4.2 days. One occurrence took place following the lock down, which increased the time taken.</t>
  </si>
  <si>
    <t>85% of 2019/2020 milestones achieved.</t>
  </si>
  <si>
    <t>The contractor has shut down the site as part of its response to the COVID-19 pandemic. The works will be completed once the contractor resumes normal operations</t>
  </si>
  <si>
    <t xml:space="preserve">Detailed report on the performance of the Leisure Services contractor (Everyone Active) covering Quarter 2 was presented to CMT, LDL, LAG, LOAG, IAAG and AVFM Scrutiny Committee during November / December 2019 in line with the target. </t>
  </si>
  <si>
    <t>Detailed report on the performance of the Leisure Services contractor (Everyone Active) covering Quarter 3 was presented to CMT, LDL, LAG, LOAG, IAAG during February / March 2020.</t>
  </si>
  <si>
    <t xml:space="preserve">Review of the relevant sport and leisure strategy documents completed in Quarter 4 setting the basis for market testing preparations in the next financial year and the associated determination of costs. </t>
  </si>
  <si>
    <t>Target is annual.                   To be confirmed once final accounts have been completed.</t>
  </si>
  <si>
    <t>Figures as at 24/03/2020 when CSC was closed due to Covid 19 lockdown</t>
  </si>
  <si>
    <t>4.14 days</t>
  </si>
  <si>
    <t>4.58 days</t>
  </si>
  <si>
    <t>The use of Direct Earnings Attachments has made a positive impact on our recovery of HBOPs. During this year we have also implemented HBOP recovery via UC.</t>
  </si>
  <si>
    <t>Completed March 2020</t>
  </si>
  <si>
    <t>Completed as part of County-wide Discount reviews contract implemented during 2019.</t>
  </si>
  <si>
    <t>The necessary upgrade to Unit 4 has delayed the delivery of this project. 
Following the upgrade to Unit 4 it was determined that consultancy support was required to securely configure the environment to allow the project to move towards completion.  
Additional work to progress the project has been undertaken including the development of the back office environment to ensure new service requests can integrate with current processes.
The current range of service and payment mechanisms continue to be in place.</t>
  </si>
  <si>
    <t>The LCWIP was made available to the Council at the end of March, completing the initial audit of the walking and cycling network around Burton. The Council will continue to engage SCC during Q1 of 2020/21 to provide any further comments and feedback as appropriate.</t>
  </si>
  <si>
    <t>The Council continues to work with the Campaign to Reopen the Ivanhoe Line group and wider partnership to commission an appropriate study of this rail link. This continues to receive local and regional press coverage.</t>
  </si>
  <si>
    <t>Officers have been monitoring developments in this regard.  There is expectation of further consultations during Spring 2020, although this may be delayed due to the COVID-19 pandemic.</t>
  </si>
  <si>
    <t>Design SPD Appendices amended October 2019 and Separations Distances and Amenity SPD amended October 2019.</t>
  </si>
  <si>
    <t>Review of internal project complete. SPD behind developed for period 2020/ 2021</t>
  </si>
  <si>
    <t>By end of March all 7 existing projects brought to completion and 7 new projects brought to completion</t>
  </si>
  <si>
    <t>Savings achieved with a small underspend</t>
  </si>
  <si>
    <t>This figure is provisional, and will be confirmed once the final accounts have been completed. The figure is net of credits, balances that are being paid by arrangement, and amounts identified for write off. During 2019/20 a total of £1,005,015 arrears have been generated from new assessments made by the Valuation Office Agency. Had those assessments not been necessary, this target would have been achieved.</t>
  </si>
  <si>
    <t>This figure is net of balances on arrangement, amounts identified for write off , and balances where legal action is being taken to recover the debt.</t>
  </si>
  <si>
    <t xml:space="preserve">This figure is provisional, and will be confirmed once the final accounts have been completed. The figure is net of credits, balances that are being paid by arrangement (e.g. with the Council, or Enforcement Agents, or via attachments to earnings or benefits), and amounts identified for write off. </t>
  </si>
  <si>
    <t>End of Year 2019/20</t>
  </si>
  <si>
    <t>Fully achieved in Quarter 3</t>
  </si>
  <si>
    <t>3 Commercial events in Qtr 4</t>
  </si>
  <si>
    <t>A further job fair was delivered in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</si>
</sst>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FF0000"/>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459">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1"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31" fillId="16" borderId="0" xfId="0" applyFont="1" applyFill="1"/>
    <xf numFmtId="0" fontId="26" fillId="16" borderId="0" xfId="0" applyFont="1" applyFill="1"/>
    <xf numFmtId="9" fontId="26" fillId="16" borderId="0" xfId="0" applyNumberFormat="1" applyFont="1" applyFill="1"/>
    <xf numFmtId="0" fontId="28" fillId="16" borderId="0" xfId="1" applyFont="1" applyFill="1" applyBorder="1" applyAlignment="1" applyProtection="1">
      <alignment horizontal="left"/>
    </xf>
    <xf numFmtId="0" fontId="1" fillId="16" borderId="0" xfId="0" applyFont="1" applyFill="1"/>
    <xf numFmtId="0" fontId="18" fillId="16" borderId="0" xfId="0" applyFont="1" applyFill="1"/>
    <xf numFmtId="0" fontId="28"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0" fillId="16" borderId="0" xfId="0" applyFont="1" applyFill="1" applyBorder="1"/>
    <xf numFmtId="0" fontId="29" fillId="16" borderId="0" xfId="0" applyFont="1" applyFill="1"/>
    <xf numFmtId="0" fontId="32" fillId="16" borderId="0" xfId="0" applyFont="1" applyFill="1"/>
    <xf numFmtId="9" fontId="19" fillId="16" borderId="0" xfId="0" applyNumberFormat="1" applyFont="1" applyFill="1"/>
    <xf numFmtId="0" fontId="19" fillId="16" borderId="0" xfId="0" applyFont="1" applyFill="1" applyBorder="1"/>
    <xf numFmtId="9" fontId="33" fillId="16" borderId="7" xfId="0" applyNumberFormat="1" applyFont="1" applyFill="1" applyBorder="1" applyAlignment="1">
      <alignment horizontal="center"/>
    </xf>
    <xf numFmtId="0" fontId="33" fillId="16" borderId="7" xfId="0" applyFont="1" applyFill="1" applyBorder="1"/>
    <xf numFmtId="10" fontId="19" fillId="16" borderId="7" xfId="0" applyNumberFormat="1" applyFont="1" applyFill="1" applyBorder="1" applyAlignment="1">
      <alignment horizontal="center" vertical="center"/>
    </xf>
    <xf numFmtId="9" fontId="33" fillId="16" borderId="0" xfId="0" applyNumberFormat="1" applyFont="1" applyFill="1" applyBorder="1" applyAlignment="1">
      <alignment horizontal="center"/>
    </xf>
    <xf numFmtId="0" fontId="34"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3" fillId="16" borderId="0" xfId="0" applyNumberFormat="1" applyFont="1" applyFill="1"/>
    <xf numFmtId="0" fontId="33"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5" fillId="8" borderId="0" xfId="1" applyFont="1" applyFill="1" applyBorder="1" applyAlignment="1" applyProtection="1">
      <alignment horizontal="center" vertical="center"/>
    </xf>
    <xf numFmtId="9" fontId="0" fillId="8" borderId="0" xfId="0" applyNumberFormat="1" applyFill="1" applyAlignment="1">
      <alignment vertical="center"/>
    </xf>
    <xf numFmtId="0" fontId="38" fillId="8" borderId="36" xfId="0" applyFont="1" applyFill="1" applyBorder="1" applyAlignment="1">
      <alignment horizontal="center" vertical="center" wrapText="1"/>
    </xf>
    <xf numFmtId="9" fontId="38" fillId="8" borderId="36" xfId="0" applyNumberFormat="1" applyFont="1" applyFill="1" applyBorder="1" applyAlignment="1">
      <alignment horizontal="center" vertical="center" wrapText="1"/>
    </xf>
    <xf numFmtId="0" fontId="38" fillId="8" borderId="37" xfId="0" applyFont="1" applyFill="1" applyBorder="1" applyAlignment="1">
      <alignment horizontal="center" vertical="center" wrapText="1"/>
    </xf>
    <xf numFmtId="10" fontId="38" fillId="8" borderId="38"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39"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0"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39" fillId="8" borderId="41" xfId="0" applyFont="1" applyFill="1" applyBorder="1" applyAlignment="1">
      <alignment horizontal="right" vertical="center" wrapText="1"/>
    </xf>
    <xf numFmtId="0" fontId="40" fillId="8" borderId="36" xfId="0" applyFont="1" applyFill="1" applyBorder="1" applyAlignment="1">
      <alignment horizontal="center" vertical="center" wrapText="1"/>
    </xf>
    <xf numFmtId="10" fontId="38" fillId="8" borderId="36" xfId="0" applyNumberFormat="1" applyFont="1" applyFill="1" applyBorder="1" applyAlignment="1">
      <alignment horizontal="center" vertical="center" wrapText="1"/>
    </xf>
    <xf numFmtId="0" fontId="40" fillId="8" borderId="37" xfId="0" applyFont="1" applyFill="1" applyBorder="1" applyAlignment="1">
      <alignment horizontal="center" vertical="center" wrapText="1"/>
    </xf>
    <xf numFmtId="0" fontId="12" fillId="0" borderId="0" xfId="0" applyFont="1" applyAlignment="1">
      <alignment vertical="center"/>
    </xf>
    <xf numFmtId="0" fontId="17" fillId="7" borderId="39" xfId="0" applyFont="1" applyFill="1" applyBorder="1" applyAlignment="1">
      <alignment horizontal="left" vertical="center" wrapText="1"/>
    </xf>
    <xf numFmtId="0" fontId="38" fillId="7" borderId="0" xfId="0" applyFont="1" applyFill="1" applyBorder="1" applyAlignment="1">
      <alignment vertical="center" wrapText="1"/>
    </xf>
    <xf numFmtId="10" fontId="38" fillId="7" borderId="0" xfId="0" applyNumberFormat="1" applyFont="1" applyFill="1" applyBorder="1" applyAlignment="1">
      <alignment vertical="center" wrapText="1"/>
    </xf>
    <xf numFmtId="10" fontId="38" fillId="7" borderId="40" xfId="0" applyNumberFormat="1" applyFont="1" applyFill="1" applyBorder="1" applyAlignment="1">
      <alignment vertical="center" wrapText="1"/>
    </xf>
    <xf numFmtId="1" fontId="40" fillId="8" borderId="42" xfId="0" applyNumberFormat="1" applyFont="1" applyFill="1" applyBorder="1" applyAlignment="1">
      <alignment horizontal="center" vertical="center" wrapText="1"/>
    </xf>
    <xf numFmtId="9" fontId="0" fillId="0" borderId="0" xfId="0" applyNumberFormat="1" applyAlignment="1">
      <alignment vertical="center"/>
    </xf>
    <xf numFmtId="0" fontId="38" fillId="8" borderId="44" xfId="0" applyFont="1" applyFill="1" applyBorder="1" applyAlignment="1">
      <alignment horizontal="center" vertical="center" wrapText="1"/>
    </xf>
    <xf numFmtId="10" fontId="38" fillId="8" borderId="44"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10" fontId="38" fillId="8" borderId="45" xfId="0" applyNumberFormat="1" applyFont="1" applyFill="1" applyBorder="1" applyAlignment="1">
      <alignment horizontal="center" vertical="center" wrapText="1"/>
    </xf>
    <xf numFmtId="0" fontId="7" fillId="18" borderId="46" xfId="0" applyFont="1" applyFill="1" applyBorder="1" applyAlignment="1">
      <alignment vertical="center" wrapText="1"/>
    </xf>
    <xf numFmtId="0" fontId="2" fillId="0" borderId="46" xfId="0"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0" fontId="2" fillId="0" borderId="46" xfId="0" applyNumberFormat="1" applyFont="1" applyFill="1" applyBorder="1" applyAlignment="1">
      <alignment vertical="center" wrapText="1"/>
    </xf>
    <xf numFmtId="0" fontId="7" fillId="12" borderId="46" xfId="0" applyFont="1" applyFill="1" applyBorder="1" applyAlignment="1">
      <alignment vertical="center" wrapText="1"/>
    </xf>
    <xf numFmtId="10" fontId="2" fillId="0" borderId="46" xfId="0" applyNumberFormat="1" applyFont="1" applyFill="1" applyBorder="1" applyAlignment="1">
      <alignment horizontal="center" vertical="center"/>
    </xf>
    <xf numFmtId="10" fontId="15" fillId="8" borderId="46" xfId="0" applyNumberFormat="1" applyFont="1" applyFill="1" applyBorder="1" applyAlignment="1">
      <alignment horizontal="center" vertical="center"/>
    </xf>
    <xf numFmtId="0" fontId="7" fillId="0" borderId="46" xfId="0" applyFont="1" applyFill="1" applyBorder="1" applyAlignment="1">
      <alignment vertical="center" wrapText="1"/>
    </xf>
    <xf numFmtId="0" fontId="15" fillId="8" borderId="46" xfId="0" applyFont="1" applyFill="1" applyBorder="1" applyAlignment="1">
      <alignment vertical="center" wrapText="1"/>
    </xf>
    <xf numFmtId="0" fontId="25" fillId="8" borderId="46" xfId="0" applyFont="1" applyFill="1" applyBorder="1" applyAlignment="1">
      <alignment vertical="center" wrapText="1"/>
    </xf>
    <xf numFmtId="0" fontId="2" fillId="8" borderId="46" xfId="0" applyFont="1" applyFill="1" applyBorder="1" applyAlignment="1">
      <alignment horizontal="center" vertical="center"/>
    </xf>
    <xf numFmtId="0" fontId="5" fillId="15" borderId="46" xfId="0" applyFont="1" applyFill="1" applyBorder="1" applyAlignment="1">
      <alignment vertical="center" wrapText="1"/>
    </xf>
    <xf numFmtId="0" fontId="15" fillId="15" borderId="46" xfId="0" applyFont="1" applyFill="1" applyBorder="1" applyAlignment="1">
      <alignment horizontal="center" vertical="center"/>
    </xf>
    <xf numFmtId="0" fontId="15" fillId="15" borderId="46" xfId="0" applyFont="1" applyFill="1" applyBorder="1" applyAlignment="1">
      <alignment vertical="center"/>
    </xf>
    <xf numFmtId="0" fontId="7" fillId="10" borderId="46" xfId="0" applyFont="1" applyFill="1" applyBorder="1" applyAlignment="1">
      <alignment vertical="center" wrapText="1"/>
    </xf>
    <xf numFmtId="0" fontId="7" fillId="10" borderId="46"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6"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39" fillId="0" borderId="43" xfId="0" applyFont="1" applyFill="1" applyBorder="1" applyAlignment="1">
      <alignment horizontal="right" vertical="center" wrapText="1"/>
    </xf>
    <xf numFmtId="0" fontId="40" fillId="0" borderId="36" xfId="0" applyFont="1" applyFill="1" applyBorder="1" applyAlignment="1">
      <alignment horizontal="center" vertical="center" wrapText="1"/>
    </xf>
    <xf numFmtId="10" fontId="38" fillId="0" borderId="36" xfId="0" applyNumberFormat="1" applyFont="1" applyFill="1" applyBorder="1" applyAlignment="1">
      <alignment horizontal="center" vertical="center" wrapText="1"/>
    </xf>
    <xf numFmtId="1" fontId="40" fillId="0" borderId="42" xfId="0" applyNumberFormat="1" applyFont="1" applyFill="1" applyBorder="1" applyAlignment="1">
      <alignment horizontal="center" vertical="center" wrapText="1"/>
    </xf>
    <xf numFmtId="10" fontId="38" fillId="0" borderId="38" xfId="0" applyNumberFormat="1" applyFont="1" applyFill="1" applyBorder="1" applyAlignment="1">
      <alignment horizontal="center" vertical="center" wrapText="1"/>
    </xf>
    <xf numFmtId="0" fontId="40" fillId="0" borderId="45" xfId="0" applyFont="1" applyFill="1" applyBorder="1" applyAlignment="1">
      <alignment horizontal="center" vertical="center" wrapText="1"/>
    </xf>
    <xf numFmtId="10" fontId="38" fillId="0" borderId="45" xfId="0" applyNumberFormat="1" applyFont="1" applyFill="1" applyBorder="1" applyAlignment="1">
      <alignment horizontal="center" vertical="center" wrapText="1"/>
    </xf>
    <xf numFmtId="0" fontId="40" fillId="0" borderId="42" xfId="0" applyFont="1" applyFill="1" applyBorder="1" applyAlignment="1">
      <alignment horizontal="center" vertical="center" wrapText="1"/>
    </xf>
    <xf numFmtId="0" fontId="26" fillId="19" borderId="0" xfId="0" applyFont="1" applyFill="1"/>
    <xf numFmtId="0" fontId="1" fillId="19" borderId="0" xfId="0" applyFont="1" applyFill="1"/>
    <xf numFmtId="0" fontId="18" fillId="19" borderId="0" xfId="0" applyFont="1" applyFill="1"/>
    <xf numFmtId="0" fontId="28"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29" fillId="19" borderId="0" xfId="0" applyFont="1" applyFill="1"/>
    <xf numFmtId="0" fontId="41" fillId="19" borderId="0" xfId="0" applyFont="1" applyFill="1"/>
    <xf numFmtId="0" fontId="12" fillId="19" borderId="0" xfId="0" applyFont="1" applyFill="1"/>
    <xf numFmtId="0" fontId="32" fillId="19" borderId="0" xfId="0" applyFont="1" applyFill="1"/>
    <xf numFmtId="0" fontId="19" fillId="19" borderId="0" xfId="0" applyFont="1" applyFill="1"/>
    <xf numFmtId="0" fontId="19" fillId="19" borderId="0" xfId="0" applyFont="1" applyFill="1" applyBorder="1"/>
    <xf numFmtId="0" fontId="33" fillId="19" borderId="7" xfId="0" applyFont="1" applyFill="1" applyBorder="1" applyAlignment="1">
      <alignment horizontal="center"/>
    </xf>
    <xf numFmtId="0" fontId="33" fillId="19" borderId="7" xfId="0" applyFont="1" applyFill="1" applyBorder="1"/>
    <xf numFmtId="10" fontId="19" fillId="19" borderId="7" xfId="0" applyNumberFormat="1" applyFont="1" applyFill="1" applyBorder="1" applyAlignment="1">
      <alignment horizontal="center" vertical="center"/>
    </xf>
    <xf numFmtId="0" fontId="33" fillId="19" borderId="0" xfId="0" applyFont="1" applyFill="1" applyBorder="1" applyAlignment="1">
      <alignment horizontal="center"/>
    </xf>
    <xf numFmtId="0" fontId="34" fillId="19" borderId="0" xfId="0" applyFont="1" applyFill="1" applyBorder="1"/>
    <xf numFmtId="10" fontId="19" fillId="19" borderId="0" xfId="0" applyNumberFormat="1" applyFont="1" applyFill="1" applyBorder="1" applyAlignment="1">
      <alignment horizontal="center" vertical="center"/>
    </xf>
    <xf numFmtId="0" fontId="33" fillId="19" borderId="0" xfId="0" applyFont="1" applyFill="1"/>
    <xf numFmtId="0" fontId="33" fillId="19" borderId="0" xfId="0" applyFont="1" applyFill="1" applyBorder="1"/>
    <xf numFmtId="0" fontId="12" fillId="19" borderId="0" xfId="0" applyFont="1" applyFill="1" applyBorder="1"/>
    <xf numFmtId="0" fontId="1" fillId="19" borderId="0" xfId="0" applyFont="1" applyFill="1" applyBorder="1"/>
    <xf numFmtId="0" fontId="32" fillId="19" borderId="0" xfId="0" applyFont="1" applyFill="1" applyBorder="1"/>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52"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52"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50"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7" borderId="50" xfId="0" applyNumberFormat="1" applyFont="1" applyFill="1" applyBorder="1" applyAlignment="1" applyProtection="1">
      <alignment horizontal="center" vertical="center" wrapText="1"/>
    </xf>
    <xf numFmtId="0" fontId="55" fillId="0" borderId="53"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7" fillId="8"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22" borderId="50" xfId="0" applyNumberFormat="1" applyFont="1" applyFill="1" applyBorder="1" applyAlignment="1" applyProtection="1">
      <alignment horizontal="center" vertical="center" wrapText="1"/>
    </xf>
    <xf numFmtId="17" fontId="48" fillId="22" borderId="51" xfId="0" applyNumberFormat="1" applyFont="1" applyFill="1" applyBorder="1" applyAlignment="1" applyProtection="1">
      <alignment horizontal="center" vertical="center" wrapText="1"/>
    </xf>
    <xf numFmtId="17" fontId="48" fillId="22" borderId="7" xfId="0" applyNumberFormat="1" applyFont="1" applyFill="1" applyBorder="1" applyAlignment="1" applyProtection="1">
      <alignment horizontal="center" vertical="center" wrapText="1"/>
    </xf>
    <xf numFmtId="0" fontId="58" fillId="20" borderId="50" xfId="0" applyFont="1" applyFill="1" applyBorder="1" applyAlignment="1" applyProtection="1">
      <alignment horizontal="left" vertical="center" wrapText="1"/>
    </xf>
    <xf numFmtId="0" fontId="59" fillId="21" borderId="7" xfId="0" applyFont="1" applyFill="1" applyBorder="1" applyAlignment="1" applyProtection="1">
      <alignment horizontal="left" vertical="center" wrapText="1"/>
    </xf>
    <xf numFmtId="0" fontId="59" fillId="21" borderId="50" xfId="0" applyFont="1" applyFill="1" applyBorder="1" applyAlignment="1" applyProtection="1">
      <alignment horizontal="left" vertical="center" wrapText="1"/>
    </xf>
    <xf numFmtId="0" fontId="49" fillId="8" borderId="50" xfId="0" applyFont="1" applyFill="1" applyBorder="1" applyAlignment="1" applyProtection="1">
      <alignment horizontal="center" vertical="center" wrapText="1"/>
    </xf>
    <xf numFmtId="0" fontId="50" fillId="8" borderId="50"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60" fillId="0" borderId="0" xfId="0" applyFont="1" applyFill="1"/>
    <xf numFmtId="0" fontId="24" fillId="8" borderId="0" xfId="1" applyFill="1" applyAlignment="1" applyProtection="1"/>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5" xfId="0" applyNumberFormat="1" applyFont="1" applyFill="1" applyBorder="1" applyAlignment="1" applyProtection="1">
      <alignment horizontal="left" vertical="center" wrapText="1" indent="1"/>
    </xf>
    <xf numFmtId="17" fontId="14" fillId="8" borderId="54"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5" xfId="0" applyNumberFormat="1" applyFont="1" applyFill="1" applyBorder="1" applyAlignment="1" applyProtection="1">
      <alignment horizontal="left" vertical="center" wrapText="1" indent="1"/>
    </xf>
    <xf numFmtId="17" fontId="15" fillId="8" borderId="54"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5" xfId="0" applyFont="1" applyFill="1" applyBorder="1" applyAlignment="1" applyProtection="1">
      <alignment horizontal="left" vertical="center" wrapText="1" indent="1"/>
    </xf>
    <xf numFmtId="0" fontId="14" fillId="8" borderId="54"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5" xfId="0" applyFont="1" applyFill="1" applyBorder="1" applyAlignment="1" applyProtection="1">
      <alignment horizontal="left" vertical="center" wrapText="1" indent="1"/>
    </xf>
    <xf numFmtId="0" fontId="16" fillId="8" borderId="54"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5" xfId="0" applyFont="1" applyFill="1" applyBorder="1" applyAlignment="1" applyProtection="1">
      <alignment horizontal="left" vertical="center" wrapText="1" indent="1"/>
    </xf>
    <xf numFmtId="0" fontId="15" fillId="8" borderId="54"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5"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9" fontId="15" fillId="8" borderId="5" xfId="0" applyNumberFormat="1" applyFont="1" applyFill="1" applyBorder="1" applyAlignment="1" applyProtection="1">
      <alignment horizontal="left" vertical="center" wrapText="1" indent="1"/>
    </xf>
    <xf numFmtId="17" fontId="24" fillId="8" borderId="55" xfId="1" applyNumberFormat="1" applyFill="1" applyBorder="1" applyAlignment="1" applyProtection="1">
      <alignment horizontal="left" vertical="center" wrapText="1" indent="1"/>
    </xf>
    <xf numFmtId="10" fontId="14" fillId="8" borderId="54" xfId="0" applyNumberFormat="1" applyFont="1" applyFill="1" applyBorder="1" applyAlignment="1" applyProtection="1">
      <alignment horizontal="left" vertical="center" wrapText="1" indent="1"/>
    </xf>
    <xf numFmtId="8" fontId="14" fillId="8" borderId="54" xfId="0" applyNumberFormat="1" applyFont="1" applyFill="1" applyBorder="1" applyAlignment="1" applyProtection="1">
      <alignment horizontal="left" vertical="center" wrapText="1" indent="1"/>
    </xf>
    <xf numFmtId="9" fontId="14" fillId="8" borderId="54" xfId="0" applyNumberFormat="1" applyFont="1" applyFill="1" applyBorder="1" applyAlignment="1" applyProtection="1">
      <alignment horizontal="left" vertical="center" wrapText="1" indent="1"/>
    </xf>
    <xf numFmtId="1" fontId="15" fillId="8" borderId="5" xfId="0" applyNumberFormat="1" applyFont="1" applyFill="1" applyBorder="1" applyAlignment="1" applyProtection="1">
      <alignment horizontal="left" vertical="center" wrapText="1" indent="1"/>
    </xf>
    <xf numFmtId="1" fontId="15" fillId="8" borderId="54" xfId="0" applyNumberFormat="1" applyFont="1" applyFill="1" applyBorder="1" applyAlignment="1" applyProtection="1">
      <alignment horizontal="left" vertical="center" wrapText="1" inden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10" fontId="2" fillId="0" borderId="14" xfId="0" applyNumberFormat="1" applyFont="1" applyFill="1" applyBorder="1" applyAlignment="1">
      <alignment horizontal="center" vertical="center" wrapText="1"/>
    </xf>
    <xf numFmtId="9" fontId="15" fillId="8" borderId="54" xfId="0" applyNumberFormat="1" applyFont="1" applyFill="1" applyBorder="1" applyAlignment="1" applyProtection="1">
      <alignment horizontal="left" vertical="center" wrapText="1" indent="1"/>
    </xf>
    <xf numFmtId="0" fontId="61" fillId="8" borderId="54" xfId="0" applyFont="1" applyFill="1" applyBorder="1" applyAlignment="1" applyProtection="1">
      <alignment horizontal="left" vertical="center" wrapText="1" indent="1"/>
    </xf>
    <xf numFmtId="0" fontId="14" fillId="8" borderId="62" xfId="0" applyFont="1" applyFill="1" applyBorder="1" applyAlignment="1" applyProtection="1">
      <alignment horizontal="left" vertical="center" wrapText="1" indent="1"/>
    </xf>
    <xf numFmtId="0" fontId="14" fillId="8" borderId="61" xfId="0" applyFont="1" applyFill="1" applyBorder="1" applyAlignment="1" applyProtection="1">
      <alignment horizontal="left" vertical="center" wrapText="1" indent="1"/>
    </xf>
    <xf numFmtId="0" fontId="14" fillId="8" borderId="63" xfId="0" applyFont="1" applyFill="1" applyBorder="1" applyAlignment="1" applyProtection="1">
      <alignment horizontal="left" vertical="center" wrapText="1" indent="1"/>
    </xf>
    <xf numFmtId="0" fontId="16" fillId="8" borderId="54" xfId="0" applyFont="1" applyFill="1" applyBorder="1" applyAlignment="1" applyProtection="1">
      <alignment horizontal="center" vertical="center" wrapText="1"/>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0" fontId="5" fillId="12" borderId="46" xfId="0" applyFont="1" applyFill="1" applyBorder="1" applyAlignment="1">
      <alignment vertical="center" wrapText="1"/>
    </xf>
    <xf numFmtId="0" fontId="40" fillId="8" borderId="42" xfId="0" applyFont="1" applyFill="1" applyBorder="1" applyAlignment="1">
      <alignment horizontal="center" vertical="center" wrapText="1"/>
    </xf>
    <xf numFmtId="164" fontId="5" fillId="7" borderId="6" xfId="0" applyNumberFormat="1" applyFont="1" applyFill="1" applyBorder="1" applyAlignment="1" applyProtection="1">
      <alignment horizontal="center" vertical="center" wrapText="1"/>
      <protection locked="0"/>
    </xf>
    <xf numFmtId="17" fontId="14" fillId="8" borderId="54"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4" fillId="8" borderId="55" xfId="0" applyNumberFormat="1" applyFont="1" applyFill="1" applyBorder="1" applyAlignment="1" applyProtection="1">
      <alignment horizontal="left" vertical="center" wrapText="1" indent="1"/>
      <protection locked="0"/>
    </xf>
    <xf numFmtId="17" fontId="15" fillId="8" borderId="54"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4"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4"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left" vertical="center" wrapText="1" indent="1"/>
      <protection locked="0"/>
    </xf>
    <xf numFmtId="0" fontId="16" fillId="8" borderId="55" xfId="0" applyFont="1" applyFill="1" applyBorder="1" applyAlignment="1" applyProtection="1">
      <alignment horizontal="left" vertical="center" wrapText="1" indent="1"/>
      <protection locked="0"/>
    </xf>
    <xf numFmtId="0" fontId="15" fillId="8" borderId="54"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5" fillId="8" borderId="54" xfId="0" applyNumberFormat="1" applyFont="1" applyFill="1" applyBorder="1" applyAlignment="1" applyProtection="1">
      <alignment horizontal="left" vertical="center" wrapText="1" indent="1"/>
      <protection locked="0"/>
    </xf>
    <xf numFmtId="9" fontId="15" fillId="8" borderId="5" xfId="0" applyNumberFormat="1" applyFont="1" applyFill="1" applyBorder="1" applyAlignment="1" applyProtection="1">
      <alignment horizontal="left" vertical="center" wrapText="1" indent="1"/>
      <protection locked="0"/>
    </xf>
    <xf numFmtId="10" fontId="14" fillId="8" borderId="54"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9" fontId="14" fillId="8" borderId="54"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0" fontId="13" fillId="8" borderId="55"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0" fontId="13" fillId="8" borderId="54" xfId="0" applyFont="1" applyFill="1" applyBorder="1" applyAlignment="1" applyProtection="1">
      <alignment horizontal="left" vertical="center" wrapText="1" indent="1"/>
      <protection locked="0"/>
    </xf>
    <xf numFmtId="1" fontId="15" fillId="8" borderId="5" xfId="0" applyNumberFormat="1" applyFont="1" applyFill="1" applyBorder="1" applyAlignment="1" applyProtection="1">
      <alignment horizontal="left" vertical="center" wrapText="1" indent="1"/>
      <protection locked="0"/>
    </xf>
    <xf numFmtId="3" fontId="14" fillId="8" borderId="5" xfId="0" applyNumberFormat="1" applyFont="1" applyFill="1" applyBorder="1" applyAlignment="1" applyProtection="1">
      <alignment horizontal="left" vertical="center" wrapText="1" indent="1"/>
      <protection locked="0"/>
    </xf>
    <xf numFmtId="0" fontId="29" fillId="8" borderId="0" xfId="0" applyFont="1" applyFill="1" applyBorder="1" applyAlignment="1">
      <alignment vertical="center"/>
    </xf>
    <xf numFmtId="0" fontId="18" fillId="8" borderId="0" xfId="0" applyFont="1" applyFill="1" applyBorder="1" applyAlignment="1">
      <alignment vertical="center"/>
    </xf>
    <xf numFmtId="0" fontId="18" fillId="0" borderId="0" xfId="0" applyFont="1" applyFill="1" applyBorder="1" applyAlignment="1">
      <alignment vertical="center"/>
    </xf>
    <xf numFmtId="0" fontId="5" fillId="13" borderId="0" xfId="0" applyFont="1" applyFill="1" applyAlignment="1" applyProtection="1">
      <alignment vertical="center"/>
    </xf>
    <xf numFmtId="0" fontId="29" fillId="23" borderId="0" xfId="0" applyFont="1" applyFill="1" applyAlignment="1">
      <alignment vertical="center"/>
    </xf>
    <xf numFmtId="0" fontId="18" fillId="23" borderId="0" xfId="0" applyFont="1" applyFill="1" applyAlignment="1">
      <alignment vertical="center"/>
    </xf>
    <xf numFmtId="0" fontId="29" fillId="13" borderId="0" xfId="0" applyFont="1" applyFill="1" applyAlignment="1">
      <alignment vertical="center"/>
    </xf>
    <xf numFmtId="0" fontId="5" fillId="8" borderId="0" xfId="0" applyFont="1" applyFill="1" applyBorder="1" applyAlignment="1" applyProtection="1">
      <alignment vertical="center"/>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7" fontId="7" fillId="2" borderId="2" xfId="0"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7" fillId="8" borderId="3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36" fillId="17" borderId="31" xfId="0" applyFont="1" applyFill="1" applyBorder="1" applyAlignment="1">
      <alignment horizontal="center" vertical="center" wrapText="1"/>
    </xf>
    <xf numFmtId="0" fontId="36" fillId="17" borderId="32" xfId="0" applyFont="1" applyFill="1" applyBorder="1" applyAlignment="1">
      <alignment horizontal="center" vertical="center" wrapText="1"/>
    </xf>
    <xf numFmtId="0" fontId="37" fillId="11" borderId="33" xfId="0" applyFont="1" applyFill="1" applyBorder="1" applyAlignment="1">
      <alignment horizontal="center" vertical="center" wrapText="1"/>
    </xf>
    <xf numFmtId="0" fontId="37" fillId="11" borderId="34" xfId="0" applyFont="1" applyFill="1" applyBorder="1" applyAlignment="1">
      <alignment horizontal="center" vertical="center" wrapText="1"/>
    </xf>
    <xf numFmtId="0" fontId="36" fillId="12" borderId="44" xfId="0" applyFont="1" applyFill="1" applyBorder="1" applyAlignment="1">
      <alignment horizontal="center" vertical="center" wrapText="1"/>
    </xf>
    <xf numFmtId="10" fontId="29" fillId="23" borderId="0" xfId="0" applyNumberFormat="1" applyFont="1" applyFill="1" applyAlignment="1">
      <alignment horizontal="center" vertical="center"/>
    </xf>
    <xf numFmtId="0" fontId="29" fillId="23" borderId="0" xfId="0" applyFont="1" applyFill="1" applyAlignment="1">
      <alignment horizontal="center" vertical="center"/>
    </xf>
    <xf numFmtId="10" fontId="18" fillId="13" borderId="0" xfId="0" applyNumberFormat="1" applyFont="1" applyFill="1" applyBorder="1" applyAlignment="1">
      <alignment horizontal="center" vertical="center"/>
    </xf>
    <xf numFmtId="0" fontId="18" fillId="13" borderId="0" xfId="0" applyFont="1" applyFill="1" applyBorder="1" applyAlignment="1">
      <alignment horizontal="center" vertical="center"/>
    </xf>
    <xf numFmtId="10" fontId="2" fillId="0" borderId="14"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1"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10" fontId="29" fillId="13" borderId="0" xfId="0" applyNumberFormat="1" applyFont="1" applyFill="1" applyAlignment="1">
      <alignment horizontal="center" vertical="center"/>
    </xf>
    <xf numFmtId="0" fontId="29" fillId="13" borderId="0" xfId="0" applyFont="1" applyFill="1" applyAlignment="1">
      <alignment horizontal="center" vertical="center"/>
    </xf>
    <xf numFmtId="0" fontId="27" fillId="16" borderId="22" xfId="0" applyFont="1" applyFill="1" applyBorder="1" applyAlignment="1">
      <alignment horizontal="left" vertical="center" wrapText="1"/>
    </xf>
    <xf numFmtId="0" fontId="27" fillId="16" borderId="23" xfId="0" applyFont="1" applyFill="1" applyBorder="1" applyAlignment="1">
      <alignment horizontal="left" vertical="center" wrapText="1"/>
    </xf>
    <xf numFmtId="0" fontId="27" fillId="16" borderId="24" xfId="0" applyFont="1" applyFill="1" applyBorder="1" applyAlignment="1">
      <alignment horizontal="left" vertical="center" wrapText="1"/>
    </xf>
    <xf numFmtId="0" fontId="27" fillId="16" borderId="25" xfId="0" applyFont="1" applyFill="1" applyBorder="1" applyAlignment="1">
      <alignment horizontal="left" vertical="center" wrapText="1"/>
    </xf>
    <xf numFmtId="0" fontId="27" fillId="16" borderId="0" xfId="0" applyFont="1" applyFill="1" applyBorder="1" applyAlignment="1">
      <alignment horizontal="left" vertical="center" wrapText="1"/>
    </xf>
    <xf numFmtId="0" fontId="27" fillId="16" borderId="26" xfId="0" applyFont="1" applyFill="1" applyBorder="1" applyAlignment="1">
      <alignment horizontal="left" vertical="center" wrapText="1"/>
    </xf>
    <xf numFmtId="0" fontId="27" fillId="16" borderId="27" xfId="0" applyFont="1" applyFill="1" applyBorder="1" applyAlignment="1">
      <alignment horizontal="left" vertical="center" wrapText="1"/>
    </xf>
    <xf numFmtId="0" fontId="27" fillId="16" borderId="28" xfId="0" applyFont="1" applyFill="1" applyBorder="1" applyAlignment="1">
      <alignment horizontal="left" vertical="center" wrapText="1"/>
    </xf>
    <xf numFmtId="0" fontId="27" fillId="16" borderId="29" xfId="0" applyFont="1" applyFill="1" applyBorder="1" applyAlignment="1">
      <alignment horizontal="left" vertical="center" wrapText="1"/>
    </xf>
    <xf numFmtId="10" fontId="2" fillId="0" borderId="46" xfId="0" applyNumberFormat="1" applyFont="1" applyFill="1" applyBorder="1" applyAlignment="1">
      <alignment horizontal="center" vertical="center" wrapText="1"/>
    </xf>
    <xf numFmtId="0" fontId="7" fillId="11" borderId="47" xfId="0" applyFont="1" applyFill="1" applyBorder="1" applyAlignment="1">
      <alignment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2" fillId="11" borderId="47" xfId="0" applyNumberFormat="1" applyFont="1" applyFill="1" applyBorder="1" applyAlignment="1">
      <alignment horizontal="center"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10" fontId="22" fillId="18" borderId="46" xfId="0" applyNumberFormat="1" applyFont="1" applyFill="1" applyBorder="1" applyAlignment="1">
      <alignment horizontal="center" vertical="center" wrapText="1"/>
    </xf>
    <xf numFmtId="10" fontId="22" fillId="12" borderId="46" xfId="0" applyNumberFormat="1" applyFont="1" applyFill="1" applyBorder="1" applyAlignment="1">
      <alignment horizontal="center" vertical="center" wrapText="1"/>
    </xf>
    <xf numFmtId="10" fontId="23" fillId="12" borderId="46" xfId="0" applyNumberFormat="1" applyFont="1" applyFill="1" applyBorder="1" applyAlignment="1">
      <alignment horizontal="center" vertical="center" wrapText="1"/>
    </xf>
    <xf numFmtId="0" fontId="27" fillId="19" borderId="22" xfId="0" applyFont="1" applyFill="1" applyBorder="1" applyAlignment="1">
      <alignment horizontal="left" vertical="center" wrapText="1"/>
    </xf>
    <xf numFmtId="0" fontId="27" fillId="19" borderId="23" xfId="0" applyFont="1" applyFill="1" applyBorder="1" applyAlignment="1">
      <alignment horizontal="left" vertical="center" wrapText="1"/>
    </xf>
    <xf numFmtId="0" fontId="27" fillId="19" borderId="24" xfId="0" applyFont="1" applyFill="1" applyBorder="1" applyAlignment="1">
      <alignment horizontal="left" vertical="center" wrapText="1"/>
    </xf>
    <xf numFmtId="0" fontId="27" fillId="19" borderId="25" xfId="0" applyFont="1" applyFill="1" applyBorder="1" applyAlignment="1">
      <alignment horizontal="left" vertical="center" wrapText="1"/>
    </xf>
    <xf numFmtId="0" fontId="27" fillId="19" borderId="0" xfId="0" applyFont="1" applyFill="1" applyBorder="1" applyAlignment="1">
      <alignment horizontal="left" vertical="center" wrapText="1"/>
    </xf>
    <xf numFmtId="0" fontId="27" fillId="19" borderId="26" xfId="0" applyFont="1" applyFill="1" applyBorder="1" applyAlignment="1">
      <alignment horizontal="left" vertical="center" wrapText="1"/>
    </xf>
    <xf numFmtId="0" fontId="27" fillId="19" borderId="27" xfId="0" applyFont="1" applyFill="1" applyBorder="1" applyAlignment="1">
      <alignment horizontal="left" vertical="center" wrapText="1"/>
    </xf>
    <xf numFmtId="0" fontId="27" fillId="19" borderId="28" xfId="0" applyFont="1" applyFill="1" applyBorder="1" applyAlignment="1">
      <alignment horizontal="left" vertical="center" wrapText="1"/>
    </xf>
    <xf numFmtId="0" fontId="27" fillId="19"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65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339933"/>
      <color rgb="FFCC0000"/>
      <color rgb="FF009900"/>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0.94000000000000006</c:v>
                </c:pt>
                <c:pt idx="3">
                  <c:v>0.91509433962264153</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0.01</c:v>
                </c:pt>
                <c:pt idx="3">
                  <c:v>2.8301886792452831E-2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0.05</c:v>
                </c:pt>
                <c:pt idx="3">
                  <c:v>5.6603773584905662E-2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33567936"/>
        <c:axId val="433571856"/>
      </c:lineChart>
      <c:catAx>
        <c:axId val="433567936"/>
        <c:scaling>
          <c:orientation val="minMax"/>
        </c:scaling>
        <c:delete val="0"/>
        <c:axPos val="b"/>
        <c:numFmt formatCode="General" sourceLinked="0"/>
        <c:majorTickMark val="out"/>
        <c:minorTickMark val="none"/>
        <c:tickLblPos val="nextTo"/>
        <c:txPr>
          <a:bodyPr/>
          <a:lstStyle/>
          <a:p>
            <a:pPr>
              <a:defRPr lang="en-US"/>
            </a:pPr>
            <a:endParaRPr lang="en-US"/>
          </a:p>
        </c:txPr>
        <c:crossAx val="433571856"/>
        <c:crosses val="autoZero"/>
        <c:auto val="1"/>
        <c:lblAlgn val="ctr"/>
        <c:lblOffset val="100"/>
        <c:noMultiLvlLbl val="0"/>
      </c:catAx>
      <c:valAx>
        <c:axId val="4335718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5679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0.94000000000000006</c:v>
                </c:pt>
                <c:pt idx="1">
                  <c:v>0.01</c:v>
                </c:pt>
                <c:pt idx="2">
                  <c:v>0.05</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0.91509433962264153</c:v>
                </c:pt>
                <c:pt idx="1">
                  <c:v>2.8301886792452831E-2</c:v>
                </c:pt>
                <c:pt idx="2">
                  <c:v>5.6603773584905662E-2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0.95161290322580649</c:v>
                </c:pt>
                <c:pt idx="1">
                  <c:v>0</c:v>
                </c:pt>
                <c:pt idx="2">
                  <c:v>4.8387096774193547E-2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0.89230769230769236</c:v>
                </c:pt>
                <c:pt idx="1">
                  <c:v>4.6153846153846156E-2</c:v>
                </c:pt>
                <c:pt idx="2">
                  <c:v>6.1538461538461542E-2</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0.90476190476190466</c:v>
                </c:pt>
                <c:pt idx="1">
                  <c:v>0</c:v>
                </c:pt>
                <c:pt idx="2">
                  <c:v>9.5238095238095233E-2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0.91304347826086962</c:v>
                </c:pt>
                <c:pt idx="1">
                  <c:v>0</c:v>
                </c:pt>
                <c:pt idx="2">
                  <c:v>8.6956521739130432E-2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0.95161290322580649</c:v>
                </c:pt>
                <c:pt idx="3">
                  <c:v>0.89230769230769236</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4.6153846153846156E-2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4.8387096774193547E-2</c:v>
                </c:pt>
                <c:pt idx="3">
                  <c:v>6.1538461538461542E-2</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3571072"/>
        <c:axId val="433569504"/>
      </c:lineChart>
      <c:catAx>
        <c:axId val="433571072"/>
        <c:scaling>
          <c:orientation val="minMax"/>
        </c:scaling>
        <c:delete val="0"/>
        <c:axPos val="b"/>
        <c:numFmt formatCode="General" sourceLinked="0"/>
        <c:majorTickMark val="out"/>
        <c:minorTickMark val="none"/>
        <c:tickLblPos val="nextTo"/>
        <c:txPr>
          <a:bodyPr/>
          <a:lstStyle/>
          <a:p>
            <a:pPr>
              <a:defRPr lang="en-US"/>
            </a:pPr>
            <a:endParaRPr lang="en-US"/>
          </a:p>
        </c:txPr>
        <c:crossAx val="433569504"/>
        <c:crosses val="autoZero"/>
        <c:auto val="1"/>
        <c:lblAlgn val="ctr"/>
        <c:lblOffset val="100"/>
        <c:noMultiLvlLbl val="0"/>
      </c:catAx>
      <c:valAx>
        <c:axId val="4335695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5710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0.94117647058823528</c:v>
                </c:pt>
                <c:pt idx="3">
                  <c:v>0.82352941176470584</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0.11764705882352941</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5.8823529411764705E-2</c:v>
                </c:pt>
                <c:pt idx="3">
                  <c:v>5.8823529411764705E-2</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35246560"/>
        <c:axId val="435246952"/>
      </c:lineChart>
      <c:catAx>
        <c:axId val="435246560"/>
        <c:scaling>
          <c:orientation val="minMax"/>
        </c:scaling>
        <c:delete val="0"/>
        <c:axPos val="b"/>
        <c:numFmt formatCode="General" sourceLinked="1"/>
        <c:majorTickMark val="out"/>
        <c:minorTickMark val="none"/>
        <c:tickLblPos val="nextTo"/>
        <c:txPr>
          <a:bodyPr/>
          <a:lstStyle/>
          <a:p>
            <a:pPr>
              <a:defRPr lang="en-US"/>
            </a:pPr>
            <a:endParaRPr lang="en-US"/>
          </a:p>
        </c:txPr>
        <c:crossAx val="435246952"/>
        <c:crosses val="autoZero"/>
        <c:auto val="1"/>
        <c:lblAlgn val="ctr"/>
        <c:lblOffset val="100"/>
        <c:noMultiLvlLbl val="0"/>
      </c:catAx>
      <c:valAx>
        <c:axId val="435246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5246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0.96666666666666656</c:v>
                </c:pt>
                <c:pt idx="3">
                  <c:v>0.90909090909090906</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3.0303030303030304E-2</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6.0606060606060608E-2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35240288"/>
        <c:axId val="435242248"/>
      </c:lineChart>
      <c:catAx>
        <c:axId val="435240288"/>
        <c:scaling>
          <c:orientation val="minMax"/>
        </c:scaling>
        <c:delete val="0"/>
        <c:axPos val="b"/>
        <c:numFmt formatCode="General" sourceLinked="0"/>
        <c:majorTickMark val="out"/>
        <c:minorTickMark val="none"/>
        <c:tickLblPos val="nextTo"/>
        <c:txPr>
          <a:bodyPr/>
          <a:lstStyle/>
          <a:p>
            <a:pPr>
              <a:defRPr lang="en-US"/>
            </a:pPr>
            <a:endParaRPr lang="en-US"/>
          </a:p>
        </c:txPr>
        <c:crossAx val="435242248"/>
        <c:crosses val="autoZero"/>
        <c:auto val="1"/>
        <c:lblAlgn val="ctr"/>
        <c:lblOffset val="100"/>
        <c:noMultiLvlLbl val="0"/>
      </c:catAx>
      <c:valAx>
        <c:axId val="4352422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52402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0.93333333333333335</c:v>
                </c:pt>
                <c:pt idx="3">
                  <c:v>0.93333333333333335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5241464"/>
        <c:axId val="435243032"/>
      </c:lineChart>
      <c:catAx>
        <c:axId val="435241464"/>
        <c:scaling>
          <c:orientation val="minMax"/>
        </c:scaling>
        <c:delete val="0"/>
        <c:axPos val="b"/>
        <c:numFmt formatCode="General" sourceLinked="0"/>
        <c:majorTickMark val="out"/>
        <c:minorTickMark val="none"/>
        <c:tickLblPos val="nextTo"/>
        <c:txPr>
          <a:bodyPr/>
          <a:lstStyle/>
          <a:p>
            <a:pPr>
              <a:defRPr lang="en-US"/>
            </a:pPr>
            <a:endParaRPr lang="en-US"/>
          </a:p>
        </c:txPr>
        <c:crossAx val="435243032"/>
        <c:crosses val="autoZero"/>
        <c:auto val="1"/>
        <c:lblAlgn val="ctr"/>
        <c:lblOffset val="100"/>
        <c:noMultiLvlLbl val="0"/>
      </c:catAx>
      <c:valAx>
        <c:axId val="4352430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52414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0.88</c:v>
                </c:pt>
                <c:pt idx="3">
                  <c:v>0.96296296296296291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0.04</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0.08</c:v>
                </c:pt>
                <c:pt idx="3">
                  <c:v>3.7037037037037035E-2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6629888"/>
        <c:axId val="436626752"/>
      </c:lineChart>
      <c:catAx>
        <c:axId val="436629888"/>
        <c:scaling>
          <c:orientation val="minMax"/>
        </c:scaling>
        <c:delete val="0"/>
        <c:axPos val="b"/>
        <c:numFmt formatCode="General" sourceLinked="0"/>
        <c:majorTickMark val="out"/>
        <c:minorTickMark val="none"/>
        <c:tickLblPos val="nextTo"/>
        <c:txPr>
          <a:bodyPr/>
          <a:lstStyle/>
          <a:p>
            <a:pPr>
              <a:defRPr lang="en-US"/>
            </a:pPr>
            <a:endParaRPr lang="en-US"/>
          </a:p>
        </c:txPr>
        <c:crossAx val="436626752"/>
        <c:crosses val="autoZero"/>
        <c:auto val="1"/>
        <c:lblAlgn val="ctr"/>
        <c:lblOffset val="100"/>
        <c:noMultiLvlLbl val="0"/>
      </c:catAx>
      <c:valAx>
        <c:axId val="43662675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6629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0.90476190476190466</c:v>
                </c:pt>
                <c:pt idx="3">
                  <c:v>0.91304347826086962</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9.5238095238095233E-2</c:v>
                </c:pt>
                <c:pt idx="3">
                  <c:v>8.6956521739130432E-2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3565976"/>
        <c:axId val="433570288"/>
      </c:lineChart>
      <c:catAx>
        <c:axId val="433565976"/>
        <c:scaling>
          <c:orientation val="minMax"/>
        </c:scaling>
        <c:delete val="0"/>
        <c:axPos val="b"/>
        <c:numFmt formatCode="General" sourceLinked="0"/>
        <c:majorTickMark val="out"/>
        <c:minorTickMark val="none"/>
        <c:tickLblPos val="nextTo"/>
        <c:txPr>
          <a:bodyPr/>
          <a:lstStyle/>
          <a:p>
            <a:pPr>
              <a:defRPr lang="en-US"/>
            </a:pPr>
            <a:endParaRPr lang="en-US"/>
          </a:p>
        </c:txPr>
        <c:crossAx val="433570288"/>
        <c:crosses val="autoZero"/>
        <c:auto val="1"/>
        <c:lblAlgn val="ctr"/>
        <c:lblOffset val="100"/>
        <c:noMultiLvlLbl val="0"/>
      </c:catAx>
      <c:valAx>
        <c:axId val="4335702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565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0.94117647058823528</c:v>
                </c:pt>
                <c:pt idx="1">
                  <c:v>0</c:v>
                </c:pt>
                <c:pt idx="2">
                  <c:v>5.8823529411764705E-2</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0.82352941176470584</c:v>
                </c:pt>
                <c:pt idx="1">
                  <c:v>0.11764705882352941</c:v>
                </c:pt>
                <c:pt idx="2">
                  <c:v>5.8823529411764705E-2</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0.96666666666666656</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0.90909090909090906</c:v>
                </c:pt>
                <c:pt idx="1">
                  <c:v>3.0303030303030304E-2</c:v>
                </c:pt>
                <c:pt idx="2">
                  <c:v>6.0606060606060608E-2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0.88</c:v>
                </c:pt>
                <c:pt idx="1">
                  <c:v>0.04</c:v>
                </c:pt>
                <c:pt idx="2">
                  <c:v>0.08</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0.94117647058823528</c:v>
                </c:pt>
                <c:pt idx="3">
                  <c:v>1</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33570680"/>
        <c:axId val="433573032"/>
      </c:lineChart>
      <c:catAx>
        <c:axId val="433570680"/>
        <c:scaling>
          <c:orientation val="minMax"/>
        </c:scaling>
        <c:delete val="0"/>
        <c:axPos val="b"/>
        <c:numFmt formatCode="General" sourceLinked="0"/>
        <c:majorTickMark val="out"/>
        <c:minorTickMark val="none"/>
        <c:tickLblPos val="nextTo"/>
        <c:txPr>
          <a:bodyPr/>
          <a:lstStyle/>
          <a:p>
            <a:pPr>
              <a:defRPr lang="en-US"/>
            </a:pPr>
            <a:endParaRPr lang="en-US"/>
          </a:p>
        </c:txPr>
        <c:crossAx val="433573032"/>
        <c:crosses val="autoZero"/>
        <c:auto val="1"/>
        <c:lblAlgn val="ctr"/>
        <c:lblOffset val="100"/>
        <c:noMultiLvlLbl val="0"/>
      </c:catAx>
      <c:valAx>
        <c:axId val="4335730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57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7874912"/>
        <c:axId val="437873736"/>
      </c:lineChart>
      <c:catAx>
        <c:axId val="437874912"/>
        <c:scaling>
          <c:orientation val="minMax"/>
        </c:scaling>
        <c:delete val="0"/>
        <c:axPos val="b"/>
        <c:numFmt formatCode="General" sourceLinked="0"/>
        <c:majorTickMark val="out"/>
        <c:minorTickMark val="none"/>
        <c:tickLblPos val="nextTo"/>
        <c:txPr>
          <a:bodyPr/>
          <a:lstStyle/>
          <a:p>
            <a:pPr>
              <a:defRPr lang="en-US"/>
            </a:pPr>
            <a:endParaRPr lang="en-US"/>
          </a:p>
        </c:txPr>
        <c:crossAx val="437873736"/>
        <c:crosses val="autoZero"/>
        <c:auto val="1"/>
        <c:lblAlgn val="ctr"/>
        <c:lblOffset val="100"/>
        <c:noMultiLvlLbl val="0"/>
      </c:catAx>
      <c:valAx>
        <c:axId val="4378737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78749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D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6" sqref="A16:XFD18"/>
    </sheetView>
  </sheetViews>
  <sheetFormatPr defaultRowHeight="15"/>
  <cols>
    <col min="1" max="16384" width="9.140625" style="248"/>
  </cols>
  <sheetData>
    <row r="1" spans="1:7">
      <c r="A1" s="248" t="s">
        <v>457</v>
      </c>
    </row>
    <row r="2" spans="1:7">
      <c r="A2" s="251" t="s">
        <v>442</v>
      </c>
      <c r="B2" s="250"/>
      <c r="C2" s="250"/>
      <c r="D2" s="250"/>
      <c r="E2" s="250"/>
      <c r="F2" s="250"/>
      <c r="G2" s="250"/>
    </row>
    <row r="4" spans="1:7">
      <c r="A4" s="252" t="s">
        <v>443</v>
      </c>
    </row>
    <row r="6" spans="1:7">
      <c r="A6" s="249" t="s">
        <v>451</v>
      </c>
    </row>
    <row r="7" spans="1:7">
      <c r="B7" s="252" t="s">
        <v>450</v>
      </c>
    </row>
    <row r="8" spans="1:7">
      <c r="B8" s="252" t="s">
        <v>452</v>
      </c>
    </row>
    <row r="9" spans="1:7">
      <c r="B9" s="252" t="s">
        <v>453</v>
      </c>
    </row>
    <row r="10" spans="1:7">
      <c r="B10" s="252" t="s">
        <v>454</v>
      </c>
    </row>
    <row r="12" spans="1:7">
      <c r="A12" s="249" t="s">
        <v>455</v>
      </c>
    </row>
    <row r="13" spans="1:7">
      <c r="B13" s="252" t="s">
        <v>445</v>
      </c>
    </row>
    <row r="14" spans="1:7">
      <c r="B14" s="252" t="s">
        <v>447</v>
      </c>
    </row>
    <row r="16" spans="1:7" hidden="1">
      <c r="A16" s="249" t="s">
        <v>456</v>
      </c>
    </row>
    <row r="17" spans="1:2" hidden="1">
      <c r="B17" s="252" t="s">
        <v>446</v>
      </c>
    </row>
    <row r="18" spans="1:2" hidden="1">
      <c r="B18" s="252" t="s">
        <v>448</v>
      </c>
    </row>
    <row r="20" spans="1:2">
      <c r="A20" s="252" t="s">
        <v>449</v>
      </c>
    </row>
    <row r="22" spans="1:2">
      <c r="A22" s="252" t="s">
        <v>444</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178" customWidth="1"/>
    <col min="2" max="9" width="9.140625" style="178"/>
    <col min="10" max="10" width="3.42578125" style="178" customWidth="1"/>
    <col min="11" max="11" width="9.140625" style="179"/>
    <col min="12" max="18" width="9.140625" style="178"/>
    <col min="19" max="19" width="3.42578125" style="178" customWidth="1"/>
    <col min="20" max="27" width="9.140625" style="178" customWidth="1"/>
    <col min="28" max="28" width="3.42578125" style="178" customWidth="1"/>
    <col min="29" max="36" width="9.140625" style="178" customWidth="1"/>
    <col min="37" max="37" width="3.42578125" style="178" customWidth="1"/>
    <col min="38" max="47" width="9.140625" style="178" customWidth="1"/>
    <col min="48" max="50" width="9.140625" style="178"/>
    <col min="51" max="51" width="9.140625" style="184"/>
    <col min="52" max="55" width="10" style="184" customWidth="1"/>
    <col min="56" max="16384" width="9.140625" style="178"/>
  </cols>
  <sheetData>
    <row r="1" spans="2:56" s="177" customFormat="1" ht="35.25" customHeight="1" thickTop="1">
      <c r="B1" s="183" t="s">
        <v>426</v>
      </c>
      <c r="K1" s="450" t="s">
        <v>405</v>
      </c>
      <c r="L1" s="451"/>
      <c r="M1" s="451"/>
      <c r="N1" s="451"/>
      <c r="O1" s="451"/>
      <c r="P1" s="451"/>
      <c r="Q1" s="451"/>
      <c r="R1" s="451"/>
      <c r="S1" s="451"/>
      <c r="T1" s="451"/>
      <c r="U1" s="451"/>
      <c r="V1" s="451"/>
      <c r="W1" s="451"/>
      <c r="X1" s="452"/>
      <c r="AY1" s="183"/>
      <c r="AZ1" s="183"/>
      <c r="BA1" s="183"/>
      <c r="BB1" s="183"/>
      <c r="BC1" s="183"/>
    </row>
    <row r="2" spans="2:56" s="177" customFormat="1" ht="35.25">
      <c r="K2" s="453"/>
      <c r="L2" s="454"/>
      <c r="M2" s="454"/>
      <c r="N2" s="454"/>
      <c r="O2" s="454"/>
      <c r="P2" s="454"/>
      <c r="Q2" s="454"/>
      <c r="R2" s="454"/>
      <c r="S2" s="454"/>
      <c r="T2" s="454"/>
      <c r="U2" s="454"/>
      <c r="V2" s="454"/>
      <c r="W2" s="454"/>
      <c r="X2" s="455"/>
      <c r="AY2" s="183"/>
      <c r="AZ2" s="183"/>
      <c r="BA2" s="183"/>
      <c r="BB2" s="183"/>
      <c r="BC2" s="183"/>
    </row>
    <row r="3" spans="2:56" s="177" customFormat="1" ht="36" thickBot="1">
      <c r="K3" s="456"/>
      <c r="L3" s="457"/>
      <c r="M3" s="457"/>
      <c r="N3" s="457"/>
      <c r="O3" s="457"/>
      <c r="P3" s="457"/>
      <c r="Q3" s="457"/>
      <c r="R3" s="457"/>
      <c r="S3" s="457"/>
      <c r="T3" s="457"/>
      <c r="U3" s="457"/>
      <c r="V3" s="457"/>
      <c r="W3" s="457"/>
      <c r="X3" s="458"/>
      <c r="AY3" s="183"/>
      <c r="AZ3" s="183"/>
      <c r="BA3" s="183"/>
      <c r="BB3" s="183"/>
      <c r="BC3" s="183"/>
    </row>
    <row r="4" spans="2:56" ht="15.75" thickTop="1">
      <c r="N4" s="180" t="s">
        <v>394</v>
      </c>
      <c r="W4" s="180" t="s">
        <v>394</v>
      </c>
      <c r="AF4" s="180" t="s">
        <v>394</v>
      </c>
      <c r="AO4" s="180" t="s">
        <v>394</v>
      </c>
    </row>
    <row r="5" spans="2:56">
      <c r="AY5" s="185" t="s">
        <v>411</v>
      </c>
      <c r="AZ5" s="186"/>
      <c r="BA5" s="186"/>
      <c r="BB5" s="186"/>
      <c r="BC5" s="186"/>
      <c r="BD5" s="179"/>
    </row>
    <row r="6" spans="2:56">
      <c r="AY6" s="187"/>
      <c r="AZ6" s="188" t="s">
        <v>281</v>
      </c>
      <c r="BA6" s="188" t="s">
        <v>282</v>
      </c>
      <c r="BB6" s="188" t="s">
        <v>283</v>
      </c>
      <c r="BC6" s="188" t="s">
        <v>280</v>
      </c>
      <c r="BD6" s="179"/>
    </row>
    <row r="7" spans="2:56">
      <c r="AY7" s="189" t="s">
        <v>407</v>
      </c>
      <c r="AZ7" s="190">
        <f>'3a. % by Portfolio'!G6</f>
        <v>1</v>
      </c>
      <c r="BA7" s="190">
        <f>'3a. % by Portfolio'!N6</f>
        <v>0.93333333333333335</v>
      </c>
      <c r="BB7" s="190">
        <f>'3a. % by Portfolio'!U6</f>
        <v>0.94117647058823528</v>
      </c>
      <c r="BC7" s="190">
        <f>'3a. % by Portfolio'!AB6</f>
        <v>0.82352941176470584</v>
      </c>
      <c r="BD7" s="179"/>
    </row>
    <row r="8" spans="2:56">
      <c r="L8" s="181"/>
      <c r="M8" s="181"/>
      <c r="AY8" s="189" t="s">
        <v>408</v>
      </c>
      <c r="AZ8" s="190">
        <f>'3a. % by Portfolio'!G9</f>
        <v>0</v>
      </c>
      <c r="BA8" s="190">
        <f>'3a. % by Portfolio'!N9</f>
        <v>6.6666666666666666E-2</v>
      </c>
      <c r="BB8" s="190">
        <f>'3a. % by Portfolio'!U9</f>
        <v>0</v>
      </c>
      <c r="BC8" s="190">
        <f>'3a. % by Portfolio'!AB9</f>
        <v>0.11764705882352941</v>
      </c>
      <c r="BD8" s="179"/>
    </row>
    <row r="9" spans="2:56">
      <c r="L9" s="181"/>
      <c r="M9" s="181"/>
      <c r="AY9" s="189" t="s">
        <v>409</v>
      </c>
      <c r="AZ9" s="190">
        <f>'3a. % by Portfolio'!G13</f>
        <v>0</v>
      </c>
      <c r="BA9" s="190">
        <f>'3a. % by Portfolio'!N13</f>
        <v>0</v>
      </c>
      <c r="BB9" s="190">
        <f>'3a. % by Portfolio'!U13</f>
        <v>5.8823529411764705E-2</v>
      </c>
      <c r="BC9" s="190">
        <f>'3a. % by Portfolio'!AB13</f>
        <v>5.8823529411764705E-2</v>
      </c>
      <c r="BD9" s="179"/>
    </row>
    <row r="10" spans="2:56">
      <c r="L10" s="181"/>
      <c r="M10" s="181"/>
      <c r="AY10" s="187"/>
      <c r="AZ10" s="191"/>
      <c r="BA10" s="191"/>
      <c r="BB10" s="191"/>
      <c r="BC10" s="191"/>
      <c r="BD10" s="179"/>
    </row>
    <row r="11" spans="2:56">
      <c r="AY11" s="192"/>
      <c r="AZ11" s="193"/>
      <c r="BA11" s="193"/>
      <c r="BB11" s="193"/>
      <c r="BC11" s="193"/>
      <c r="BD11" s="179"/>
    </row>
    <row r="12" spans="2:56">
      <c r="AY12" s="192"/>
      <c r="AZ12" s="193"/>
      <c r="BA12" s="193"/>
      <c r="BB12" s="193"/>
      <c r="BC12" s="193"/>
      <c r="BD12" s="179"/>
    </row>
    <row r="13" spans="2:56">
      <c r="AY13" s="192"/>
      <c r="AZ13" s="193"/>
      <c r="BA13" s="193"/>
      <c r="BB13" s="193"/>
      <c r="BC13" s="193"/>
      <c r="BD13" s="179"/>
    </row>
    <row r="14" spans="2:56">
      <c r="AY14" s="186"/>
      <c r="AZ14" s="186"/>
      <c r="BA14" s="186"/>
      <c r="BB14" s="186"/>
      <c r="BC14" s="186"/>
      <c r="BD14" s="179"/>
    </row>
    <row r="15" spans="2:56">
      <c r="AY15" s="186"/>
      <c r="AZ15" s="186"/>
      <c r="BA15" s="186"/>
      <c r="BB15" s="186"/>
      <c r="BC15" s="186"/>
      <c r="BD15" s="179"/>
    </row>
    <row r="16" spans="2:56">
      <c r="AY16" s="186"/>
      <c r="AZ16" s="186"/>
      <c r="BA16" s="186"/>
      <c r="BB16" s="186"/>
      <c r="BC16" s="186"/>
      <c r="BD16" s="179"/>
    </row>
    <row r="17" spans="12:56">
      <c r="AY17" s="186"/>
      <c r="AZ17" s="186"/>
      <c r="BA17" s="186"/>
      <c r="BB17" s="186"/>
      <c r="BC17" s="186"/>
      <c r="BD17" s="179"/>
    </row>
    <row r="18" spans="12:56">
      <c r="AY18" s="186"/>
      <c r="AZ18" s="186"/>
      <c r="BA18" s="186"/>
      <c r="BB18" s="186"/>
      <c r="BC18" s="186"/>
      <c r="BD18" s="179"/>
    </row>
    <row r="19" spans="12:56">
      <c r="AY19" s="186"/>
      <c r="AZ19" s="186"/>
      <c r="BA19" s="186"/>
      <c r="BB19" s="186"/>
      <c r="BC19" s="186"/>
      <c r="BD19" s="179"/>
    </row>
    <row r="20" spans="12:56">
      <c r="N20" s="180" t="s">
        <v>394</v>
      </c>
      <c r="W20" s="180" t="s">
        <v>394</v>
      </c>
      <c r="AF20" s="180" t="s">
        <v>394</v>
      </c>
      <c r="AO20" s="180" t="s">
        <v>394</v>
      </c>
      <c r="AY20" s="186"/>
      <c r="AZ20" s="186"/>
      <c r="BA20" s="186"/>
      <c r="BB20" s="186"/>
      <c r="BC20" s="186"/>
      <c r="BD20" s="179"/>
    </row>
    <row r="21" spans="12:56">
      <c r="AY21" s="185" t="s">
        <v>422</v>
      </c>
      <c r="AZ21" s="186"/>
      <c r="BA21" s="186"/>
      <c r="BB21" s="186"/>
      <c r="BC21" s="186"/>
      <c r="BD21" s="179"/>
    </row>
    <row r="22" spans="12:56">
      <c r="AY22" s="187"/>
      <c r="AZ22" s="188" t="s">
        <v>281</v>
      </c>
      <c r="BA22" s="188" t="s">
        <v>282</v>
      </c>
      <c r="BB22" s="188" t="s">
        <v>283</v>
      </c>
      <c r="BC22" s="188" t="s">
        <v>280</v>
      </c>
      <c r="BD22" s="179"/>
    </row>
    <row r="23" spans="12:56">
      <c r="AY23" s="189" t="s">
        <v>407</v>
      </c>
      <c r="AZ23" s="190">
        <f>'3a. % by Portfolio'!G29</f>
        <v>0.90909090909090906</v>
      </c>
      <c r="BA23" s="190">
        <f>'3a. % by Portfolio'!N29</f>
        <v>0.96666666666666656</v>
      </c>
      <c r="BB23" s="190">
        <f>'3a. % by Portfolio'!U29</f>
        <v>0.96666666666666656</v>
      </c>
      <c r="BC23" s="190">
        <f>'3a. % by Portfolio'!AB29</f>
        <v>0.90909090909090906</v>
      </c>
      <c r="BD23" s="179"/>
    </row>
    <row r="24" spans="12:56">
      <c r="L24" s="181"/>
      <c r="M24" s="181"/>
      <c r="AY24" s="189" t="s">
        <v>408</v>
      </c>
      <c r="AZ24" s="190">
        <f>'3a. % by Portfolio'!G32</f>
        <v>9.0909090909090912E-2</v>
      </c>
      <c r="BA24" s="190">
        <f>'3a. % by Portfolio'!N32</f>
        <v>3.3333333333333333E-2</v>
      </c>
      <c r="BB24" s="190">
        <f>'3a. % by Portfolio'!U32</f>
        <v>0</v>
      </c>
      <c r="BC24" s="190">
        <f>'3a. % by Portfolio'!AB32</f>
        <v>3.0303030303030304E-2</v>
      </c>
      <c r="BD24" s="179"/>
    </row>
    <row r="25" spans="12:56">
      <c r="L25" s="181"/>
      <c r="M25" s="181"/>
      <c r="AY25" s="189" t="s">
        <v>409</v>
      </c>
      <c r="AZ25" s="190">
        <f>'3a. % by Portfolio'!G36</f>
        <v>0</v>
      </c>
      <c r="BA25" s="190">
        <f>'3a. % by Portfolio'!N36</f>
        <v>0</v>
      </c>
      <c r="BB25" s="190">
        <f>'3a. % by Portfolio'!U36</f>
        <v>3.3333333333333333E-2</v>
      </c>
      <c r="BC25" s="190">
        <f>'3a. % by Portfolio'!AB36</f>
        <v>6.0606060606060608E-2</v>
      </c>
      <c r="BD25" s="179"/>
    </row>
    <row r="26" spans="12:56">
      <c r="L26" s="181"/>
      <c r="M26" s="181"/>
      <c r="AY26" s="186"/>
      <c r="AZ26" s="186"/>
      <c r="BA26" s="186"/>
      <c r="BB26" s="186"/>
      <c r="BC26" s="186"/>
      <c r="BD26" s="179"/>
    </row>
    <row r="27" spans="12:56">
      <c r="AY27" s="192"/>
      <c r="AZ27" s="186"/>
      <c r="BA27" s="186"/>
      <c r="BB27" s="186"/>
      <c r="BC27" s="186"/>
      <c r="BD27" s="179"/>
    </row>
    <row r="28" spans="12:56">
      <c r="AY28" s="192"/>
      <c r="AZ28" s="186"/>
      <c r="BA28" s="186"/>
      <c r="BB28" s="186"/>
      <c r="BC28" s="186"/>
      <c r="BD28" s="179"/>
    </row>
    <row r="29" spans="12:56">
      <c r="AY29" s="192"/>
      <c r="AZ29" s="186"/>
      <c r="BA29" s="186"/>
      <c r="BB29" s="186"/>
      <c r="BC29" s="186"/>
      <c r="BD29" s="179"/>
    </row>
    <row r="30" spans="12:56">
      <c r="AY30" s="186"/>
      <c r="AZ30" s="186"/>
      <c r="BA30" s="186"/>
      <c r="BB30" s="186"/>
      <c r="BC30" s="186"/>
      <c r="BD30" s="179"/>
    </row>
    <row r="31" spans="12:56">
      <c r="AY31" s="186"/>
      <c r="AZ31" s="186"/>
      <c r="BA31" s="186"/>
      <c r="BB31" s="186"/>
      <c r="BC31" s="186"/>
      <c r="BD31" s="179"/>
    </row>
    <row r="32" spans="12:56">
      <c r="AY32" s="186"/>
      <c r="AZ32" s="186"/>
      <c r="BA32" s="186"/>
      <c r="BB32" s="186"/>
      <c r="BC32" s="186"/>
      <c r="BD32" s="179"/>
    </row>
    <row r="33" spans="11:56">
      <c r="AY33" s="186"/>
      <c r="AZ33" s="186"/>
      <c r="BA33" s="186"/>
      <c r="BB33" s="186"/>
      <c r="BC33" s="186"/>
      <c r="BD33" s="179"/>
    </row>
    <row r="34" spans="11:56">
      <c r="AY34" s="186"/>
      <c r="AZ34" s="186"/>
      <c r="BA34" s="186"/>
      <c r="BB34" s="186"/>
      <c r="BC34" s="186"/>
      <c r="BD34" s="179"/>
    </row>
    <row r="35" spans="11:56">
      <c r="AY35" s="186"/>
      <c r="AZ35" s="186"/>
      <c r="BA35" s="186"/>
      <c r="BB35" s="186"/>
      <c r="BC35" s="186"/>
      <c r="BD35" s="179"/>
    </row>
    <row r="36" spans="11:56">
      <c r="N36" s="180" t="s">
        <v>394</v>
      </c>
      <c r="W36" s="180" t="s">
        <v>394</v>
      </c>
      <c r="AF36" s="180" t="s">
        <v>394</v>
      </c>
      <c r="AO36" s="180" t="s">
        <v>394</v>
      </c>
      <c r="AY36" s="186"/>
      <c r="AZ36" s="186"/>
      <c r="BA36" s="186"/>
      <c r="BB36" s="186"/>
      <c r="BC36" s="186"/>
      <c r="BD36" s="179"/>
    </row>
    <row r="37" spans="11:56">
      <c r="AY37" s="185" t="s">
        <v>423</v>
      </c>
      <c r="AZ37" s="194"/>
      <c r="BA37" s="194"/>
      <c r="BB37" s="194"/>
      <c r="BC37" s="194"/>
      <c r="BD37" s="182"/>
    </row>
    <row r="38" spans="11:56">
      <c r="AY38" s="195"/>
      <c r="AZ38" s="188" t="s">
        <v>281</v>
      </c>
      <c r="BA38" s="188" t="s">
        <v>282</v>
      </c>
      <c r="BB38" s="188" t="s">
        <v>283</v>
      </c>
      <c r="BC38" s="188" t="s">
        <v>280</v>
      </c>
      <c r="BD38" s="182"/>
    </row>
    <row r="39" spans="11:56">
      <c r="AY39" s="189" t="s">
        <v>407</v>
      </c>
      <c r="AZ39" s="190">
        <f>'3a. % by Portfolio'!G51</f>
        <v>1</v>
      </c>
      <c r="BA39" s="190">
        <f>'3a. % by Portfolio'!N51</f>
        <v>0.9285714285714286</v>
      </c>
      <c r="BB39" s="190">
        <f>'3a. % by Portfolio'!U51</f>
        <v>0.93333333333333335</v>
      </c>
      <c r="BC39" s="190">
        <f>'3a. % by Portfolio'!AB51</f>
        <v>0.93333333333333335</v>
      </c>
      <c r="BD39" s="182"/>
    </row>
    <row r="40" spans="11:56">
      <c r="K40" s="181"/>
      <c r="L40" s="181"/>
      <c r="AY40" s="189" t="s">
        <v>408</v>
      </c>
      <c r="AZ40" s="190">
        <f>'3a. % by Portfolio'!G54</f>
        <v>0</v>
      </c>
      <c r="BA40" s="190">
        <f>'3a. % by Portfolio'!N54</f>
        <v>0</v>
      </c>
      <c r="BB40" s="190">
        <f>'3a. % by Portfolio'!U54</f>
        <v>0</v>
      </c>
      <c r="BC40" s="190">
        <f>'3a. % by Portfolio'!AB54</f>
        <v>0</v>
      </c>
      <c r="BD40" s="182"/>
    </row>
    <row r="41" spans="11:56">
      <c r="K41" s="181"/>
      <c r="L41" s="181"/>
      <c r="AY41" s="189" t="s">
        <v>409</v>
      </c>
      <c r="AZ41" s="190">
        <f>'3a. % by Portfolio'!G58</f>
        <v>0</v>
      </c>
      <c r="BA41" s="190">
        <f>'3a. % by Portfolio'!N58</f>
        <v>7.1428571428571425E-2</v>
      </c>
      <c r="BB41" s="190">
        <f>'3a. % by Portfolio'!U58</f>
        <v>6.6666666666666666E-2</v>
      </c>
      <c r="BC41" s="190">
        <f>'3a. % by Portfolio'!AB58</f>
        <v>6.6666666666666666E-2</v>
      </c>
      <c r="BD41" s="182"/>
    </row>
    <row r="42" spans="11:56">
      <c r="K42" s="181"/>
      <c r="L42" s="181"/>
      <c r="AY42" s="186"/>
      <c r="AZ42" s="186"/>
      <c r="BA42" s="186"/>
      <c r="BB42" s="186"/>
      <c r="BC42" s="186"/>
      <c r="BD42" s="179"/>
    </row>
    <row r="43" spans="11:56">
      <c r="AY43" s="192"/>
      <c r="AZ43" s="186"/>
      <c r="BA43" s="186"/>
      <c r="BB43" s="186"/>
      <c r="BC43" s="186"/>
      <c r="BD43" s="179"/>
    </row>
    <row r="44" spans="11:56">
      <c r="AY44" s="192"/>
      <c r="AZ44" s="186"/>
      <c r="BA44" s="186"/>
      <c r="BB44" s="186"/>
      <c r="BC44" s="186"/>
      <c r="BD44" s="179"/>
    </row>
    <row r="45" spans="11:56">
      <c r="AY45" s="192"/>
      <c r="AZ45" s="186"/>
      <c r="BA45" s="186"/>
      <c r="BB45" s="186"/>
      <c r="BC45" s="186"/>
      <c r="BD45" s="179"/>
    </row>
    <row r="46" spans="11:56">
      <c r="AY46" s="186"/>
      <c r="AZ46" s="186"/>
      <c r="BA46" s="186"/>
      <c r="BB46" s="186"/>
      <c r="BC46" s="186"/>
      <c r="BD46" s="179"/>
    </row>
    <row r="47" spans="11:56">
      <c r="AY47" s="186"/>
      <c r="AZ47" s="186"/>
      <c r="BA47" s="186"/>
      <c r="BB47" s="186"/>
      <c r="BC47" s="186"/>
      <c r="BD47" s="179"/>
    </row>
    <row r="48" spans="11:56">
      <c r="AY48" s="186"/>
      <c r="AZ48" s="186"/>
      <c r="BA48" s="186"/>
      <c r="BB48" s="186"/>
      <c r="BC48" s="186"/>
      <c r="BD48" s="179"/>
    </row>
    <row r="49" spans="12:56">
      <c r="AY49" s="186"/>
      <c r="AZ49" s="186"/>
      <c r="BA49" s="186"/>
      <c r="BB49" s="186"/>
      <c r="BC49" s="186"/>
      <c r="BD49" s="179"/>
    </row>
    <row r="50" spans="12:56">
      <c r="AY50" s="186"/>
      <c r="AZ50" s="186"/>
      <c r="BA50" s="186"/>
      <c r="BB50" s="186"/>
      <c r="BC50" s="186"/>
      <c r="BD50" s="179"/>
    </row>
    <row r="51" spans="12:56">
      <c r="AY51" s="186"/>
      <c r="AZ51" s="186"/>
      <c r="BA51" s="186"/>
      <c r="BB51" s="186"/>
      <c r="BC51" s="186"/>
      <c r="BD51" s="179"/>
    </row>
    <row r="52" spans="12:56">
      <c r="N52" s="180" t="s">
        <v>394</v>
      </c>
      <c r="W52" s="180" t="s">
        <v>394</v>
      </c>
      <c r="AF52" s="180" t="s">
        <v>394</v>
      </c>
      <c r="AO52" s="180" t="s">
        <v>394</v>
      </c>
      <c r="AY52" s="186"/>
      <c r="AZ52" s="186"/>
      <c r="BA52" s="186"/>
      <c r="BB52" s="186"/>
      <c r="BC52" s="186"/>
      <c r="BD52" s="179"/>
    </row>
    <row r="53" spans="12:56">
      <c r="AY53" s="185" t="s">
        <v>424</v>
      </c>
      <c r="AZ53" s="194"/>
      <c r="BA53" s="194"/>
      <c r="BB53" s="194"/>
      <c r="BC53" s="194"/>
      <c r="BD53" s="179"/>
    </row>
    <row r="54" spans="12:56">
      <c r="AY54" s="195"/>
      <c r="AZ54" s="188" t="s">
        <v>281</v>
      </c>
      <c r="BA54" s="188" t="s">
        <v>282</v>
      </c>
      <c r="BB54" s="188" t="s">
        <v>283</v>
      </c>
      <c r="BC54" s="188" t="s">
        <v>280</v>
      </c>
      <c r="BD54" s="179"/>
    </row>
    <row r="55" spans="12:56">
      <c r="AY55" s="189" t="s">
        <v>407</v>
      </c>
      <c r="AZ55" s="190">
        <f>'3a. % by Portfolio'!G73</f>
        <v>0.96153846153846145</v>
      </c>
      <c r="BA55" s="190">
        <f>'3a. % by Portfolio'!N73</f>
        <v>0.96296296296296291</v>
      </c>
      <c r="BB55" s="190">
        <f>'3a. % by Portfolio'!U73</f>
        <v>0.88</v>
      </c>
      <c r="BC55" s="190">
        <f>'3a. % by Portfolio'!AB73</f>
        <v>0.96296296296296291</v>
      </c>
      <c r="BD55" s="179"/>
    </row>
    <row r="56" spans="12:56">
      <c r="L56" s="181"/>
      <c r="M56" s="181"/>
      <c r="AY56" s="189" t="s">
        <v>408</v>
      </c>
      <c r="AZ56" s="190">
        <f>'3a. % by Portfolio'!G76</f>
        <v>0</v>
      </c>
      <c r="BA56" s="190">
        <f>'3a. % by Portfolio'!N76</f>
        <v>0</v>
      </c>
      <c r="BB56" s="190">
        <f>'3a. % by Portfolio'!U76</f>
        <v>0.04</v>
      </c>
      <c r="BC56" s="190">
        <f>'3a. % by Portfolio'!AB76</f>
        <v>0</v>
      </c>
      <c r="BD56" s="179"/>
    </row>
    <row r="57" spans="12:56">
      <c r="L57" s="181"/>
      <c r="M57" s="181"/>
      <c r="AY57" s="189" t="s">
        <v>409</v>
      </c>
      <c r="AZ57" s="190">
        <f>'3a. % by Portfolio'!G80</f>
        <v>3.8461538461538464E-2</v>
      </c>
      <c r="BA57" s="190">
        <f>'3a. % by Portfolio'!N80</f>
        <v>3.7037037037037035E-2</v>
      </c>
      <c r="BB57" s="190">
        <f>'3a. % by Portfolio'!U80</f>
        <v>0.08</v>
      </c>
      <c r="BC57" s="190">
        <f>'3a. % by Portfolio'!AB80</f>
        <v>3.7037037037037035E-2</v>
      </c>
      <c r="BD57" s="179"/>
    </row>
    <row r="58" spans="12:56">
      <c r="L58" s="181"/>
      <c r="M58" s="181"/>
      <c r="AY58" s="186"/>
      <c r="AZ58" s="186"/>
      <c r="BA58" s="186"/>
      <c r="BB58" s="186"/>
      <c r="BC58" s="186"/>
      <c r="BD58" s="179"/>
    </row>
    <row r="59" spans="12:56">
      <c r="AY59" s="192"/>
      <c r="AZ59" s="186"/>
      <c r="BA59" s="186"/>
      <c r="BB59" s="186"/>
      <c r="BC59" s="186"/>
      <c r="BD59" s="179"/>
    </row>
    <row r="60" spans="12:56">
      <c r="AY60" s="192"/>
      <c r="AZ60" s="186"/>
      <c r="BA60" s="186"/>
      <c r="BB60" s="186"/>
      <c r="BC60" s="186"/>
      <c r="BD60" s="179"/>
    </row>
    <row r="61" spans="12:56">
      <c r="AY61" s="192"/>
      <c r="AZ61" s="186"/>
      <c r="BA61" s="186"/>
      <c r="BB61" s="186"/>
      <c r="BC61" s="186"/>
      <c r="BD61" s="179"/>
    </row>
    <row r="62" spans="12:56">
      <c r="AY62" s="186"/>
      <c r="AZ62" s="186"/>
      <c r="BA62" s="186"/>
      <c r="BB62" s="186"/>
      <c r="BC62" s="186"/>
      <c r="BD62" s="179"/>
    </row>
    <row r="63" spans="12:56">
      <c r="AY63" s="186"/>
      <c r="AZ63" s="186"/>
      <c r="BA63" s="186"/>
      <c r="BB63" s="186"/>
      <c r="BC63" s="186"/>
      <c r="BD63" s="179"/>
    </row>
    <row r="64" spans="12:56">
      <c r="AY64" s="186"/>
      <c r="AZ64" s="186"/>
      <c r="BA64" s="186"/>
      <c r="BB64" s="186"/>
      <c r="BC64" s="186"/>
      <c r="BD64" s="179"/>
    </row>
    <row r="65" spans="14:56">
      <c r="AY65" s="186"/>
      <c r="AZ65" s="186"/>
      <c r="BA65" s="186"/>
      <c r="BB65" s="186"/>
      <c r="BC65" s="186"/>
      <c r="BD65" s="179"/>
    </row>
    <row r="66" spans="14:56">
      <c r="AY66" s="186"/>
      <c r="AZ66" s="186"/>
      <c r="BA66" s="186"/>
      <c r="BB66" s="186"/>
      <c r="BC66" s="186"/>
      <c r="BD66" s="179"/>
    </row>
    <row r="68" spans="14:56">
      <c r="N68" s="180" t="s">
        <v>394</v>
      </c>
      <c r="W68" s="180" t="s">
        <v>394</v>
      </c>
      <c r="AF68" s="180" t="s">
        <v>394</v>
      </c>
      <c r="AO68" s="180" t="s">
        <v>394</v>
      </c>
      <c r="AY68" s="186"/>
      <c r="AZ68" s="186"/>
      <c r="BA68" s="186"/>
      <c r="BB68" s="186"/>
      <c r="BC68" s="186"/>
      <c r="BD68" s="179"/>
    </row>
    <row r="69" spans="14:56">
      <c r="AY69" s="185" t="s">
        <v>425</v>
      </c>
      <c r="AZ69" s="194"/>
      <c r="BA69" s="194"/>
      <c r="BB69" s="194"/>
      <c r="BC69" s="194"/>
    </row>
    <row r="70" spans="14:56">
      <c r="AY70" s="195"/>
      <c r="AZ70" s="188" t="s">
        <v>281</v>
      </c>
      <c r="BA70" s="188" t="s">
        <v>282</v>
      </c>
      <c r="BB70" s="188" t="s">
        <v>283</v>
      </c>
      <c r="BC70" s="188" t="s">
        <v>280</v>
      </c>
    </row>
    <row r="71" spans="14:56">
      <c r="AY71" s="189" t="s">
        <v>407</v>
      </c>
      <c r="AZ71" s="190">
        <f>'3a. % by Portfolio'!G95</f>
        <v>1</v>
      </c>
      <c r="BA71" s="190">
        <f>'3a. % by Portfolio'!N95</f>
        <v>1</v>
      </c>
      <c r="BB71" s="190">
        <f>'3a. % by Portfolio'!U95</f>
        <v>1</v>
      </c>
      <c r="BC71" s="190">
        <f>'3a. % by Portfolio'!AB95</f>
        <v>1</v>
      </c>
    </row>
    <row r="72" spans="14:56">
      <c r="AY72" s="189" t="s">
        <v>408</v>
      </c>
      <c r="AZ72" s="190">
        <f>'3a. % by Portfolio'!G98</f>
        <v>0</v>
      </c>
      <c r="BA72" s="190">
        <f>'3a. % by Portfolio'!N98</f>
        <v>0</v>
      </c>
      <c r="BB72" s="190">
        <f>'3a. % by Portfolio'!U98</f>
        <v>0</v>
      </c>
      <c r="BC72" s="190">
        <f>'3a. % by Portfolio'!AB98</f>
        <v>0</v>
      </c>
    </row>
    <row r="73" spans="14:56">
      <c r="AY73" s="189" t="s">
        <v>409</v>
      </c>
      <c r="AZ73" s="190">
        <f>'3a. % by Portfolio'!G102</f>
        <v>0</v>
      </c>
      <c r="BA73" s="190">
        <f>'3a. % by Portfolio'!N102</f>
        <v>0</v>
      </c>
      <c r="BB73" s="190">
        <f>'3a. % by Portfolio'!U102</f>
        <v>0</v>
      </c>
      <c r="BC73" s="190">
        <f>'3a. % by Portfolio'!AB102</f>
        <v>0</v>
      </c>
    </row>
    <row r="84" spans="14:56">
      <c r="N84" s="180" t="s">
        <v>394</v>
      </c>
      <c r="W84" s="180" t="s">
        <v>394</v>
      </c>
      <c r="AF84" s="180" t="s">
        <v>394</v>
      </c>
      <c r="AO84" s="180" t="s">
        <v>394</v>
      </c>
    </row>
    <row r="85" spans="14:56">
      <c r="AY85" s="185" t="s">
        <v>412</v>
      </c>
      <c r="AZ85" s="194"/>
      <c r="BA85" s="194"/>
      <c r="BB85" s="194"/>
      <c r="BC85" s="194"/>
    </row>
    <row r="86" spans="14:56">
      <c r="AY86" s="195"/>
      <c r="AZ86" s="188" t="s">
        <v>281</v>
      </c>
      <c r="BA86" s="188" t="s">
        <v>282</v>
      </c>
      <c r="BB86" s="188" t="s">
        <v>283</v>
      </c>
      <c r="BC86" s="188" t="s">
        <v>280</v>
      </c>
    </row>
    <row r="87" spans="14:56">
      <c r="AY87" s="189" t="s">
        <v>407</v>
      </c>
      <c r="AZ87" s="190">
        <f>'3a. % by Portfolio'!G117</f>
        <v>0</v>
      </c>
      <c r="BA87" s="190">
        <f>'3a. % by Portfolio'!N117</f>
        <v>0</v>
      </c>
      <c r="BB87" s="190">
        <f>'3a. % by Portfolio'!U117</f>
        <v>0</v>
      </c>
      <c r="BC87" s="190">
        <f>'3a. % by Portfolio'!AB117</f>
        <v>0</v>
      </c>
    </row>
    <row r="88" spans="14:56">
      <c r="AY88" s="189" t="s">
        <v>408</v>
      </c>
      <c r="AZ88" s="190">
        <f>'3a. % by Portfolio'!G120</f>
        <v>0</v>
      </c>
      <c r="BA88" s="190">
        <f>'3a. % by Portfolio'!N120</f>
        <v>0</v>
      </c>
      <c r="BB88" s="190">
        <f>'3a. % by Portfolio'!U120</f>
        <v>0</v>
      </c>
      <c r="BC88" s="190">
        <f>'3a. % by Portfolio'!AB120</f>
        <v>0</v>
      </c>
    </row>
    <row r="89" spans="14:56">
      <c r="AY89" s="189" t="s">
        <v>409</v>
      </c>
      <c r="AZ89" s="190">
        <f>'3a. % by Portfolio'!G124</f>
        <v>0</v>
      </c>
      <c r="BA89" s="190">
        <f>'3a. % by Portfolio'!N124</f>
        <v>0</v>
      </c>
      <c r="BB89" s="190">
        <f>'3a. % by Portfolio'!U124</f>
        <v>0</v>
      </c>
      <c r="BC89" s="190">
        <f>'3a. % by Portfolio'!AB124</f>
        <v>0</v>
      </c>
    </row>
    <row r="95" spans="14:56">
      <c r="AY95" s="196"/>
      <c r="AZ95" s="196"/>
      <c r="BA95" s="196"/>
      <c r="BB95" s="196"/>
      <c r="BC95" s="196"/>
      <c r="BD95" s="197"/>
    </row>
    <row r="96" spans="14:56">
      <c r="AY96" s="196"/>
      <c r="AZ96" s="196"/>
      <c r="BA96" s="196"/>
      <c r="BB96" s="196"/>
      <c r="BC96" s="196"/>
      <c r="BD96" s="197"/>
    </row>
    <row r="97" spans="14:56">
      <c r="AY97" s="196"/>
      <c r="AZ97" s="196"/>
      <c r="BA97" s="196"/>
      <c r="BB97" s="196"/>
      <c r="BC97" s="196"/>
      <c r="BD97" s="197"/>
    </row>
    <row r="98" spans="14:56">
      <c r="AY98" s="196"/>
      <c r="AZ98" s="196"/>
      <c r="BA98" s="196"/>
      <c r="BB98" s="196"/>
      <c r="BC98" s="196"/>
      <c r="BD98" s="197"/>
    </row>
    <row r="99" spans="14:56">
      <c r="AY99" s="196"/>
      <c r="AZ99" s="196"/>
      <c r="BA99" s="196"/>
      <c r="BB99" s="196"/>
      <c r="BC99" s="196"/>
      <c r="BD99" s="197"/>
    </row>
    <row r="100" spans="14:56">
      <c r="N100" s="180" t="s">
        <v>394</v>
      </c>
      <c r="W100" s="180" t="s">
        <v>394</v>
      </c>
      <c r="AF100" s="180" t="s">
        <v>394</v>
      </c>
      <c r="AO100" s="180" t="s">
        <v>394</v>
      </c>
      <c r="AY100" s="196"/>
      <c r="AZ100" s="196"/>
      <c r="BA100" s="196"/>
      <c r="BB100" s="196"/>
      <c r="BC100" s="196"/>
      <c r="BD100" s="197"/>
    </row>
    <row r="101" spans="14:56">
      <c r="AY101" s="198"/>
      <c r="AZ101" s="195"/>
      <c r="BA101" s="195"/>
      <c r="BB101" s="195"/>
      <c r="BC101" s="195"/>
      <c r="BD101" s="197"/>
    </row>
    <row r="102" spans="14:56">
      <c r="AY102" s="195"/>
      <c r="AZ102" s="191"/>
      <c r="BA102" s="191"/>
      <c r="BB102" s="191"/>
      <c r="BC102" s="191"/>
      <c r="BD102" s="197"/>
    </row>
    <row r="103" spans="14:56">
      <c r="AY103" s="195"/>
      <c r="AZ103" s="193"/>
      <c r="BA103" s="193"/>
      <c r="BB103" s="193"/>
      <c r="BC103" s="193"/>
      <c r="BD103" s="197"/>
    </row>
    <row r="104" spans="14:56">
      <c r="AY104" s="195"/>
      <c r="AZ104" s="193"/>
      <c r="BA104" s="193"/>
      <c r="BB104" s="193"/>
      <c r="BC104" s="193"/>
      <c r="BD104" s="197"/>
    </row>
    <row r="105" spans="14:56">
      <c r="AY105" s="195"/>
      <c r="AZ105" s="193"/>
      <c r="BA105" s="193"/>
      <c r="BB105" s="193"/>
      <c r="BC105" s="193"/>
      <c r="BD105" s="197"/>
    </row>
    <row r="106" spans="14:56">
      <c r="AY106" s="196"/>
      <c r="AZ106" s="196"/>
      <c r="BA106" s="196"/>
      <c r="BB106" s="196"/>
      <c r="BC106" s="196"/>
      <c r="BD106" s="197"/>
    </row>
    <row r="116" spans="14:41">
      <c r="N116" s="180" t="s">
        <v>394</v>
      </c>
      <c r="W116" s="180" t="s">
        <v>394</v>
      </c>
      <c r="AF116" s="180" t="s">
        <v>394</v>
      </c>
      <c r="AO116" s="180" t="s">
        <v>394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68" sqref="A68:XFD70"/>
    </sheetView>
  </sheetViews>
  <sheetFormatPr defaultColWidth="9.140625" defaultRowHeight="15"/>
  <cols>
    <col min="1" max="1" width="12.85546875" style="210" customWidth="1"/>
    <col min="2" max="2" width="55.28515625" style="210" customWidth="1"/>
    <col min="3" max="3" width="46.5703125" style="237" customWidth="1"/>
    <col min="4" max="10" width="26.140625" style="210" customWidth="1"/>
    <col min="11" max="14" width="9.140625" style="208" customWidth="1"/>
    <col min="15" max="15" width="16.5703125" style="208" hidden="1" customWidth="1"/>
    <col min="16" max="19" width="9.140625" style="208" hidden="1" customWidth="1"/>
    <col min="20" max="20" width="24.85546875" style="208" hidden="1" customWidth="1"/>
    <col min="21" max="25" width="9.140625" style="208" hidden="1" customWidth="1"/>
    <col min="26" max="26" width="0" style="208" hidden="1" customWidth="1"/>
    <col min="27" max="46" width="9.140625" style="208"/>
    <col min="47" max="16384" width="9.140625" style="210"/>
  </cols>
  <sheetData>
    <row r="1" spans="1:46" s="200" customFormat="1" ht="24" customHeight="1">
      <c r="A1" s="199" t="s">
        <v>394</v>
      </c>
      <c r="C1" s="201"/>
    </row>
    <row r="2" spans="1:46" s="203" customFormat="1" ht="60.75">
      <c r="A2" s="246" t="s">
        <v>427</v>
      </c>
      <c r="B2" s="246" t="s">
        <v>0</v>
      </c>
      <c r="C2" s="246" t="s">
        <v>1</v>
      </c>
      <c r="D2" s="247" t="s">
        <v>428</v>
      </c>
      <c r="E2" s="247" t="s">
        <v>429</v>
      </c>
      <c r="F2" s="247" t="s">
        <v>430</v>
      </c>
      <c r="G2" s="247" t="s">
        <v>431</v>
      </c>
      <c r="H2" s="247" t="s">
        <v>432</v>
      </c>
      <c r="I2" s="247" t="s">
        <v>433</v>
      </c>
      <c r="J2" s="247" t="s">
        <v>434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row>
    <row r="3" spans="1:46" ht="99.75" customHeight="1" thickBot="1">
      <c r="A3" s="225" t="str">
        <f>'1. All Data'!C3</f>
        <v>VFM01</v>
      </c>
      <c r="B3" s="241" t="str">
        <f>'1. All Data'!D3</f>
        <v>Set the MTFS for 2020/21 onwards</v>
      </c>
      <c r="C3" s="243" t="str">
        <f>'1. All Data'!E3</f>
        <v xml:space="preserve">Set Budget for Council Approval  </v>
      </c>
      <c r="D3" s="238" t="str">
        <f>'1. All Data'!I3</f>
        <v>On Track to be Achieved</v>
      </c>
      <c r="E3" s="244"/>
      <c r="F3" s="239" t="str">
        <f>'1. All Data'!N3</f>
        <v>On Track to be Achieved</v>
      </c>
      <c r="G3" s="245"/>
      <c r="H3" s="238" t="str">
        <f>'1. All Data'!S3</f>
        <v>On Track to be Achieved</v>
      </c>
      <c r="I3" s="245"/>
      <c r="J3" s="238" t="str">
        <f>'1. All Data'!W3</f>
        <v>Fully Achieved</v>
      </c>
      <c r="O3" s="209" t="s">
        <v>436</v>
      </c>
    </row>
    <row r="4" spans="1:46" ht="99.75" customHeight="1" thickTop="1" thickBot="1">
      <c r="A4" s="205" t="str">
        <f>'1. All Data'!C4</f>
        <v>VFM02</v>
      </c>
      <c r="B4" s="241" t="str">
        <f>'1. All Data'!D4</f>
        <v>Savings targets for 2019/20</v>
      </c>
      <c r="C4" s="242" t="str">
        <f>'1. All Data'!E4</f>
        <v xml:space="preserve">Achieve Savings Targets as Stated in the Medium Term Financial Strategy </v>
      </c>
      <c r="D4" s="238" t="str">
        <f>'1. All Data'!I4</f>
        <v>Not Yet Due</v>
      </c>
      <c r="E4" s="207"/>
      <c r="F4" s="239" t="str">
        <f>'1. All Data'!N4</f>
        <v>Not Yet Due</v>
      </c>
      <c r="G4" s="207"/>
      <c r="H4" s="240" t="str">
        <f>'1. All Data'!S4</f>
        <v>On Track to be Achieved</v>
      </c>
      <c r="I4" s="207"/>
      <c r="J4" s="240" t="str">
        <f>'1. All Data'!W4</f>
        <v>Fully Achieved</v>
      </c>
      <c r="O4" s="209" t="s">
        <v>438</v>
      </c>
      <c r="Y4" s="207" t="s">
        <v>437</v>
      </c>
    </row>
    <row r="5" spans="1:46" ht="99.75" customHeight="1" thickTop="1" thickBot="1">
      <c r="A5" s="205" t="str">
        <f>'1. All Data'!C5</f>
        <v>VFM03</v>
      </c>
      <c r="B5" s="241" t="str">
        <f>'1. All Data'!D5</f>
        <v xml:space="preserve">Having an approved Statement of Accounts </v>
      </c>
      <c r="C5" s="242" t="str">
        <f>'1. All Data'!E5</f>
        <v xml:space="preserve">Submit Statement of Accounts by New Statutory Deadline </v>
      </c>
      <c r="D5" s="238" t="str">
        <f>'1. All Data'!I5</f>
        <v>On Track to be Achieved</v>
      </c>
      <c r="E5" s="207"/>
      <c r="F5" s="239" t="str">
        <f>'1. All Data'!N5</f>
        <v>Fully Achieved</v>
      </c>
      <c r="G5" s="207"/>
      <c r="H5" s="240" t="str">
        <f>'1. All Data'!S5</f>
        <v>Fully Achieved</v>
      </c>
      <c r="I5" s="207"/>
      <c r="J5" s="240" t="str">
        <f>'1. All Data'!W5</f>
        <v>Fully Achieved</v>
      </c>
      <c r="O5" s="209" t="s">
        <v>439</v>
      </c>
      <c r="T5" s="211"/>
      <c r="Y5" s="212" t="s">
        <v>440</v>
      </c>
    </row>
    <row r="6" spans="1:46" ht="89.25" thickTop="1" thickBot="1">
      <c r="A6" s="205" t="str">
        <f>'1. All Data'!C6</f>
        <v>VFM04</v>
      </c>
      <c r="B6" s="241" t="str">
        <f>'1. All Data'!D6</f>
        <v>Responding to Significant Local Government Finance Changes and Assessing the Impact on the Council’s Financial Position</v>
      </c>
      <c r="C6" s="242" t="str">
        <f>'1. All Data'!E6</f>
        <v xml:space="preserve">Activities Throughout the Year Reported in Line with the Timed Responses </v>
      </c>
      <c r="D6" s="238" t="str">
        <f>'1. All Data'!I6</f>
        <v>On Track to be Achieved</v>
      </c>
      <c r="E6" s="207"/>
      <c r="F6" s="239" t="str">
        <f>'1. All Data'!N6</f>
        <v>On Track to be Achieved</v>
      </c>
      <c r="G6" s="207"/>
      <c r="H6" s="240" t="str">
        <f>'1. All Data'!S6</f>
        <v>On Track to be Achieved</v>
      </c>
      <c r="I6" s="207"/>
      <c r="J6" s="240" t="str">
        <f>'1. All Data'!W6</f>
        <v>Fully Achieved</v>
      </c>
      <c r="O6" s="213" t="s">
        <v>435</v>
      </c>
      <c r="T6" s="214" t="s">
        <v>440</v>
      </c>
    </row>
    <row r="7" spans="1:46" ht="99.75" customHeight="1" thickTop="1">
      <c r="A7" s="205" t="str">
        <f>'1. All Data'!C7</f>
        <v>VFM05</v>
      </c>
      <c r="B7" s="241" t="str">
        <f>'1. All Data'!D7</f>
        <v>Internal Audit Service Procurement</v>
      </c>
      <c r="C7" s="242" t="str">
        <f>'1. All Data'!E7</f>
        <v>Procurement concluded and new contract awarded</v>
      </c>
      <c r="D7" s="238" t="str">
        <f>'1. All Data'!I7</f>
        <v>On Track to be Achieved</v>
      </c>
      <c r="E7" s="207"/>
      <c r="F7" s="239" t="str">
        <f>'1. All Data'!N7</f>
        <v>On Track to be Achieved</v>
      </c>
      <c r="G7" s="207"/>
      <c r="H7" s="240" t="str">
        <f>'1. All Data'!S7</f>
        <v>Fully Achieved</v>
      </c>
      <c r="I7" s="207"/>
      <c r="J7" s="240" t="str">
        <f>'1. All Data'!W7</f>
        <v>Fully Achieved</v>
      </c>
      <c r="T7" s="214" t="s">
        <v>441</v>
      </c>
    </row>
    <row r="8" spans="1:46" ht="99.75" customHeight="1">
      <c r="A8" s="205" t="str">
        <f>'1. All Data'!C8</f>
        <v>VFM06</v>
      </c>
      <c r="B8" s="241" t="str">
        <f>'1. All Data'!D8</f>
        <v xml:space="preserve">Working towards the Government’s new HMRC VAT Digitalisation Compliance requirements </v>
      </c>
      <c r="C8" s="242" t="str">
        <f>'1. All Data'!E8</f>
        <v>Compliance Report completed</v>
      </c>
      <c r="D8" s="238" t="str">
        <f>'1. All Data'!I8</f>
        <v>Not Yet Due</v>
      </c>
      <c r="E8" s="207"/>
      <c r="F8" s="239" t="str">
        <f>'1. All Data'!N8</f>
        <v>On Track to be Achieved</v>
      </c>
      <c r="G8" s="207"/>
      <c r="H8" s="240" t="str">
        <f>'1. All Data'!S8</f>
        <v>On Track to be Achieved</v>
      </c>
      <c r="I8" s="207"/>
      <c r="J8" s="240" t="str">
        <f>'1. All Data'!W8</f>
        <v>Fully Achieved</v>
      </c>
      <c r="T8" s="214" t="s">
        <v>437</v>
      </c>
    </row>
    <row r="9" spans="1:46" ht="99.75" customHeight="1">
      <c r="A9" s="205" t="str">
        <f>'1. All Data'!C9</f>
        <v>VFM07</v>
      </c>
      <c r="B9" s="241" t="str">
        <f>'1. All Data'!D9</f>
        <v>Continuing to digitise SMARTER services</v>
      </c>
      <c r="C9" s="242" t="str">
        <f>'1. All Data'!E9</f>
        <v xml:space="preserve">Secure Integrated Service Request and Payment mechanism developed and implemented </v>
      </c>
      <c r="D9" s="238" t="str">
        <f>'1. All Data'!I9</f>
        <v>On Track to be Achieved</v>
      </c>
      <c r="E9" s="206"/>
      <c r="F9" s="239" t="str">
        <f>'1. All Data'!N9</f>
        <v>In Danger of Falling Behind Target</v>
      </c>
      <c r="G9" s="207"/>
      <c r="H9" s="240" t="str">
        <f>'1. All Data'!S9</f>
        <v>Off Target</v>
      </c>
      <c r="I9" s="207"/>
      <c r="J9" s="240" t="str">
        <f>'1. All Data'!W9</f>
        <v>Off Target</v>
      </c>
    </row>
    <row r="10" spans="1:46" ht="99.75" customHeight="1">
      <c r="A10" s="205" t="str">
        <f>'1. All Data'!C10</f>
        <v>VFM08</v>
      </c>
      <c r="B10" s="241" t="str">
        <f>'1. All Data'!D10</f>
        <v>Continuing to digitise SMARTER services</v>
      </c>
      <c r="C10" s="242" t="str">
        <f>'1. All Data'!E10</f>
        <v>Audio recording of Council meetings added to Corporate Website</v>
      </c>
      <c r="D10" s="238" t="str">
        <f>'1. All Data'!I10</f>
        <v>On Track to be Achieved</v>
      </c>
      <c r="E10" s="206"/>
      <c r="F10" s="239" t="str">
        <f>'1. All Data'!N10</f>
        <v>Fully Achieved</v>
      </c>
      <c r="G10" s="207"/>
      <c r="H10" s="240" t="str">
        <f>'1. All Data'!S10</f>
        <v>Fully Achieved</v>
      </c>
      <c r="I10" s="207"/>
      <c r="J10" s="240" t="str">
        <f>'1. All Data'!W10</f>
        <v>Fully Achieved</v>
      </c>
    </row>
    <row r="11" spans="1:46" ht="99.75" customHeight="1">
      <c r="A11" s="205" t="str">
        <f>'1. All Data'!C11</f>
        <v>VFM09</v>
      </c>
      <c r="B11" s="241" t="str">
        <f>'1. All Data'!D11</f>
        <v>Continuing to digitise SMARTER services</v>
      </c>
      <c r="C11" s="242" t="str">
        <f>'1. All Data'!E11</f>
        <v>80% of 2019/20 Milestones in New Digital Strategy Achieved</v>
      </c>
      <c r="D11" s="238" t="str">
        <f>'1. All Data'!I11</f>
        <v>Not Yet Due</v>
      </c>
      <c r="E11" s="206"/>
      <c r="F11" s="239" t="str">
        <f>'1. All Data'!N11</f>
        <v>On Track to be Achieved</v>
      </c>
      <c r="G11" s="207"/>
      <c r="H11" s="240" t="str">
        <f>'1. All Data'!S11</f>
        <v>On Track to be Achieved</v>
      </c>
      <c r="I11" s="207"/>
      <c r="J11" s="240" t="str">
        <f>'1. All Data'!W11</f>
        <v>Fully Achieved</v>
      </c>
    </row>
    <row r="12" spans="1:46" ht="99.75" customHeight="1">
      <c r="A12" s="205" t="str">
        <f>'1. All Data'!C12</f>
        <v>VFM10</v>
      </c>
      <c r="B12" s="241" t="str">
        <f>'1. All Data'!D12</f>
        <v xml:space="preserve">Providing a more secure ICT working environment </v>
      </c>
      <c r="C12" s="242" t="str">
        <f>'1. All Data'!E12</f>
        <v xml:space="preserve">Security Arrangements to Meet Requirements of PSN (or Replacement)  </v>
      </c>
      <c r="D12" s="238" t="str">
        <f>'1. All Data'!I12</f>
        <v>On Track to be Achieved</v>
      </c>
      <c r="E12" s="207"/>
      <c r="F12" s="239" t="str">
        <f>'1. All Data'!N12</f>
        <v>On Track to be Achieved</v>
      </c>
      <c r="G12" s="207"/>
      <c r="H12" s="240" t="str">
        <f>'1. All Data'!S12</f>
        <v>On Track to be Achieved</v>
      </c>
      <c r="I12" s="214"/>
      <c r="J12" s="240" t="str">
        <f>'1. All Data'!W12</f>
        <v>Fully Achieved</v>
      </c>
    </row>
    <row r="13" spans="1:46" ht="99.75" customHeight="1">
      <c r="A13" s="205" t="str">
        <f>'1. All Data'!C13</f>
        <v>VFM11</v>
      </c>
      <c r="B13" s="241" t="str">
        <f>'1. All Data'!D13</f>
        <v xml:space="preserve">Providing a more secure ICT working environment     </v>
      </c>
      <c r="C13" s="242" t="str">
        <f>'1. All Data'!E13</f>
        <v>Preferred biometric approach to password replacement identified and commenced</v>
      </c>
      <c r="D13" s="238" t="str">
        <f>'1. All Data'!I13</f>
        <v>On Track to be Achieved</v>
      </c>
      <c r="E13" s="207"/>
      <c r="F13" s="239" t="str">
        <f>'1. All Data'!N13</f>
        <v>Fully Achieved</v>
      </c>
      <c r="G13" s="207"/>
      <c r="H13" s="240" t="str">
        <f>'1. All Data'!S13</f>
        <v>Fully Achieved</v>
      </c>
      <c r="I13" s="207"/>
      <c r="J13" s="240" t="str">
        <f>'1. All Data'!W13</f>
        <v>Fully Achieved</v>
      </c>
    </row>
    <row r="14" spans="1:46" ht="99.75" customHeight="1">
      <c r="A14" s="205" t="str">
        <f>'1. All Data'!C14</f>
        <v>VFM12</v>
      </c>
      <c r="B14" s="241" t="str">
        <f>'1. All Data'!D14</f>
        <v xml:space="preserve">Successfully deliver local elections  </v>
      </c>
      <c r="C14" s="242" t="str">
        <f>'1. All Data'!E14</f>
        <v>Local elections delivered</v>
      </c>
      <c r="D14" s="238" t="str">
        <f>'1. All Data'!I14</f>
        <v>Fully Achieved</v>
      </c>
      <c r="E14" s="207"/>
      <c r="F14" s="239" t="str">
        <f>'1. All Data'!N14</f>
        <v>Fully Achieved</v>
      </c>
      <c r="G14" s="207"/>
      <c r="H14" s="240" t="str">
        <f>'1. All Data'!S14</f>
        <v>Fully Achieved</v>
      </c>
      <c r="I14" s="207"/>
      <c r="J14" s="240" t="str">
        <f>'1. All Data'!W14</f>
        <v>Fully Achieved</v>
      </c>
    </row>
    <row r="15" spans="1:46" ht="99.75" customHeight="1">
      <c r="A15" s="205" t="str">
        <f>'1. All Data'!C15</f>
        <v>VFM13</v>
      </c>
      <c r="B15" s="241" t="str">
        <f>'1. All Data'!D15</f>
        <v>Carry out detailed Procurement / Contractor Consolidation / Spend Analysis</v>
      </c>
      <c r="C15" s="242" t="str">
        <f>'1. All Data'!E15</f>
        <v>Report and way forward approved</v>
      </c>
      <c r="D15" s="238" t="str">
        <f>'1. All Data'!I15</f>
        <v>Not Yet Due</v>
      </c>
      <c r="E15" s="207"/>
      <c r="F15" s="239" t="str">
        <f>'1. All Data'!N15</f>
        <v>Not Yet Due</v>
      </c>
      <c r="G15" s="207"/>
      <c r="H15" s="240" t="str">
        <f>'1. All Data'!S15</f>
        <v>Fully Achieved</v>
      </c>
      <c r="I15" s="207"/>
      <c r="J15" s="240" t="str">
        <f>'1. All Data'!W15</f>
        <v>Fully Achieved</v>
      </c>
    </row>
    <row r="16" spans="1:46" ht="99.75" customHeight="1">
      <c r="A16" s="205" t="str">
        <f>'1. All Data'!C16</f>
        <v>VFM14</v>
      </c>
      <c r="B16" s="241" t="str">
        <f>'1. All Data'!D16</f>
        <v>Increasing Staffing Availability Through Reduced Sickness</v>
      </c>
      <c r="C16" s="242" t="str">
        <f>'1. All Data'!E16</f>
        <v>Short Term Sickness Days Average: 
2.75 days</v>
      </c>
      <c r="D16" s="238" t="str">
        <f>'1. All Data'!I16</f>
        <v>On Track to be Achieved</v>
      </c>
      <c r="E16" s="207"/>
      <c r="F16" s="239" t="str">
        <f>'1. All Data'!N16</f>
        <v>On Track to be Achieved</v>
      </c>
      <c r="G16" s="207"/>
      <c r="H16" s="240" t="str">
        <f>'1. All Data'!S16</f>
        <v>On Track to be Achieved</v>
      </c>
      <c r="I16" s="207"/>
      <c r="J16" s="240" t="str">
        <f>'1. All Data'!W16</f>
        <v>Numerical Outturn Within 10% Tolerance</v>
      </c>
    </row>
    <row r="17" spans="1:10" ht="99.75" customHeight="1">
      <c r="A17" s="205" t="str">
        <f>'1. All Data'!C17</f>
        <v>VFM15</v>
      </c>
      <c r="B17" s="241" t="str">
        <f>'1. All Data'!D17</f>
        <v>Improve On The Average Time To Pay Creditors</v>
      </c>
      <c r="C17" s="242" t="str">
        <f>'1. All Data'!E17</f>
        <v>Average Time To Pay Creditors:
12 days</v>
      </c>
      <c r="D17" s="238" t="str">
        <f>'1. All Data'!I17</f>
        <v>On Track to be Achieved</v>
      </c>
      <c r="E17" s="207"/>
      <c r="F17" s="239" t="str">
        <f>'1. All Data'!N17</f>
        <v>On Track to be Achieved</v>
      </c>
      <c r="G17" s="207"/>
      <c r="H17" s="240" t="str">
        <f>'1. All Data'!S17</f>
        <v>On Track to be Achieved</v>
      </c>
      <c r="I17" s="207"/>
      <c r="J17" s="240" t="str">
        <f>'1. All Data'!W17</f>
        <v>Fully Achieved</v>
      </c>
    </row>
    <row r="18" spans="1:10" ht="99.75" customHeight="1">
      <c r="A18" s="205" t="str">
        <f>'1. All Data'!C18</f>
        <v>VFM16</v>
      </c>
      <c r="B18" s="241" t="str">
        <f>'1. All Data'!D18</f>
        <v>Legal and Assets</v>
      </c>
      <c r="C18" s="242" t="str">
        <f>'1. All Data'!E18</f>
        <v>Carry out works to Canal Street industrial units, as identified in the condition survey</v>
      </c>
      <c r="D18" s="238" t="str">
        <f>'1. All Data'!I18</f>
        <v>Not Yet Due</v>
      </c>
      <c r="E18" s="207"/>
      <c r="F18" s="239" t="str">
        <f>'1. All Data'!N18</f>
        <v>On Track to be Achieved</v>
      </c>
      <c r="G18" s="207"/>
      <c r="H18" s="240" t="str">
        <f>'1. All Data'!S18</f>
        <v>On Track to be Achieved</v>
      </c>
      <c r="I18" s="207"/>
      <c r="J18" s="240" t="str">
        <f>'1. All Data'!W18</f>
        <v>Target Partially Met</v>
      </c>
    </row>
    <row r="19" spans="1:10" ht="99.75" customHeight="1">
      <c r="A19" s="205" t="str">
        <f>'1. All Data'!C19</f>
        <v>VFM17</v>
      </c>
      <c r="B19" s="241" t="str">
        <f>'1. All Data'!D19</f>
        <v>Legal and Assets</v>
      </c>
      <c r="C19" s="242" t="str">
        <f>'1. All Data'!E19</f>
        <v>Condition Survey commissioned for miscellaneous Council properties</v>
      </c>
      <c r="D19" s="238" t="str">
        <f>'1. All Data'!I19</f>
        <v>Not Yet Due</v>
      </c>
      <c r="E19" s="206"/>
      <c r="F19" s="239" t="str">
        <f>'1. All Data'!N19</f>
        <v>Fully Achieved</v>
      </c>
      <c r="G19" s="207"/>
      <c r="H19" s="240" t="str">
        <f>'1. All Data'!S19</f>
        <v>Fully Achieved</v>
      </c>
      <c r="I19" s="207"/>
      <c r="J19" s="240" t="str">
        <f>'1. All Data'!W19</f>
        <v>Fully Achieved</v>
      </c>
    </row>
    <row r="20" spans="1:10" ht="99.75" customHeight="1">
      <c r="A20" s="205" t="str">
        <f>'1. All Data'!C20</f>
        <v>VFM18</v>
      </c>
      <c r="B20" s="241" t="str">
        <f>'1. All Data'!D20</f>
        <v>Maintain Robust Mechanisms for Contract Managing the New Leisure Service Arrangements</v>
      </c>
      <c r="C20" s="242" t="str">
        <f>'1. All Data'!E20</f>
        <v xml:space="preserve">Report on the performance of the Leisure Services contractor on a quarterly basis </v>
      </c>
      <c r="D20" s="238" t="str">
        <f>'1. All Data'!I20</f>
        <v>On Track to be Achieved</v>
      </c>
      <c r="E20" s="206"/>
      <c r="F20" s="239" t="str">
        <f>'1. All Data'!N20</f>
        <v>On Track to be Achieved</v>
      </c>
      <c r="G20" s="207"/>
      <c r="H20" s="240" t="str">
        <f>'1. All Data'!S20</f>
        <v>On Track to be Achieved</v>
      </c>
      <c r="I20" s="207"/>
      <c r="J20" s="240" t="str">
        <f>'1. All Data'!W20</f>
        <v>Fully Achieved</v>
      </c>
    </row>
    <row r="21" spans="1:10" ht="99.75" customHeight="1">
      <c r="A21" s="205" t="str">
        <f>'1. All Data'!C21</f>
        <v>VFM19</v>
      </c>
      <c r="B21" s="241" t="str">
        <f>'1. All Data'!D21</f>
        <v>Review Strategic Sport and Leisure Approach in Line with New Leisure Service Arrangements</v>
      </c>
      <c r="C21" s="242" t="str">
        <f>'1. All Data'!E21</f>
        <v>Undertake a  benchmarking exercise to support the delivery of the leisure management contract</v>
      </c>
      <c r="D21" s="238" t="str">
        <f>'1. All Data'!I21</f>
        <v>Not Yet Due</v>
      </c>
      <c r="E21" s="207"/>
      <c r="F21" s="239" t="str">
        <f>'1. All Data'!N21</f>
        <v>On Track to be Achieved</v>
      </c>
      <c r="G21" s="207"/>
      <c r="H21" s="240" t="str">
        <f>'1. All Data'!S21</f>
        <v>Fully Achieved</v>
      </c>
      <c r="I21" s="207"/>
      <c r="J21" s="240" t="str">
        <f>'1. All Data'!W21</f>
        <v>Fully Achieved</v>
      </c>
    </row>
    <row r="22" spans="1:10" ht="99.75" customHeight="1">
      <c r="A22" s="205" t="str">
        <f>'1. All Data'!C22</f>
        <v>VFM20</v>
      </c>
      <c r="B22" s="241" t="str">
        <f>'1. All Data'!D22</f>
        <v xml:space="preserve">Review Strategic Sport and Leisure Approach in Line with New Leisure Service Arrangements </v>
      </c>
      <c r="C22" s="242" t="str">
        <f>'1. All Data'!E22</f>
        <v>Conduct a review of the relevant Sport and Leisure Strategy and Policy Documents and create a plan for their delivery</v>
      </c>
      <c r="D22" s="238" t="str">
        <f>'1. All Data'!I22</f>
        <v>On Track to be Achieved</v>
      </c>
      <c r="E22" s="207"/>
      <c r="F22" s="239" t="str">
        <f>'1. All Data'!N22</f>
        <v>On Track to be Achieved</v>
      </c>
      <c r="G22" s="207"/>
      <c r="H22" s="240" t="str">
        <f>'1. All Data'!S22</f>
        <v>On Track to be Achieved</v>
      </c>
      <c r="I22" s="207"/>
      <c r="J22" s="240" t="str">
        <f>'1. All Data'!W22</f>
        <v>Fully Achieved</v>
      </c>
    </row>
    <row r="23" spans="1:10" ht="99.75" customHeight="1">
      <c r="A23" s="205" t="str">
        <f>'1. All Data'!C23</f>
        <v>VFM21</v>
      </c>
      <c r="B23" s="241" t="str">
        <f>'1. All Data'!D23</f>
        <v>Open Spaces Service Development Initiatives</v>
      </c>
      <c r="C23" s="242" t="str">
        <f>'1. All Data'!E23</f>
        <v>Review the Open Spaces/Grounds Maintenance Contract in preparation for retendering in 2020/21</v>
      </c>
      <c r="D23" s="238" t="str">
        <f>'1. All Data'!I23</f>
        <v>On Track to be Achieved</v>
      </c>
      <c r="E23" s="207"/>
      <c r="F23" s="239" t="str">
        <f>'1. All Data'!N23</f>
        <v>Not Yet Due</v>
      </c>
      <c r="G23" s="207"/>
      <c r="H23" s="240" t="str">
        <f>'1. All Data'!S23</f>
        <v>On Track to be Achieved</v>
      </c>
      <c r="I23" s="207"/>
      <c r="J23" s="240" t="str">
        <f>'1. All Data'!W23</f>
        <v>Fully Achieved</v>
      </c>
    </row>
    <row r="24" spans="1:10" ht="99.75" customHeight="1">
      <c r="A24" s="205" t="str">
        <f>'1. All Data'!C24</f>
        <v>VFM22</v>
      </c>
      <c r="B24" s="241" t="str">
        <f>'1. All Data'!D24</f>
        <v>Open Spaces Service Development Initiatives</v>
      </c>
      <c r="C24" s="242" t="str">
        <f>'1. All Data'!E24</f>
        <v xml:space="preserve">Commission a consultant to assess the potential practical and capital requirements for the expansion of Stapenhill Cemetery </v>
      </c>
      <c r="D24" s="238" t="str">
        <f>'1. All Data'!I24</f>
        <v>On Track to be Achieved</v>
      </c>
      <c r="E24" s="207"/>
      <c r="F24" s="239" t="str">
        <f>'1. All Data'!N24</f>
        <v>Fully Achieved</v>
      </c>
      <c r="G24" s="207"/>
      <c r="H24" s="240" t="str">
        <f>'1. All Data'!S24</f>
        <v>Fully Achieved</v>
      </c>
      <c r="I24" s="207"/>
      <c r="J24" s="240" t="str">
        <f>'1. All Data'!W24</f>
        <v>Fully Achieved</v>
      </c>
    </row>
    <row r="25" spans="1:10" ht="99.75" customHeight="1">
      <c r="A25" s="205" t="str">
        <f>'1. All Data'!C25</f>
        <v>VFM23</v>
      </c>
      <c r="B25" s="241" t="str">
        <f>'1. All Data'!D25</f>
        <v>Open Spaces Service Development Initiatives</v>
      </c>
      <c r="C25" s="242" t="str">
        <f>'1. All Data'!E25</f>
        <v xml:space="preserve">Review the options for improving the energy efficiency of lighting stock on Council land across the Borough </v>
      </c>
      <c r="D25" s="238" t="str">
        <f>'1. All Data'!I25</f>
        <v>On Track to be Achieved</v>
      </c>
      <c r="E25" s="207"/>
      <c r="F25" s="239" t="str">
        <f>'1. All Data'!N25</f>
        <v>Fully Achieved</v>
      </c>
      <c r="G25" s="207"/>
      <c r="H25" s="240" t="str">
        <f>'1. All Data'!S25</f>
        <v>Fully Achieved</v>
      </c>
      <c r="I25" s="207"/>
      <c r="J25" s="240" t="str">
        <f>'1. All Data'!W25</f>
        <v>Fully Achieved</v>
      </c>
    </row>
    <row r="26" spans="1:10" ht="99.75" customHeight="1">
      <c r="A26" s="205" t="str">
        <f>'1. All Data'!C26</f>
        <v>VFM24</v>
      </c>
      <c r="B26" s="241" t="str">
        <f>'1. All Data'!D26</f>
        <v>Open Spaces Service Development Initiatives</v>
      </c>
      <c r="C26" s="242" t="str">
        <f>'1. All Data'!E26</f>
        <v xml:space="preserve">Review the first years performance of the Alertcom lone working system  </v>
      </c>
      <c r="D26" s="238" t="str">
        <f>'1. All Data'!I26</f>
        <v>Fully Achieved</v>
      </c>
      <c r="E26" s="207"/>
      <c r="F26" s="239" t="str">
        <f>'1. All Data'!N26</f>
        <v>Fully Achieved</v>
      </c>
      <c r="G26" s="214"/>
      <c r="H26" s="240" t="str">
        <f>'1. All Data'!S26</f>
        <v>Fully Achieved</v>
      </c>
      <c r="I26" s="207"/>
      <c r="J26" s="240" t="str">
        <f>'1. All Data'!W26</f>
        <v>Fully Achieved</v>
      </c>
    </row>
    <row r="27" spans="1:10" ht="99.75" customHeight="1">
      <c r="A27" s="205" t="str">
        <f>'1. All Data'!C27</f>
        <v>VFM25</v>
      </c>
      <c r="B27" s="241" t="str">
        <f>'1. All Data'!D27</f>
        <v>Brewhouse, Arts and Town Hall Developments</v>
      </c>
      <c r="C27" s="242" t="str">
        <f>'1. All Data'!E27</f>
        <v>Investigate new models of delivery for the Brewhouse Arts Facilities, Civic Function Suite and Arts Development</v>
      </c>
      <c r="D27" s="238" t="str">
        <f>'1. All Data'!I27</f>
        <v>On Track to be Achieved</v>
      </c>
      <c r="E27" s="207"/>
      <c r="F27" s="239" t="str">
        <f>'1. All Data'!N27</f>
        <v>On Track to be Achieved</v>
      </c>
      <c r="G27" s="207"/>
      <c r="H27" s="240" t="str">
        <f>'1. All Data'!S27</f>
        <v>Deferred</v>
      </c>
      <c r="I27" s="207"/>
      <c r="J27" s="240" t="str">
        <f>'1. All Data'!W27</f>
        <v>Deferred</v>
      </c>
    </row>
    <row r="28" spans="1:10" ht="99.75" customHeight="1">
      <c r="A28" s="205" t="str">
        <f>'1. All Data'!C28</f>
        <v>VFM26</v>
      </c>
      <c r="B28" s="241" t="str">
        <f>'1. All Data'!D28</f>
        <v>Improve Awareness of ESBC Venues and Initiatives</v>
      </c>
      <c r="C28" s="242" t="str">
        <f>'1. All Data'!E28</f>
        <v>Produce Marketing and Development Plans for key services and provide quarterly updates on performance</v>
      </c>
      <c r="D28" s="238" t="str">
        <f>'1. All Data'!I28</f>
        <v>On Track to be Achieved</v>
      </c>
      <c r="E28" s="206"/>
      <c r="F28" s="239" t="str">
        <f>'1. All Data'!N28</f>
        <v>On Track to be Achieved</v>
      </c>
      <c r="G28" s="207"/>
      <c r="H28" s="240" t="str">
        <f>'1. All Data'!S28</f>
        <v>On Track to be Achieved</v>
      </c>
      <c r="I28" s="207"/>
      <c r="J28" s="240" t="str">
        <f>'1. All Data'!W28</f>
        <v>Fully Achieved</v>
      </c>
    </row>
    <row r="29" spans="1:10" ht="99.75" customHeight="1">
      <c r="A29" s="205" t="str">
        <f>'1. All Data'!C29</f>
        <v>VFM27</v>
      </c>
      <c r="B29" s="241" t="str">
        <f>'1. All Data'!D29</f>
        <v xml:space="preserve">Improve Awareness of ESBC Venues and Initiatives </v>
      </c>
      <c r="C29" s="242" t="str">
        <f>'1. All Data'!E29</f>
        <v>Deliver a minimum of 2 Town Centre initiatives in Conjunction with local partners</v>
      </c>
      <c r="D29" s="238" t="str">
        <f>'1. All Data'!I29</f>
        <v>On Track to be Achieved</v>
      </c>
      <c r="E29" s="207"/>
      <c r="F29" s="239" t="str">
        <f>'1. All Data'!N29</f>
        <v>On Track to be Achieved</v>
      </c>
      <c r="G29" s="215"/>
      <c r="H29" s="240" t="str">
        <f>'1. All Data'!S29</f>
        <v>On Track to be Achieved</v>
      </c>
      <c r="I29" s="207"/>
      <c r="J29" s="240" t="str">
        <f>'1. All Data'!W29</f>
        <v>Fully Achieved</v>
      </c>
    </row>
    <row r="30" spans="1:10" ht="99.75" customHeight="1">
      <c r="A30" s="205" t="str">
        <f>'1. All Data'!C30</f>
        <v>VFM28</v>
      </c>
      <c r="B30" s="241" t="str">
        <f>'1. All Data'!D30</f>
        <v>Improve Awareness of ESBC Venues and Initiatives</v>
      </c>
      <c r="C30" s="242" t="str">
        <f>'1. All Data'!E30</f>
        <v>Organise a minimum of 4 “Outreach” Days (1 Per Quarter) to raise the profile of the Council’s services</v>
      </c>
      <c r="D30" s="238" t="str">
        <f>'1. All Data'!I30</f>
        <v>On Track to be Achieved</v>
      </c>
      <c r="E30" s="207"/>
      <c r="F30" s="239" t="str">
        <f>'1. All Data'!N30</f>
        <v>On Track to be Achieved</v>
      </c>
      <c r="G30" s="207"/>
      <c r="H30" s="240" t="str">
        <f>'1. All Data'!S30</f>
        <v>On Track to be Achieved</v>
      </c>
      <c r="I30" s="207"/>
      <c r="J30" s="240" t="str">
        <f>'1. All Data'!W30</f>
        <v>Fully Achieved</v>
      </c>
    </row>
    <row r="31" spans="1:10" ht="99.75" customHeight="1">
      <c r="A31" s="205" t="str">
        <f>'1. All Data'!C31</f>
        <v>VFM29</v>
      </c>
      <c r="B31" s="241" t="str">
        <f>'1. All Data'!D31</f>
        <v>Further Development of SMARTER working (Waste Collection)</v>
      </c>
      <c r="C31" s="242" t="str">
        <f>'1. All Data'!E31</f>
        <v>Conduct review of Waste Service
Two Findings / Update Reports with next steps</v>
      </c>
      <c r="D31" s="238" t="str">
        <f>'1. All Data'!I31</f>
        <v>On Track to be Achieved</v>
      </c>
      <c r="E31" s="207"/>
      <c r="F31" s="239" t="str">
        <f>'1. All Data'!N31</f>
        <v>On Track to be Achieved</v>
      </c>
      <c r="G31" s="207"/>
      <c r="H31" s="240" t="str">
        <f>'1. All Data'!S31</f>
        <v>Fully Achieved</v>
      </c>
      <c r="I31" s="207"/>
      <c r="J31" s="240" t="str">
        <f>'1. All Data'!W31</f>
        <v>Fully Achieved</v>
      </c>
    </row>
    <row r="32" spans="1:10" ht="99.75" customHeight="1">
      <c r="A32" s="205" t="str">
        <f>'1. All Data'!C32</f>
        <v>VFM30</v>
      </c>
      <c r="B32" s="241" t="str">
        <f>'1. All Data'!D32</f>
        <v>Further Development of SMARTER working  (Street Cleaning)</v>
      </c>
      <c r="C32" s="242" t="str">
        <f>'1. All Data'!E32</f>
        <v xml:space="preserve">Implement the SMARTER Street Cleaning Programme
Two update reports </v>
      </c>
      <c r="D32" s="238" t="str">
        <f>'1. All Data'!I32</f>
        <v>Not Yet Due</v>
      </c>
      <c r="E32" s="206"/>
      <c r="F32" s="239" t="str">
        <f>'1. All Data'!N32</f>
        <v>On Track to be Achieved</v>
      </c>
      <c r="G32" s="207"/>
      <c r="H32" s="240" t="str">
        <f>'1. All Data'!S32</f>
        <v>On Track to be Achieved</v>
      </c>
      <c r="I32" s="207"/>
      <c r="J32" s="240" t="str">
        <f>'1. All Data'!W32</f>
        <v>Fully Achieved</v>
      </c>
    </row>
    <row r="33" spans="1:10" ht="99.75" customHeight="1">
      <c r="A33" s="205" t="str">
        <f>'1. All Data'!C33</f>
        <v xml:space="preserve">VFM31 </v>
      </c>
      <c r="B33" s="241" t="str">
        <f>'1. All Data'!D33</f>
        <v>Further Development of SMARTER working  (Street Cleaning)</v>
      </c>
      <c r="C33" s="242" t="str">
        <f>'1. All Data'!E33</f>
        <v>Produce Strategy for engaging with Highways England to improve cleanliness around A38 and associated access roads</v>
      </c>
      <c r="D33" s="238" t="str">
        <f>'1. All Data'!I33</f>
        <v>Fully Achieved</v>
      </c>
      <c r="E33" s="207"/>
      <c r="F33" s="239" t="str">
        <f>'1. All Data'!N33</f>
        <v>Fully Achieved</v>
      </c>
      <c r="G33" s="207"/>
      <c r="H33" s="240" t="str">
        <f>'1. All Data'!S33</f>
        <v>Fully Achieved</v>
      </c>
      <c r="I33" s="207"/>
      <c r="J33" s="240" t="str">
        <f>'1. All Data'!W33</f>
        <v>Fully Achieved</v>
      </c>
    </row>
    <row r="34" spans="1:10" ht="99.75" customHeight="1">
      <c r="A34" s="205" t="str">
        <f>'1. All Data'!C34</f>
        <v>VFM32</v>
      </c>
      <c r="B34" s="241" t="str">
        <f>'1. All Data'!D34</f>
        <v>Further Development of SMARTER Working (Building Control)</v>
      </c>
      <c r="C34" s="242" t="str">
        <f>'1. All Data'!E34</f>
        <v>Implement ISO Quality Management System for Building Control</v>
      </c>
      <c r="D34" s="238" t="str">
        <f>'1. All Data'!I34</f>
        <v>Not Yet Due</v>
      </c>
      <c r="E34" s="207"/>
      <c r="F34" s="239" t="str">
        <f>'1. All Data'!N34</f>
        <v>On Track to be Achieved</v>
      </c>
      <c r="G34" s="207"/>
      <c r="H34" s="240" t="str">
        <f>'1. All Data'!S34</f>
        <v>Fully Achieved</v>
      </c>
      <c r="I34" s="207"/>
      <c r="J34" s="240" t="str">
        <f>'1. All Data'!W34</f>
        <v>Fully Achieved</v>
      </c>
    </row>
    <row r="35" spans="1:10" ht="99.75" customHeight="1">
      <c r="A35" s="205" t="str">
        <f>'1. All Data'!C35</f>
        <v>VFM33</v>
      </c>
      <c r="B35" s="241" t="str">
        <f>'1. All Data'!D35</f>
        <v>Minimise The Number Of Missed Bin Collections</v>
      </c>
      <c r="C35" s="242" t="str">
        <f>'1. All Data'!E35</f>
        <v>Number Of Missed Bin Collections: 
2 missed bins per 10,000 collections</v>
      </c>
      <c r="D35" s="238" t="str">
        <f>'1. All Data'!I35</f>
        <v>In Danger of Falling Behind Target</v>
      </c>
      <c r="E35" s="206"/>
      <c r="F35" s="239" t="str">
        <f>'1. All Data'!N35</f>
        <v>In Danger of Falling Behind Target</v>
      </c>
      <c r="G35" s="207"/>
      <c r="H35" s="240" t="str">
        <f>'1. All Data'!S35</f>
        <v>Off Target</v>
      </c>
      <c r="I35" s="207"/>
      <c r="J35" s="240" t="str">
        <f>'1. All Data'!W35</f>
        <v>Off Target</v>
      </c>
    </row>
    <row r="36" spans="1:10" ht="99.75" customHeight="1">
      <c r="A36" s="205" t="str">
        <f>'1. All Data'!C36</f>
        <v>VFM34</v>
      </c>
      <c r="B36" s="241" t="str">
        <f>'1. All Data'!D36</f>
        <v xml:space="preserve">Carry out SMARTER Digital Communications </v>
      </c>
      <c r="C36" s="242" t="str">
        <f>'1. All Data'!E36</f>
        <v>Refreshed Web / Social Media Waste Management and Street Cleaning Section launched</v>
      </c>
      <c r="D36" s="238" t="str">
        <f>'1. All Data'!I36</f>
        <v>On Track to be Achieved</v>
      </c>
      <c r="E36" s="207"/>
      <c r="F36" s="239" t="str">
        <f>'1. All Data'!N36</f>
        <v>Fully Achieved</v>
      </c>
      <c r="G36" s="207"/>
      <c r="H36" s="240" t="str">
        <f>'1. All Data'!S36</f>
        <v>Fully Achieved</v>
      </c>
      <c r="I36" s="207"/>
      <c r="J36" s="240" t="str">
        <f>'1. All Data'!W36</f>
        <v>Fully Achieved</v>
      </c>
    </row>
    <row r="37" spans="1:10" ht="99.75" customHeight="1">
      <c r="A37" s="205" t="str">
        <f>'1. All Data'!C37</f>
        <v>VFM35</v>
      </c>
      <c r="B37" s="241" t="str">
        <f>'1. All Data'!D37</f>
        <v xml:space="preserve">Respond to Government Policy Announcements </v>
      </c>
      <c r="C37" s="242" t="str">
        <f>'1. All Data'!E37</f>
        <v>Complete responses to Government consultations in line with consultation deadlines</v>
      </c>
      <c r="D37" s="238" t="str">
        <f>'1. All Data'!I37</f>
        <v>On Track to be Achieved</v>
      </c>
      <c r="E37" s="206"/>
      <c r="F37" s="239" t="str">
        <f>'1. All Data'!N37</f>
        <v>On Track to be Achieved</v>
      </c>
      <c r="G37" s="207"/>
      <c r="H37" s="240" t="str">
        <f>'1. All Data'!S37</f>
        <v>Fully Achieved</v>
      </c>
      <c r="I37" s="207"/>
      <c r="J37" s="240" t="str">
        <f>'1. All Data'!W37</f>
        <v>Fully Achieved</v>
      </c>
    </row>
    <row r="38" spans="1:10" ht="99.75" customHeight="1">
      <c r="A38" s="205" t="str">
        <f>'1. All Data'!C38</f>
        <v>VFM36a</v>
      </c>
      <c r="B38" s="241" t="str">
        <f>'1. All Data'!D38</f>
        <v xml:space="preserve">Continue to Maximise Income Through Effective Collection Processes
(Previously BV9) </v>
      </c>
      <c r="C38" s="242" t="str">
        <f>'1. All Data'!E38</f>
        <v>Council Tax Collection Rates: 98%</v>
      </c>
      <c r="D38" s="238" t="str">
        <f>'1. All Data'!I38</f>
        <v>On Track to be Achieved</v>
      </c>
      <c r="E38" s="207"/>
      <c r="F38" s="239" t="str">
        <f>'1. All Data'!N38</f>
        <v>On Track to be Achieved</v>
      </c>
      <c r="G38" s="215"/>
      <c r="H38" s="240" t="str">
        <f>'1. All Data'!S38</f>
        <v>On Track to be Achieved</v>
      </c>
      <c r="I38" s="207"/>
      <c r="J38" s="240" t="str">
        <f>'1. All Data'!W38</f>
        <v>Numerical Outturn Within 5% Tolerance</v>
      </c>
    </row>
    <row r="39" spans="1:10" ht="99.75" customHeight="1">
      <c r="A39" s="205" t="str">
        <f>'1. All Data'!C39</f>
        <v>VFM36b</v>
      </c>
      <c r="B39" s="241" t="str">
        <f>'1. All Data'!D39</f>
        <v xml:space="preserve">Continue to Maximise Income Through Effective Collection Processes
(Previously BV10) </v>
      </c>
      <c r="C39" s="242" t="str">
        <f>'1. All Data'!E39</f>
        <v>NNDR Collection Rates: 99%</v>
      </c>
      <c r="D39" s="238" t="str">
        <f>'1. All Data'!I39</f>
        <v>On Track to be Achieved</v>
      </c>
      <c r="E39" s="206"/>
      <c r="F39" s="239" t="str">
        <f>'1. All Data'!N39</f>
        <v>On Track to be Achieved</v>
      </c>
      <c r="G39" s="215"/>
      <c r="H39" s="240" t="str">
        <f>'1. All Data'!S39</f>
        <v>On Track to be Achieved</v>
      </c>
      <c r="I39" s="207"/>
      <c r="J39" s="240" t="str">
        <f>'1. All Data'!W39</f>
        <v>Numerical Outturn Within 5% Tolerance</v>
      </c>
    </row>
    <row r="40" spans="1:10" ht="99.75" customHeight="1">
      <c r="A40" s="205" t="str">
        <f>'1. All Data'!C40</f>
        <v>VFM37a</v>
      </c>
      <c r="B40" s="241" t="str">
        <f>'1. All Data'!D40</f>
        <v>Continue to Maximise Income Through Effective Collection Processes:
Reduce Former Years Arrears for Council Tax; NNDR; Sundry Debts</v>
      </c>
      <c r="C40" s="242" t="str">
        <f>'1. All Data'!E40</f>
        <v>Former Years Arrears for Council Tax; £1,900,000 (net)</v>
      </c>
      <c r="D40" s="238" t="str">
        <f>'1. All Data'!I40</f>
        <v>On Track to be Achieved</v>
      </c>
      <c r="E40" s="207"/>
      <c r="F40" s="239" t="str">
        <f>'1. All Data'!N40</f>
        <v>On Track to be Achieved</v>
      </c>
      <c r="G40" s="207"/>
      <c r="H40" s="240" t="str">
        <f>'1. All Data'!S40</f>
        <v>On Track to be Achieved</v>
      </c>
      <c r="I40" s="207"/>
      <c r="J40" s="240" t="str">
        <f>'1. All Data'!W40</f>
        <v>Numerical Outturn Within 10% Tolerance</v>
      </c>
    </row>
    <row r="41" spans="1:10" ht="99.75" customHeight="1">
      <c r="A41" s="205" t="str">
        <f>'1. All Data'!C41</f>
        <v>VFM37b</v>
      </c>
      <c r="B41" s="241" t="str">
        <f>'1. All Data'!D41</f>
        <v>Continue to Maximise Income Through Effective Collection Processes:
Reduce Former Years Arrears for Council Tax; NNDR; Sundry Debts</v>
      </c>
      <c r="C41" s="242" t="str">
        <f>'1. All Data'!E41</f>
        <v>Former Years Arrears for NNDR; 
£500,000 (net)</v>
      </c>
      <c r="D41" s="238" t="str">
        <f>'1. All Data'!I41</f>
        <v>On Track to be Achieved</v>
      </c>
      <c r="E41" s="207"/>
      <c r="F41" s="239" t="str">
        <f>'1. All Data'!N41</f>
        <v>On Track to be Achieved</v>
      </c>
      <c r="G41" s="207"/>
      <c r="H41" s="240" t="str">
        <f>'1. All Data'!S41</f>
        <v>On Track to be Achieved</v>
      </c>
      <c r="I41" s="207"/>
      <c r="J41" s="240" t="str">
        <f>'1. All Data'!W41</f>
        <v>Off Target</v>
      </c>
    </row>
    <row r="42" spans="1:10" ht="99.75" customHeight="1">
      <c r="A42" s="205" t="str">
        <f>'1. All Data'!C42</f>
        <v>VFM37c</v>
      </c>
      <c r="B42" s="241" t="str">
        <f>'1. All Data'!D42</f>
        <v>Continue to Maximise Income Through Effective Collection Processes:
Reduce Former Years Arrears for Council Tax; NNDR; Sundry Debts</v>
      </c>
      <c r="C42" s="242" t="str">
        <f>'1. All Data'!E42</f>
        <v>Current Years Arrears for Sundry debts; 
£40,000 (older than 90 days)</v>
      </c>
      <c r="D42" s="238" t="str">
        <f>'1. All Data'!I42</f>
        <v>On Track to be Achieved</v>
      </c>
      <c r="E42" s="206"/>
      <c r="F42" s="239" t="str">
        <f>'1. All Data'!N42</f>
        <v>On Track to be Achieved</v>
      </c>
      <c r="G42" s="215"/>
      <c r="H42" s="240" t="str">
        <f>'1. All Data'!S42</f>
        <v>On Track to be Achieved</v>
      </c>
      <c r="I42" s="215"/>
      <c r="J42" s="240" t="str">
        <f>'1. All Data'!W42</f>
        <v>Fully Achieved</v>
      </c>
    </row>
    <row r="43" spans="1:10" ht="99.75" customHeight="1">
      <c r="A43" s="205" t="str">
        <f>'1. All Data'!C43</f>
        <v>VFM38a</v>
      </c>
      <c r="B43" s="241" t="str">
        <f>'1. All Data'!D43</f>
        <v>Maintaining excellent customer access to services with face-to-face and telephony enquiries</v>
      </c>
      <c r="C43" s="242" t="str">
        <f>'1. All Data'!E43</f>
        <v>99% of CSC and Telephony Team Enquiries Resolved at First Point of Contact</v>
      </c>
      <c r="D43" s="238" t="str">
        <f>'1. All Data'!I43</f>
        <v>On Track to be Achieved</v>
      </c>
      <c r="E43" s="206"/>
      <c r="F43" s="239" t="str">
        <f>'1. All Data'!N43</f>
        <v>On Track to be Achieved</v>
      </c>
      <c r="G43" s="207"/>
      <c r="H43" s="240" t="str">
        <f>'1. All Data'!S43</f>
        <v>On Track to be Achieved</v>
      </c>
      <c r="I43" s="207"/>
      <c r="J43" s="240" t="str">
        <f>'1. All Data'!W43</f>
        <v>Fully Achieved</v>
      </c>
    </row>
    <row r="44" spans="1:10" ht="99.75" customHeight="1">
      <c r="A44" s="205" t="str">
        <f>'1. All Data'!C44</f>
        <v>VFM38b</v>
      </c>
      <c r="B44" s="241" t="str">
        <f>'1. All Data'!D44</f>
        <v>Maintaining excellent customer access to services with face-to-face and telephony enquiries</v>
      </c>
      <c r="C44" s="242" t="str">
        <f>'1. All Data'!E44</f>
        <v>Minimum 75% Telephony Team Calls Answered Within 10 Seconds</v>
      </c>
      <c r="D44" s="238" t="str">
        <f>'1. All Data'!I44</f>
        <v>On Track to be Achieved</v>
      </c>
      <c r="E44" s="206"/>
      <c r="F44" s="239" t="str">
        <f>'1. All Data'!N44</f>
        <v>On Track to be Achieved</v>
      </c>
      <c r="G44" s="207"/>
      <c r="H44" s="240" t="str">
        <f>'1. All Data'!S44</f>
        <v>On Track to be Achieved</v>
      </c>
      <c r="I44" s="207"/>
      <c r="J44" s="240" t="str">
        <f>'1. All Data'!W44</f>
        <v>Fully Achieved</v>
      </c>
    </row>
    <row r="45" spans="1:10" ht="99.75" customHeight="1">
      <c r="A45" s="205" t="str">
        <f>'1. All Data'!C45</f>
        <v>VFM39a</v>
      </c>
      <c r="B45" s="241" t="str">
        <f>'1. All Data'!D45</f>
        <v>Maximise Tax Bases through continued reviews of discounts, exemptions and reliefs</v>
      </c>
      <c r="C45" s="242" t="str">
        <f>'1. All Data'!E45</f>
        <v xml:space="preserve">Empty Properties – October 2019
</v>
      </c>
      <c r="D45" s="238" t="str">
        <f>'1. All Data'!I45</f>
        <v>Not Yet Due</v>
      </c>
      <c r="E45" s="207"/>
      <c r="F45" s="239" t="str">
        <f>'1. All Data'!N45</f>
        <v>Fully Achieved</v>
      </c>
      <c r="G45" s="207"/>
      <c r="H45" s="240" t="str">
        <f>'1. All Data'!S45</f>
        <v>Fully Achieved</v>
      </c>
      <c r="I45" s="207"/>
      <c r="J45" s="240" t="str">
        <f>'1. All Data'!W45</f>
        <v>Fully Achieved</v>
      </c>
    </row>
    <row r="46" spans="1:10" ht="99.75" customHeight="1">
      <c r="A46" s="205" t="str">
        <f>'1. All Data'!C47</f>
        <v>VFM40</v>
      </c>
      <c r="B46" s="241" t="str">
        <f>'1. All Data'!D47</f>
        <v>Continue to Improve the Ways We Provide Benefits to Those Most in Need:
Time Taken to Process Benefit New Claims and Change Events (Previously NI 181)</v>
      </c>
      <c r="C46" s="242" t="str">
        <f>'1. All Data'!E47</f>
        <v>5 days</v>
      </c>
      <c r="D46" s="238" t="str">
        <f>'1. All Data'!I47</f>
        <v>On Track to be Achieved</v>
      </c>
      <c r="E46" s="207"/>
      <c r="F46" s="239" t="str">
        <f>'1. All Data'!N47</f>
        <v>On Track to be Achieved</v>
      </c>
      <c r="G46" s="207"/>
      <c r="H46" s="240" t="str">
        <f>'1. All Data'!S47</f>
        <v>On Track to be Achieved</v>
      </c>
      <c r="I46" s="207"/>
      <c r="J46" s="240" t="str">
        <f>'1. All Data'!W47</f>
        <v>Fully Achieved</v>
      </c>
    </row>
    <row r="47" spans="1:10" ht="99.75" customHeight="1">
      <c r="A47" s="205" t="str">
        <f>'1. All Data'!C48</f>
        <v>VFM41a</v>
      </c>
      <c r="B47" s="241" t="str">
        <f>'1. All Data'!D48</f>
        <v>Working Towards the Reduction of Claimant Error Housing Benefit Overpayments (HBOPs)</v>
      </c>
      <c r="C47" s="242" t="str">
        <f>'1. All Data'!E48</f>
        <v>80% of HBOPs Overpayments Recovered During the Year</v>
      </c>
      <c r="D47" s="238" t="str">
        <f>'1. All Data'!I48</f>
        <v>On Track to be Achieved</v>
      </c>
      <c r="E47" s="207"/>
      <c r="F47" s="239" t="str">
        <f>'1. All Data'!N48</f>
        <v>On Track to be Achieved</v>
      </c>
      <c r="G47" s="207"/>
      <c r="H47" s="240" t="str">
        <f>'1. All Data'!S48</f>
        <v>On Track to be Achieved</v>
      </c>
      <c r="I47" s="207"/>
      <c r="J47" s="240" t="str">
        <f>'1. All Data'!W48</f>
        <v>Fully Achieved</v>
      </c>
    </row>
    <row r="48" spans="1:10" ht="99.75" customHeight="1">
      <c r="A48" s="205" t="str">
        <f>'1. All Data'!C49</f>
        <v>VFM41b</v>
      </c>
      <c r="B48" s="241" t="str">
        <f>'1. All Data'!D49</f>
        <v>Working Towards the Reduction of Claimant Error Housing Benefit Overpayments (HBOPs)</v>
      </c>
      <c r="C48" s="242" t="str">
        <f>'1. All Data'!E49</f>
        <v>85% of HBOPS Processed and on Payment Arrangement</v>
      </c>
      <c r="D48" s="238" t="str">
        <f>'1. All Data'!I49</f>
        <v>On Track to be Achieved</v>
      </c>
      <c r="E48" s="207"/>
      <c r="F48" s="239" t="str">
        <f>'1. All Data'!N49</f>
        <v>On Track to be Achieved</v>
      </c>
      <c r="G48" s="207"/>
      <c r="H48" s="240" t="str">
        <f>'1. All Data'!S49</f>
        <v>On Track to be Achieved</v>
      </c>
      <c r="I48" s="207"/>
      <c r="J48" s="240" t="str">
        <f>'1. All Data'!W49</f>
        <v>Fully Achieved</v>
      </c>
    </row>
    <row r="49" spans="1:47" ht="99.75" customHeight="1">
      <c r="A49" s="205" t="str">
        <f>'1. All Data'!C50</f>
        <v>VFM42</v>
      </c>
      <c r="B49" s="241" t="str">
        <f>'1. All Data'!D50</f>
        <v>Review Council Tax Reduction scheme</v>
      </c>
      <c r="C49" s="242" t="str">
        <f>'1. All Data'!E50</f>
        <v xml:space="preserve">Carry Out Review of the Council Tax Reduction Scheme </v>
      </c>
      <c r="D49" s="238" t="str">
        <f>'1. All Data'!I50</f>
        <v>Not Yet Due</v>
      </c>
      <c r="E49" s="207"/>
      <c r="F49" s="239" t="str">
        <f>'1. All Data'!N50</f>
        <v>Fully Achieved</v>
      </c>
      <c r="G49" s="207"/>
      <c r="H49" s="240" t="str">
        <f>'1. All Data'!S50</f>
        <v>Fully Achieved</v>
      </c>
      <c r="I49" s="207"/>
      <c r="J49" s="240" t="str">
        <f>'1. All Data'!W50</f>
        <v>Fully Achieved</v>
      </c>
    </row>
    <row r="50" spans="1:47" ht="99.75" customHeight="1">
      <c r="A50" s="205" t="str">
        <f>'1. All Data'!C51</f>
        <v>VFM43</v>
      </c>
      <c r="B50" s="241" t="str">
        <f>'1. All Data'!D51</f>
        <v>Review Business Rates Rate Relief policy</v>
      </c>
      <c r="C50" s="242" t="str">
        <f>'1. All Data'!E51</f>
        <v>Policy reviewed (for next year’s implementation)</v>
      </c>
      <c r="D50" s="238" t="str">
        <f>'1. All Data'!I51</f>
        <v>Not Yet Due</v>
      </c>
      <c r="E50" s="207"/>
      <c r="F50" s="239" t="str">
        <f>'1. All Data'!N51</f>
        <v>Not Yet Due</v>
      </c>
      <c r="G50" s="215"/>
      <c r="H50" s="240" t="str">
        <f>'1. All Data'!S51</f>
        <v>Not Yet Due</v>
      </c>
      <c r="I50" s="215"/>
      <c r="J50" s="240" t="str">
        <f>'1. All Data'!W51</f>
        <v>Fully Achieved</v>
      </c>
    </row>
    <row r="51" spans="1:47" ht="99.75" customHeight="1">
      <c r="A51" s="205" t="str">
        <f>'1. All Data'!C52</f>
        <v>VFM44</v>
      </c>
      <c r="B51" s="241" t="str">
        <f>'1. All Data'!D52</f>
        <v xml:space="preserve">Prepare for Universal Credit Managed Migration </v>
      </c>
      <c r="C51" s="242" t="str">
        <f>'1. All Data'!E52</f>
        <v xml:space="preserve">Work with DWP and partners, prepare 2 in year progress reports and 1 Member briefing </v>
      </c>
      <c r="D51" s="238" t="str">
        <f>'1. All Data'!I52</f>
        <v>Not Yet Due</v>
      </c>
      <c r="E51" s="206"/>
      <c r="F51" s="239" t="str">
        <f>'1. All Data'!N52</f>
        <v>Not Yet Due</v>
      </c>
      <c r="G51" s="207"/>
      <c r="H51" s="240" t="str">
        <f>'1. All Data'!S52</f>
        <v>Not Yet Due</v>
      </c>
      <c r="I51" s="207"/>
      <c r="J51" s="240" t="str">
        <f>'1. All Data'!W52</f>
        <v>Fully Achieved</v>
      </c>
    </row>
    <row r="52" spans="1:47" ht="99.75" customHeight="1">
      <c r="A52" s="205" t="str">
        <f>'1. All Data'!C53</f>
        <v>VFM45</v>
      </c>
      <c r="B52" s="241" t="str">
        <f>'1. All Data'!D53</f>
        <v>Continuing to inform and improve Planning awareness with Members</v>
      </c>
      <c r="C52" s="242" t="str">
        <f>'1. All Data'!E53</f>
        <v xml:space="preserve">At least 2 briefings delivered to elected members during the year </v>
      </c>
      <c r="D52" s="238" t="str">
        <f>'1. All Data'!I53</f>
        <v>On Track to be Achieved</v>
      </c>
      <c r="E52" s="206"/>
      <c r="F52" s="239" t="str">
        <f>'1. All Data'!N53</f>
        <v>On Track to be Achieved</v>
      </c>
      <c r="G52" s="207"/>
      <c r="H52" s="240" t="str">
        <f>'1. All Data'!S53</f>
        <v>On Track to be Achieved</v>
      </c>
      <c r="I52" s="207"/>
      <c r="J52" s="240" t="str">
        <f>'1. All Data'!W53</f>
        <v>Fully Achieved</v>
      </c>
    </row>
    <row r="53" spans="1:47" ht="99.75" customHeight="1">
      <c r="A53" s="205" t="str">
        <f>'1. All Data'!C54</f>
        <v>VFM46</v>
      </c>
      <c r="B53" s="241" t="str">
        <f>'1. All Data'!D54</f>
        <v>Continuing to inform and improve Planning awareness with Members</v>
      </c>
      <c r="C53" s="242" t="str">
        <f>'1. All Data'!E54</f>
        <v>Strategic Sites Progress Report delivered</v>
      </c>
      <c r="D53" s="238" t="str">
        <f>'1. All Data'!I54</f>
        <v>On Track to be Achieved</v>
      </c>
      <c r="E53" s="207"/>
      <c r="F53" s="239" t="str">
        <f>'1. All Data'!N54</f>
        <v>On Track to be Achieved</v>
      </c>
      <c r="G53" s="207"/>
      <c r="H53" s="240" t="str">
        <f>'1. All Data'!S54</f>
        <v>On Track to be Achieved</v>
      </c>
      <c r="I53" s="207"/>
      <c r="J53" s="240" t="str">
        <f>'1. All Data'!W54</f>
        <v>Fully Achieved</v>
      </c>
    </row>
    <row r="54" spans="1:47" ht="87.75">
      <c r="A54" s="205" t="str">
        <f>'1. All Data'!C55</f>
        <v>VFM47</v>
      </c>
      <c r="B54" s="241" t="str">
        <f>'1. All Data'!D55</f>
        <v xml:space="preserve">Monitor Local Plan Performance </v>
      </c>
      <c r="C54" s="242" t="str">
        <f>'1. All Data'!E55</f>
        <v>Annual Monitoring Report  Prepared</v>
      </c>
      <c r="D54" s="238" t="str">
        <f>'1. All Data'!I55</f>
        <v>On Track to be Achieved</v>
      </c>
      <c r="E54" s="206"/>
      <c r="F54" s="239" t="str">
        <f>'1. All Data'!N55</f>
        <v>On Track to be Achieved</v>
      </c>
      <c r="G54" s="215"/>
      <c r="H54" s="240" t="str">
        <f>'1. All Data'!S55</f>
        <v>On Track to be Achieved</v>
      </c>
      <c r="I54" s="207"/>
      <c r="J54" s="240" t="str">
        <f>'1. All Data'!W55</f>
        <v>Fully Achieved</v>
      </c>
    </row>
    <row r="55" spans="1:47" ht="99.75" customHeight="1">
      <c r="A55" s="205" t="str">
        <f>'1. All Data'!C56</f>
        <v>VFM48</v>
      </c>
      <c r="B55" s="241" t="str">
        <f>'1. All Data'!D56</f>
        <v>Continue to develop SMARTER working practices for Planning</v>
      </c>
      <c r="C55" s="242" t="str">
        <f>'1. All Data'!E56</f>
        <v>Invalid Applications Review and Report</v>
      </c>
      <c r="D55" s="238" t="str">
        <f>'1. All Data'!I56</f>
        <v>On Track to be Achieved</v>
      </c>
      <c r="E55" s="207"/>
      <c r="F55" s="239" t="str">
        <f>'1. All Data'!N56</f>
        <v>On Track to be Achieved</v>
      </c>
      <c r="G55" s="207"/>
      <c r="H55" s="240" t="str">
        <f>'1. All Data'!S56</f>
        <v>On Track to be Achieved</v>
      </c>
      <c r="I55" s="207"/>
      <c r="J55" s="240" t="str">
        <f>'1. All Data'!W56</f>
        <v>Fully Achieved</v>
      </c>
    </row>
    <row r="56" spans="1:47" ht="99.75" customHeight="1">
      <c r="A56" s="205" t="str">
        <f>'1. All Data'!C57</f>
        <v>VFM49</v>
      </c>
      <c r="B56" s="241" t="str">
        <f>'1. All Data'!D57</f>
        <v>Continue to develop SMARTER working practices for Planning</v>
      </c>
      <c r="C56" s="242" t="str">
        <f>'1. All Data'!E57</f>
        <v>Adoption of SMARTER Developer Contributions SPD</v>
      </c>
      <c r="D56" s="238" t="str">
        <f>'1. All Data'!I57</f>
        <v>On Track to be Achieved</v>
      </c>
      <c r="E56" s="207"/>
      <c r="F56" s="239" t="str">
        <f>'1. All Data'!N57</f>
        <v>On Track to be Achieved</v>
      </c>
      <c r="G56" s="207"/>
      <c r="H56" s="240" t="str">
        <f>'1. All Data'!S57</f>
        <v>On Track to be Achieved</v>
      </c>
      <c r="I56" s="207"/>
      <c r="J56" s="240" t="str">
        <f>'1. All Data'!W57</f>
        <v>Fully Achieved</v>
      </c>
      <c r="AU56" s="208"/>
    </row>
    <row r="57" spans="1:47" s="223" customFormat="1" ht="87.75">
      <c r="A57" s="205" t="str">
        <f>'1. All Data'!C58</f>
        <v>VFM50</v>
      </c>
      <c r="B57" s="241" t="str">
        <f>'1. All Data'!D58</f>
        <v xml:space="preserve">Ensure Robust Licensing Policies </v>
      </c>
      <c r="C57" s="242" t="str">
        <f>'1. All Data'!E58</f>
        <v xml:space="preserve">Complete a Review of the Scrap Metal Dealers Policy </v>
      </c>
      <c r="D57" s="238" t="str">
        <f>'1. All Data'!I58</f>
        <v>Fully Achieved</v>
      </c>
      <c r="E57" s="206"/>
      <c r="F57" s="239" t="str">
        <f>'1. All Data'!N58</f>
        <v>Fully Achieved</v>
      </c>
      <c r="G57" s="207"/>
      <c r="H57" s="240" t="str">
        <f>'1. All Data'!S58</f>
        <v>Fully Achieved</v>
      </c>
      <c r="I57" s="207"/>
      <c r="J57" s="240" t="str">
        <f>'1. All Data'!W58</f>
        <v>Fully Achieved</v>
      </c>
      <c r="K57" s="216"/>
      <c r="L57" s="216"/>
      <c r="M57" s="216"/>
      <c r="N57" s="217"/>
      <c r="O57" s="218"/>
      <c r="P57" s="218"/>
      <c r="Q57" s="218"/>
      <c r="R57" s="218"/>
      <c r="S57" s="219"/>
      <c r="T57" s="216"/>
      <c r="U57" s="216"/>
      <c r="V57" s="216"/>
      <c r="W57" s="216"/>
      <c r="X57" s="220"/>
      <c r="Y57" s="220"/>
      <c r="Z57" s="220"/>
      <c r="AA57" s="220"/>
      <c r="AB57" s="221"/>
      <c r="AC57" s="204"/>
      <c r="AD57" s="222"/>
      <c r="AE57" s="222"/>
      <c r="AF57" s="222"/>
      <c r="AG57" s="222"/>
      <c r="AH57" s="222"/>
      <c r="AI57" s="222"/>
      <c r="AJ57" s="222"/>
      <c r="AK57" s="222"/>
      <c r="AL57" s="222"/>
      <c r="AM57" s="222"/>
      <c r="AN57" s="222"/>
      <c r="AO57" s="222"/>
      <c r="AP57" s="222"/>
      <c r="AQ57" s="222"/>
      <c r="AR57" s="222"/>
      <c r="AS57" s="222"/>
      <c r="AT57" s="222"/>
      <c r="AU57" s="222"/>
    </row>
    <row r="58" spans="1:47" ht="99.75" customHeight="1">
      <c r="A58" s="205" t="str">
        <f>'1. All Data'!C59</f>
        <v>VFM51</v>
      </c>
      <c r="B58" s="241" t="str">
        <f>'1. All Data'!D59</f>
        <v>Ensure Robust Licensing Policies</v>
      </c>
      <c r="C58" s="242" t="str">
        <f>'1. All Data'!E59</f>
        <v xml:space="preserve">Complete a Review of the Charitable Collection Policy </v>
      </c>
      <c r="D58" s="238" t="str">
        <f>'1. All Data'!I59</f>
        <v>On Track to be Achieved</v>
      </c>
      <c r="E58" s="207"/>
      <c r="F58" s="239" t="str">
        <f>'1. All Data'!N59</f>
        <v>Fully Achieved</v>
      </c>
      <c r="G58" s="207"/>
      <c r="H58" s="240" t="str">
        <f>'1. All Data'!S59</f>
        <v>Fully Achieved</v>
      </c>
      <c r="I58" s="207"/>
      <c r="J58" s="240" t="str">
        <f>'1. All Data'!W59</f>
        <v>Fully Achieved</v>
      </c>
    </row>
    <row r="59" spans="1:47" ht="99.75" customHeight="1">
      <c r="A59" s="205" t="str">
        <f>'1. All Data'!C60</f>
        <v>VFM52</v>
      </c>
      <c r="B59" s="241" t="str">
        <f>'1. All Data'!D60</f>
        <v>Ensure Robust Licensing Policies</v>
      </c>
      <c r="C59" s="242" t="str">
        <f>'1. All Data'!E60</f>
        <v xml:space="preserve">Complete a Review of the Licensing Act Policy </v>
      </c>
      <c r="D59" s="238" t="str">
        <f>'1. All Data'!I60</f>
        <v>On Track to be Achieved</v>
      </c>
      <c r="E59" s="206"/>
      <c r="F59" s="239" t="str">
        <f>'1. All Data'!N60</f>
        <v>On Track to be Achieved</v>
      </c>
      <c r="G59" s="207"/>
      <c r="H59" s="240" t="str">
        <f>'1. All Data'!S60</f>
        <v>On Track to be Achieved</v>
      </c>
      <c r="I59" s="207"/>
      <c r="J59" s="240" t="str">
        <f>'1. All Data'!W60</f>
        <v>Fully Achieved</v>
      </c>
    </row>
    <row r="60" spans="1:47" ht="99.75" customHeight="1">
      <c r="A60" s="205" t="str">
        <f>'1. All Data'!C61</f>
        <v>VFM53</v>
      </c>
      <c r="B60" s="241" t="str">
        <f>'1. All Data'!D61</f>
        <v>Ensure an Effective Selective Licensing Scheme</v>
      </c>
      <c r="C60" s="242" t="str">
        <f>'1. All Data'!E61</f>
        <v>Complete an Evaluation of the Selective Licensing Scheme and consider its future expansion</v>
      </c>
      <c r="D60" s="238" t="str">
        <f>'1. All Data'!I61</f>
        <v>On Track to be Achieved</v>
      </c>
      <c r="E60" s="207"/>
      <c r="F60" s="239" t="str">
        <f>'1. All Data'!N61</f>
        <v>On Track to be Achieved</v>
      </c>
      <c r="G60" s="224"/>
      <c r="H60" s="240" t="str">
        <f>'1. All Data'!S61</f>
        <v>Fully Achieved</v>
      </c>
      <c r="I60" s="224"/>
      <c r="J60" s="240" t="str">
        <f>'1. All Data'!W61</f>
        <v>Fully Achieved</v>
      </c>
    </row>
    <row r="61" spans="1:47" s="228" customFormat="1" ht="69.75" customHeight="1">
      <c r="A61" s="205" t="str">
        <f>'1. All Data'!C62</f>
        <v>VFM54</v>
      </c>
      <c r="B61" s="241" t="str">
        <f>'1. All Data'!D62</f>
        <v>Ensure an Effective Disabled Facilities Grant Service</v>
      </c>
      <c r="C61" s="242" t="str">
        <f>'1. All Data'!E62</f>
        <v>Complete a Review of the Disabled Facilities Grant Service</v>
      </c>
      <c r="D61" s="238" t="str">
        <f>'1. All Data'!I62</f>
        <v>On Track to be Achieved</v>
      </c>
      <c r="E61" s="206"/>
      <c r="F61" s="239" t="str">
        <f>'1. All Data'!N62</f>
        <v>On Track to be Achieved</v>
      </c>
      <c r="G61" s="226"/>
      <c r="H61" s="240" t="str">
        <f>'1. All Data'!S62</f>
        <v>Fully Achieved</v>
      </c>
      <c r="I61" s="226"/>
      <c r="J61" s="240" t="str">
        <f>'1. All Data'!W62</f>
        <v>Fully Achieved</v>
      </c>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row>
    <row r="62" spans="1:47" ht="99.75" customHeight="1">
      <c r="A62" s="205" t="str">
        <f>'1. All Data'!C63</f>
        <v>VFM55</v>
      </c>
      <c r="B62" s="241" t="str">
        <f>'1. All Data'!D63</f>
        <v>Develop the use of technology to improve service delivery</v>
      </c>
      <c r="C62" s="242" t="str">
        <f>'1. All Data'!E63</f>
        <v xml:space="preserve">Complete a Review of Parking Services and the related use of technology </v>
      </c>
      <c r="D62" s="238" t="str">
        <f>'1. All Data'!I63</f>
        <v>On Track to be Achieved</v>
      </c>
      <c r="E62" s="207"/>
      <c r="F62" s="239" t="str">
        <f>'1. All Data'!N63</f>
        <v>Fully Achieved</v>
      </c>
      <c r="G62" s="207"/>
      <c r="H62" s="240" t="str">
        <f>'1. All Data'!S63</f>
        <v>Fully Achieved</v>
      </c>
      <c r="I62" s="207"/>
      <c r="J62" s="240" t="str">
        <f>'1. All Data'!W63</f>
        <v>Fully Achieved</v>
      </c>
    </row>
    <row r="63" spans="1:47" ht="99.75" customHeight="1">
      <c r="A63" s="205" t="str">
        <f>'1. All Data'!C64</f>
        <v>VFM56</v>
      </c>
      <c r="B63" s="241" t="str">
        <f>'1. All Data'!D64</f>
        <v>Ensure an Effective Civil and Community Enforcement Service</v>
      </c>
      <c r="C63" s="242" t="str">
        <f>'1. All Data'!E64</f>
        <v>Review Public Space Protection Orders for Dog Fouling and Alcohol consumption</v>
      </c>
      <c r="D63" s="238" t="str">
        <f>'1. All Data'!I64</f>
        <v>On Track to be Achieved</v>
      </c>
      <c r="E63" s="207"/>
      <c r="F63" s="239" t="str">
        <f>'1. All Data'!N64</f>
        <v>Fully Achieved</v>
      </c>
      <c r="G63" s="207"/>
      <c r="H63" s="240" t="str">
        <f>'1. All Data'!S64</f>
        <v>Fully Achieved</v>
      </c>
      <c r="I63" s="207"/>
      <c r="J63" s="240" t="str">
        <f>'1. All Data'!W64</f>
        <v>Fully Achieved</v>
      </c>
    </row>
    <row r="64" spans="1:47" ht="99.75" customHeight="1">
      <c r="A64" s="205" t="str">
        <f>'1. All Data'!C65</f>
        <v>VFM57</v>
      </c>
      <c r="B64" s="241" t="str">
        <f>'1. All Data'!D65</f>
        <v>Achieve further investment for our town centres and large settlements</v>
      </c>
      <c r="C64" s="242" t="str">
        <f>'1. All Data'!E65</f>
        <v>Finalise agreement with SCC to fund the implementation of the co-designed Station Street new public realm project</v>
      </c>
      <c r="D64" s="238" t="str">
        <f>'1. All Data'!I65</f>
        <v>Off Target</v>
      </c>
      <c r="E64" s="207"/>
      <c r="F64" s="239" t="str">
        <f>'1. All Data'!N65</f>
        <v>Completed Behind Schedule</v>
      </c>
      <c r="G64" s="207"/>
      <c r="H64" s="240" t="str">
        <f>'1. All Data'!S65</f>
        <v>Completed Behind Schedule</v>
      </c>
      <c r="I64" s="207"/>
      <c r="J64" s="240" t="str">
        <f>'1. All Data'!W65</f>
        <v>Off Target</v>
      </c>
    </row>
    <row r="65" spans="1:10" ht="99.75" customHeight="1">
      <c r="A65" s="205" t="str">
        <f>'1. All Data'!C66</f>
        <v>VFM58</v>
      </c>
      <c r="B65" s="241" t="str">
        <f>'1. All Data'!D66</f>
        <v xml:space="preserve">Achieve further investment for our town centres and large settlements </v>
      </c>
      <c r="C65" s="242" t="str">
        <f>'1. All Data'!E66</f>
        <v>Consider the outcome of the Council’s expression of interest to the Future High Street Fund</v>
      </c>
      <c r="D65" s="238" t="str">
        <f>'1. All Data'!I66</f>
        <v>Fully Achieved</v>
      </c>
      <c r="E65" s="207"/>
      <c r="F65" s="239" t="str">
        <f>'1. All Data'!N66</f>
        <v>Fully Achieved</v>
      </c>
      <c r="G65" s="207"/>
      <c r="H65" s="240" t="str">
        <f>'1. All Data'!S66</f>
        <v>Fully Achieved</v>
      </c>
      <c r="I65" s="207"/>
      <c r="J65" s="240" t="str">
        <f>'1. All Data'!W66</f>
        <v>Fully Achieved</v>
      </c>
    </row>
    <row r="66" spans="1:10" ht="99.75" customHeight="1">
      <c r="A66" s="205" t="str">
        <f>'1. All Data'!C67</f>
        <v>VFM59</v>
      </c>
      <c r="B66" s="241" t="str">
        <f>'1. All Data'!D67</f>
        <v xml:space="preserve">Achieve optimum working in economic partnership </v>
      </c>
      <c r="C66" s="242" t="str">
        <f>'1. All Data'!E67</f>
        <v xml:space="preserve">Consider the outcome of the national LEP review findings and implication on the Washlands LEP monies </v>
      </c>
      <c r="D66" s="238" t="str">
        <f>'1. All Data'!I67</f>
        <v>Fully Achieved</v>
      </c>
      <c r="E66" s="207"/>
      <c r="F66" s="239" t="str">
        <f>'1. All Data'!N67</f>
        <v>Fully Achieved</v>
      </c>
      <c r="G66" s="207"/>
      <c r="H66" s="240" t="str">
        <f>'1. All Data'!S67</f>
        <v>Fully Achieved</v>
      </c>
      <c r="I66" s="207"/>
      <c r="J66" s="240" t="str">
        <f>'1. All Data'!W67</f>
        <v>Fully Achieved</v>
      </c>
    </row>
    <row r="67" spans="1:10" ht="99.75" customHeight="1">
      <c r="A67" s="205" t="str">
        <f>'1. All Data'!C68</f>
        <v>VFM60</v>
      </c>
      <c r="B67" s="241" t="str">
        <f>'1. All Data'!D68</f>
        <v>Progress the commutation of  s106 sums to deliver key brownfield development opportunities</v>
      </c>
      <c r="C67" s="242" t="str">
        <f>'1. All Data'!E68</f>
        <v xml:space="preserve">Review progress on working in partnership with Burton Rugby Club (Peelcroft) and Molson Coors (Cross Street) </v>
      </c>
      <c r="D67" s="238" t="str">
        <f>'1. All Data'!I68</f>
        <v>On Track to be Achieved</v>
      </c>
      <c r="E67" s="207"/>
      <c r="F67" s="239" t="str">
        <f>'1. All Data'!N68</f>
        <v>On Track to be Achieved</v>
      </c>
      <c r="G67" s="207"/>
      <c r="H67" s="240" t="str">
        <f>'1. All Data'!S68</f>
        <v>Fully Achieved</v>
      </c>
      <c r="I67" s="207"/>
      <c r="J67" s="240" t="str">
        <f>'1. All Data'!W68</f>
        <v>Fully Achieved</v>
      </c>
    </row>
    <row r="68" spans="1:10" ht="99.75" hidden="1" customHeight="1">
      <c r="A68" s="205" t="str">
        <f>'1. All Data'!C69</f>
        <v>CR01</v>
      </c>
      <c r="B68" s="241" t="str">
        <f>'1. All Data'!D69</f>
        <v xml:space="preserve">Market Hall Development Initiatives </v>
      </c>
      <c r="C68" s="242" t="str">
        <f>'1. All Data'!E69</f>
        <v xml:space="preserve">Hold at least 25 commercial events in the Market Hall </v>
      </c>
      <c r="D68" s="238" t="str">
        <f>'1. All Data'!I69</f>
        <v>On Track to be Achieved</v>
      </c>
      <c r="E68" s="207"/>
      <c r="F68" s="239" t="str">
        <f>'1. All Data'!N69</f>
        <v>On Track to be Achieved</v>
      </c>
      <c r="G68" s="207"/>
      <c r="H68" s="240" t="str">
        <f>'1. All Data'!S69</f>
        <v>On Track to be Achieved</v>
      </c>
      <c r="I68" s="207"/>
      <c r="J68" s="240" t="str">
        <f>'1. All Data'!W69</f>
        <v>Numerical Outturn Within 5% Tolerance</v>
      </c>
    </row>
    <row r="69" spans="1:10" ht="99.75" hidden="1" customHeight="1">
      <c r="A69" s="205" t="str">
        <f>'1. All Data'!C70</f>
        <v>CR02</v>
      </c>
      <c r="B69" s="241" t="str">
        <f>'1. All Data'!D70</f>
        <v xml:space="preserve">Market Hall Development Initiatives </v>
      </c>
      <c r="C69" s="242" t="str">
        <f>'1. All Data'!E70</f>
        <v xml:space="preserve">Utilising previous procurement experience and the APSE Benchmarking Membership an Evaluation of future options for the Market offering will be completed </v>
      </c>
      <c r="D69" s="238" t="str">
        <f>'1. All Data'!I70</f>
        <v>Not Yet Due</v>
      </c>
      <c r="E69" s="207"/>
      <c r="F69" s="239" t="str">
        <f>'1. All Data'!N70</f>
        <v>Not Yet Due</v>
      </c>
      <c r="G69" s="215"/>
      <c r="H69" s="240" t="str">
        <f>'1. All Data'!S70</f>
        <v>Deferred</v>
      </c>
      <c r="I69" s="215"/>
      <c r="J69" s="240" t="str">
        <f>'1. All Data'!W70</f>
        <v>Deferred</v>
      </c>
    </row>
    <row r="70" spans="1:10" ht="99.75" hidden="1" customHeight="1">
      <c r="A70" s="205" t="str">
        <f>'1. All Data'!C71</f>
        <v>CR03</v>
      </c>
      <c r="B70" s="241" t="str">
        <f>'1. All Data'!D71</f>
        <v>Major Planning Applications Determined Within 13 Weeks</v>
      </c>
      <c r="C70" s="242" t="str">
        <f>'1. All Data'!E71</f>
        <v>Top Quartile as measured against relevant MHCLG figures</v>
      </c>
      <c r="D70" s="238" t="str">
        <f>'1. All Data'!I71</f>
        <v>On Track to be Achieved</v>
      </c>
      <c r="E70" s="207"/>
      <c r="F70" s="239" t="str">
        <f>'1. All Data'!N71</f>
        <v>On Track to be Achieved</v>
      </c>
      <c r="G70" s="215"/>
      <c r="H70" s="240" t="str">
        <f>'1. All Data'!S71</f>
        <v>In Danger of Falling Behind Target</v>
      </c>
      <c r="I70" s="215"/>
      <c r="J70" s="240" t="str">
        <f>'1. All Data'!W71</f>
        <v>Numerical Outturn Within 5% Tolerance</v>
      </c>
    </row>
    <row r="71" spans="1:10" ht="99.75" hidden="1" customHeight="1">
      <c r="A71" s="205" t="str">
        <f>'1. All Data'!C72</f>
        <v>CR04</v>
      </c>
      <c r="B71" s="241" t="str">
        <f>'1. All Data'!D72</f>
        <v>Minor Planning Applications Determined Within 8 Weeks</v>
      </c>
      <c r="C71" s="242" t="str">
        <f>'1. All Data'!E72</f>
        <v>Top Quartile as measured against relevant MHCLG figures</v>
      </c>
      <c r="D71" s="238" t="str">
        <f>'1. All Data'!I72</f>
        <v>On Track to be Achieved</v>
      </c>
      <c r="E71" s="207"/>
      <c r="F71" s="239" t="str">
        <f>'1. All Data'!N72</f>
        <v>On Track to be Achieved</v>
      </c>
      <c r="G71" s="215"/>
      <c r="H71" s="240" t="str">
        <f>'1. All Data'!S72</f>
        <v>On Track to be Achieved</v>
      </c>
      <c r="I71" s="215"/>
      <c r="J71" s="240" t="str">
        <f>'1. All Data'!W72</f>
        <v>Numerical Outturn Within 5% Tolerance</v>
      </c>
    </row>
    <row r="72" spans="1:10" ht="99.75" hidden="1" customHeight="1">
      <c r="A72" s="205" t="str">
        <f>'1. All Data'!C73</f>
        <v>CR05</v>
      </c>
      <c r="B72" s="241" t="str">
        <f>'1. All Data'!D73</f>
        <v>Other Planning Applications Determined in 8 Weeks</v>
      </c>
      <c r="C72" s="242" t="str">
        <f>'1. All Data'!E73</f>
        <v>Top Quartile as measured against relevant MHCLG figures</v>
      </c>
      <c r="D72" s="238" t="str">
        <f>'1. All Data'!I73</f>
        <v>On Track to be Achieved</v>
      </c>
      <c r="E72" s="206"/>
      <c r="F72" s="239" t="str">
        <f>'1. All Data'!N73</f>
        <v>On Track to be Achieved</v>
      </c>
      <c r="G72" s="207"/>
      <c r="H72" s="240" t="str">
        <f>'1. All Data'!S73</f>
        <v>On Track to be Achieved</v>
      </c>
      <c r="I72" s="207"/>
      <c r="J72" s="240" t="str">
        <f>'1. All Data'!W73</f>
        <v>Fully Achieved</v>
      </c>
    </row>
    <row r="73" spans="1:10" ht="99.75" hidden="1" customHeight="1">
      <c r="A73" s="205" t="str">
        <f>'1. All Data'!C74</f>
        <v>CR06</v>
      </c>
      <c r="B73" s="241" t="str">
        <f>'1. All Data'!D74</f>
        <v>Improve Planning Guidance</v>
      </c>
      <c r="C73" s="242" t="str">
        <f>'1. All Data'!E74</f>
        <v>Endorse Development Guidance for Station Street Southern Brewery Site</v>
      </c>
      <c r="D73" s="238" t="str">
        <f>'1. All Data'!I74</f>
        <v>On Track to be Achieved</v>
      </c>
      <c r="E73" s="207"/>
      <c r="F73" s="239" t="str">
        <f>'1. All Data'!N74</f>
        <v>On Track to be Achieved</v>
      </c>
      <c r="G73" s="207"/>
      <c r="H73" s="240" t="str">
        <f>'1. All Data'!S74</f>
        <v>Deleted</v>
      </c>
      <c r="I73" s="207"/>
      <c r="J73" s="240" t="str">
        <f>'1. All Data'!W74</f>
        <v>Deleted</v>
      </c>
    </row>
    <row r="74" spans="1:10" ht="99.75" hidden="1" customHeight="1">
      <c r="A74" s="205" t="str">
        <f>'1. All Data'!C75</f>
        <v>CR07</v>
      </c>
      <c r="B74" s="241" t="str">
        <f>'1. All Data'!D75</f>
        <v>Improve Planning Guidance</v>
      </c>
      <c r="C74" s="242" t="str">
        <f>'1. All Data'!E75</f>
        <v>Revise and adopt Housing Choice SPD</v>
      </c>
      <c r="D74" s="238" t="str">
        <f>'1. All Data'!I75</f>
        <v>On Track to be Achieved</v>
      </c>
      <c r="E74" s="207"/>
      <c r="F74" s="239" t="str">
        <f>'1. All Data'!N75</f>
        <v>On Track to be Achieved</v>
      </c>
      <c r="G74" s="215"/>
      <c r="H74" s="240" t="str">
        <f>'1. All Data'!S75</f>
        <v>Fully Achieved</v>
      </c>
      <c r="I74" s="207"/>
      <c r="J74" s="240" t="str">
        <f>'1. All Data'!W75</f>
        <v>Fully Achieved</v>
      </c>
    </row>
    <row r="75" spans="1:10" ht="99.75" hidden="1" customHeight="1">
      <c r="A75" s="205" t="str">
        <f>'1. All Data'!C76</f>
        <v>CR08</v>
      </c>
      <c r="B75" s="241" t="str">
        <f>'1. All Data'!D76</f>
        <v>Raise Design Quality within the Borough</v>
      </c>
      <c r="C75" s="242" t="str">
        <f>'1. All Data'!E76</f>
        <v>Adopt Shopfronts Design Guide SPD</v>
      </c>
      <c r="D75" s="238" t="str">
        <f>'1. All Data'!I76</f>
        <v>On Track to be Achieved</v>
      </c>
      <c r="E75" s="207"/>
      <c r="F75" s="239" t="str">
        <f>'1. All Data'!N76</f>
        <v>On Track to be Achieved</v>
      </c>
      <c r="G75" s="207"/>
      <c r="H75" s="240" t="str">
        <f>'1. All Data'!S76</f>
        <v>Fully Achieved</v>
      </c>
      <c r="I75" s="207"/>
      <c r="J75" s="240" t="str">
        <f>'1. All Data'!W76</f>
        <v>Fully Achieved</v>
      </c>
    </row>
    <row r="76" spans="1:10" ht="99.75" hidden="1" customHeight="1">
      <c r="A76" s="205" t="str">
        <f>'1. All Data'!C77</f>
        <v>CR09</v>
      </c>
      <c r="B76" s="241" t="str">
        <f>'1. All Data'!D77</f>
        <v>Raise Design Quality within the Borough</v>
      </c>
      <c r="C76" s="242" t="str">
        <f>'1. All Data'!E77</f>
        <v>Adopt addendum to ESBC Design Guide SPD</v>
      </c>
      <c r="D76" s="238" t="str">
        <f>'1. All Data'!I77</f>
        <v>On Track to be Achieved</v>
      </c>
      <c r="E76" s="207"/>
      <c r="F76" s="239" t="str">
        <f>'1. All Data'!N77</f>
        <v>On Track to be Achieved</v>
      </c>
      <c r="G76" s="207"/>
      <c r="H76" s="240" t="str">
        <f>'1. All Data'!S77</f>
        <v>Fully Achieved</v>
      </c>
      <c r="I76" s="207"/>
      <c r="J76" s="240" t="str">
        <f>'1. All Data'!W77</f>
        <v>Fully Achieved</v>
      </c>
    </row>
    <row r="77" spans="1:10" ht="87.75" hidden="1">
      <c r="A77" s="205" t="str">
        <f>'1. All Data'!C78</f>
        <v>CR10</v>
      </c>
      <c r="B77" s="241" t="str">
        <f>'1. All Data'!D78</f>
        <v>Raise Design Quality within the Borough</v>
      </c>
      <c r="C77" s="242" t="str">
        <f>'1. All Data'!E78</f>
        <v>Brewery Building Conversion Design Guidance SPD</v>
      </c>
      <c r="D77" s="238" t="str">
        <f>'1. All Data'!I78</f>
        <v>On Track to be Achieved</v>
      </c>
      <c r="E77" s="206"/>
      <c r="F77" s="239" t="str">
        <f>'1. All Data'!N78</f>
        <v>On Track to be Achieved</v>
      </c>
      <c r="G77" s="207"/>
      <c r="H77" s="240" t="str">
        <f>'1. All Data'!S78</f>
        <v>On Track to be Achieved</v>
      </c>
      <c r="I77" s="207"/>
      <c r="J77" s="240" t="str">
        <f>'1. All Data'!W78</f>
        <v>Fully Achieved</v>
      </c>
    </row>
    <row r="78" spans="1:10" ht="99.75" hidden="1" customHeight="1">
      <c r="A78" s="205" t="str">
        <f>'1. All Data'!C79</f>
        <v>CR11</v>
      </c>
      <c r="B78" s="241" t="str">
        <f>'1. All Data'!D79</f>
        <v>Delivering Improvements to the Washlands</v>
      </c>
      <c r="C78" s="242" t="str">
        <f>'1. All Data'!E79</f>
        <v xml:space="preserve">Contribute to the ongoing partnership working relating to the Washlands </v>
      </c>
      <c r="D78" s="238" t="str">
        <f>'1. All Data'!I79</f>
        <v>On Track to be Achieved</v>
      </c>
      <c r="E78" s="206"/>
      <c r="F78" s="239" t="str">
        <f>'1. All Data'!N79</f>
        <v>On Track to be Achieved</v>
      </c>
      <c r="G78" s="214"/>
      <c r="H78" s="240" t="str">
        <f>'1. All Data'!S79</f>
        <v>On Track to be Achieved</v>
      </c>
      <c r="I78" s="214"/>
      <c r="J78" s="240" t="str">
        <f>'1. All Data'!W79</f>
        <v>Fully Achieved</v>
      </c>
    </row>
    <row r="79" spans="1:10" ht="99.75" hidden="1" customHeight="1">
      <c r="A79" s="205" t="str">
        <f>'1. All Data'!C80</f>
        <v>CR12</v>
      </c>
      <c r="B79" s="241" t="str">
        <f>'1. All Data'!D80</f>
        <v>Improve wayfinding on Worthington Way, High Street  and Washlands area: easy in and out of Burton</v>
      </c>
      <c r="C79" s="242" t="str">
        <f>'1. All Data'!E80</f>
        <v xml:space="preserve">Establish clearer routes in and out of the town </v>
      </c>
      <c r="D79" s="238" t="str">
        <f>'1. All Data'!I80</f>
        <v>On Track to be Achieved</v>
      </c>
      <c r="E79" s="206"/>
      <c r="F79" s="239" t="str">
        <f>'1. All Data'!N80</f>
        <v>On Track to be Achieved</v>
      </c>
      <c r="G79" s="207"/>
      <c r="H79" s="240" t="str">
        <f>'1. All Data'!S80</f>
        <v>Fully Achieved</v>
      </c>
      <c r="I79" s="207"/>
      <c r="J79" s="240" t="str">
        <f>'1. All Data'!W80</f>
        <v>Fully Achieved</v>
      </c>
    </row>
    <row r="80" spans="1:10" ht="99.75" hidden="1" customHeight="1">
      <c r="A80" s="205" t="str">
        <f>'1. All Data'!C81</f>
        <v>CR13</v>
      </c>
      <c r="B80" s="241" t="str">
        <f>'1. All Data'!D81</f>
        <v>Introduce new public realm civic space</v>
      </c>
      <c r="C80" s="242" t="str">
        <f>'1. All Data'!E81</f>
        <v xml:space="preserve">Working with new Street traders forum, introduce a food hall concept into the Market Hall </v>
      </c>
      <c r="D80" s="238" t="str">
        <f>'1. All Data'!I81</f>
        <v>Not Yet Due</v>
      </c>
      <c r="E80" s="207"/>
      <c r="F80" s="239" t="str">
        <f>'1. All Data'!N81</f>
        <v>Not Yet Due</v>
      </c>
      <c r="G80" s="207"/>
      <c r="H80" s="240" t="str">
        <f>'1. All Data'!S81</f>
        <v>On Track to be Achieved</v>
      </c>
      <c r="I80" s="207"/>
      <c r="J80" s="240" t="str">
        <f>'1. All Data'!W81</f>
        <v>Fully Achieved</v>
      </c>
    </row>
    <row r="81" spans="1:46" ht="99.75" hidden="1" customHeight="1">
      <c r="A81" s="205" t="str">
        <f>'1. All Data'!C82</f>
        <v>CR14</v>
      </c>
      <c r="B81" s="241" t="str">
        <f>'1. All Data'!D82</f>
        <v>Look to roll out learning from improvements made in Burton to Uttoxeter and other large settlements</v>
      </c>
      <c r="C81" s="242" t="str">
        <f>'1. All Data'!E82</f>
        <v>Consider learnings from regeneration that can be applied elsewhere in the borough with a view to applying for funds from phase 2 of the Future High Street Funds</v>
      </c>
      <c r="D81" s="238" t="str">
        <f>'1. All Data'!I82</f>
        <v>Not Yet Due</v>
      </c>
      <c r="E81" s="207"/>
      <c r="F81" s="239" t="str">
        <f>'1. All Data'!N82</f>
        <v>Not Yet Due</v>
      </c>
      <c r="G81" s="207"/>
      <c r="H81" s="240" t="str">
        <f>'1. All Data'!S82</f>
        <v>Not Yet Due</v>
      </c>
      <c r="I81" s="207"/>
      <c r="J81" s="240" t="str">
        <f>'1. All Data'!W82</f>
        <v>Fully Achieved</v>
      </c>
    </row>
    <row r="82" spans="1:46" s="223" customFormat="1" ht="101.25" hidden="1">
      <c r="A82" s="205" t="str">
        <f>'1. All Data'!C83</f>
        <v>CR15</v>
      </c>
      <c r="B82" s="241" t="str">
        <f>'1. All Data'!D83</f>
        <v>Consider a Business Improvement District (BID) in Burton Town Centre to stimulate private sector investment in the Town Centre</v>
      </c>
      <c r="C82" s="242" t="str">
        <f>'1. All Data'!E83</f>
        <v xml:space="preserve">Seek a BID ‘memorandum of understanding’ with the Burton Chamber of Commerce and Burton Small Business Federation </v>
      </c>
      <c r="D82" s="238" t="str">
        <f>'1. All Data'!I83</f>
        <v>On Track to be Achieved</v>
      </c>
      <c r="E82" s="206"/>
      <c r="F82" s="239" t="str">
        <f>'1. All Data'!N83</f>
        <v>On Track to be Achieved</v>
      </c>
      <c r="G82" s="207"/>
      <c r="H82" s="240" t="str">
        <f>'1. All Data'!S83</f>
        <v>Fully Achieved</v>
      </c>
      <c r="I82" s="207"/>
      <c r="J82" s="240" t="str">
        <f>'1. All Data'!W83</f>
        <v>Fully Achieved</v>
      </c>
      <c r="K82" s="229"/>
      <c r="L82" s="229"/>
      <c r="M82" s="230"/>
      <c r="N82" s="231"/>
      <c r="O82" s="232"/>
      <c r="P82" s="232"/>
      <c r="Q82" s="232"/>
      <c r="R82" s="230"/>
      <c r="S82" s="233"/>
      <c r="T82" s="229"/>
      <c r="U82" s="229"/>
      <c r="V82" s="234"/>
      <c r="W82" s="229"/>
      <c r="X82" s="230"/>
      <c r="Y82" s="230"/>
      <c r="Z82" s="230"/>
      <c r="AA82" s="230"/>
      <c r="AB82" s="221"/>
      <c r="AC82" s="204"/>
      <c r="AD82" s="222"/>
      <c r="AE82" s="222"/>
      <c r="AF82" s="222"/>
      <c r="AG82" s="222"/>
      <c r="AH82" s="222"/>
      <c r="AI82" s="222"/>
      <c r="AJ82" s="222"/>
      <c r="AK82" s="222"/>
      <c r="AL82" s="222"/>
      <c r="AM82" s="222"/>
      <c r="AN82" s="222"/>
      <c r="AO82" s="222"/>
      <c r="AP82" s="222"/>
      <c r="AQ82" s="222"/>
      <c r="AR82" s="222"/>
      <c r="AS82" s="222"/>
      <c r="AT82" s="222"/>
    </row>
    <row r="83" spans="1:46" s="228" customFormat="1" ht="103.5" hidden="1" customHeight="1">
      <c r="A83" s="205" t="str">
        <f>'1. All Data'!C84</f>
        <v>CR16</v>
      </c>
      <c r="B83" s="241" t="str">
        <f>'1. All Data'!D84</f>
        <v>Promote local employment opportunities</v>
      </c>
      <c r="C83" s="242" t="str">
        <f>'1. All Data'!E84</f>
        <v xml:space="preserve">Support the delivery of three job fairs </v>
      </c>
      <c r="D83" s="238" t="str">
        <f>'1. All Data'!I84</f>
        <v>On Track to be Achieved</v>
      </c>
      <c r="E83" s="207"/>
      <c r="F83" s="239" t="str">
        <f>'1. All Data'!N84</f>
        <v>On Track to be Achieved</v>
      </c>
      <c r="G83" s="235"/>
      <c r="H83" s="240" t="str">
        <f>'1. All Data'!S84</f>
        <v>On Track to be Achieved</v>
      </c>
      <c r="I83" s="235"/>
      <c r="J83" s="240" t="str">
        <f>'1. All Data'!W84</f>
        <v>Fully Achieved</v>
      </c>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row>
    <row r="84" spans="1:46" ht="99.75" hidden="1" customHeight="1">
      <c r="A84" s="205" t="str">
        <f>'1. All Data'!C85</f>
        <v>CR17</v>
      </c>
      <c r="B84" s="241" t="str">
        <f>'1. All Data'!D85</f>
        <v xml:space="preserve">Consider business activity and economic performance in East Staffordshire </v>
      </c>
      <c r="C84" s="242" t="str">
        <f>'1. All Data'!E85</f>
        <v xml:space="preserve">Report on local business activity during 2019 </v>
      </c>
      <c r="D84" s="238" t="str">
        <f>'1. All Data'!I85</f>
        <v>On Track to be Achieved</v>
      </c>
      <c r="E84" s="206"/>
      <c r="F84" s="239" t="str">
        <f>'1. All Data'!N85</f>
        <v>On Track to be Achieved</v>
      </c>
      <c r="G84" s="207"/>
      <c r="H84" s="240" t="str">
        <f>'1. All Data'!S85</f>
        <v>On Track to be Achieved</v>
      </c>
      <c r="I84" s="207"/>
      <c r="J84" s="240" t="str">
        <f>'1. All Data'!W85</f>
        <v>Fully Achieved</v>
      </c>
    </row>
    <row r="85" spans="1:46" ht="99.75" hidden="1" customHeight="1">
      <c r="A85" s="205" t="str">
        <f>'1. All Data'!C86</f>
        <v>CR18</v>
      </c>
      <c r="B85" s="241" t="str">
        <f>'1. All Data'!D86</f>
        <v>Neighbourhood Fund implementation</v>
      </c>
      <c r="C85" s="242" t="str">
        <f>'1. All Data'!E86</f>
        <v xml:space="preserve">7 existing projects and 5 new projects brought to completion </v>
      </c>
      <c r="D85" s="238" t="str">
        <f>'1. All Data'!I86</f>
        <v>On Track to be Achieved</v>
      </c>
      <c r="E85" s="206"/>
      <c r="F85" s="239" t="str">
        <f>'1. All Data'!N86</f>
        <v>On Track to be Achieved</v>
      </c>
      <c r="G85" s="207"/>
      <c r="H85" s="240" t="str">
        <f>'1. All Data'!S86</f>
        <v>On Track to be Achieved</v>
      </c>
      <c r="I85" s="207"/>
      <c r="J85" s="240" t="str">
        <f>'1. All Data'!W86</f>
        <v>Fully Achieved</v>
      </c>
    </row>
    <row r="86" spans="1:46" ht="99.75" hidden="1" customHeight="1">
      <c r="A86" s="205" t="str">
        <f>'1. All Data'!C87</f>
        <v>CR19</v>
      </c>
      <c r="B86" s="241" t="str">
        <f>'1. All Data'!D87</f>
        <v>Neighbourhood Fund implementation</v>
      </c>
      <c r="C86" s="242" t="str">
        <f>'1. All Data'!E87</f>
        <v xml:space="preserve">All Neighbourhood Fund projects to be identified with funding allocated </v>
      </c>
      <c r="D86" s="238" t="str">
        <f>'1. All Data'!I87</f>
        <v>On Track to be Achieved</v>
      </c>
      <c r="E86" s="206"/>
      <c r="F86" s="239" t="str">
        <f>'1. All Data'!N87</f>
        <v>Fully Achieved</v>
      </c>
      <c r="G86" s="215"/>
      <c r="H86" s="240" t="str">
        <f>'1. All Data'!S87</f>
        <v>Fully Achieved</v>
      </c>
      <c r="I86" s="207"/>
      <c r="J86" s="240" t="str">
        <f>'1. All Data'!W87</f>
        <v>Fully Achieved</v>
      </c>
    </row>
    <row r="87" spans="1:46" ht="99.75" hidden="1" customHeight="1">
      <c r="A87" s="205" t="str">
        <f>'1. All Data'!C88</f>
        <v>CR20</v>
      </c>
      <c r="B87" s="241" t="str">
        <f>'1. All Data'!D88</f>
        <v xml:space="preserve">Neighbourhood Fund implementation </v>
      </c>
      <c r="C87" s="242" t="str">
        <f>'1. All Data'!E88</f>
        <v xml:space="preserve">Review the Neighbourhood Fund project </v>
      </c>
      <c r="D87" s="238" t="str">
        <f>'1. All Data'!I88</f>
        <v>Not Yet Due</v>
      </c>
      <c r="E87" s="206"/>
      <c r="F87" s="239" t="str">
        <f>'1. All Data'!N88</f>
        <v>On Track to be Achieved</v>
      </c>
      <c r="G87" s="207"/>
      <c r="H87" s="240" t="str">
        <f>'1. All Data'!S88</f>
        <v>On Track to be Achieved</v>
      </c>
      <c r="I87" s="207"/>
      <c r="J87" s="240" t="str">
        <f>'1. All Data'!W88</f>
        <v>Fully Achieved</v>
      </c>
    </row>
    <row r="88" spans="1:46" ht="99.75" hidden="1" customHeight="1">
      <c r="A88" s="205" t="str">
        <f>'1. All Data'!C89</f>
        <v>EHW01</v>
      </c>
      <c r="B88" s="241" t="str">
        <f>'1. All Data'!D89</f>
        <v>Develop a Town Centre planting strategy</v>
      </c>
      <c r="C88" s="242" t="str">
        <f>'1. All Data'!E89</f>
        <v xml:space="preserve">Develop a Borough wide Planting Strategy </v>
      </c>
      <c r="D88" s="238" t="str">
        <f>'1. All Data'!I89</f>
        <v>On Track to be Achieved</v>
      </c>
      <c r="E88" s="206"/>
      <c r="F88" s="239" t="str">
        <f>'1. All Data'!N89</f>
        <v>On Track to be Achieved</v>
      </c>
      <c r="G88" s="207"/>
      <c r="H88" s="240" t="str">
        <f>'1. All Data'!S89</f>
        <v>Fully Achieved</v>
      </c>
      <c r="I88" s="207"/>
      <c r="J88" s="240" t="str">
        <f>'1. All Data'!W89</f>
        <v>Fully Achieved</v>
      </c>
    </row>
    <row r="89" spans="1:46" ht="99.75" hidden="1" customHeight="1">
      <c r="A89" s="205" t="str">
        <f>'1. All Data'!C90</f>
        <v>EHW02</v>
      </c>
      <c r="B89" s="241" t="str">
        <f>'1. All Data'!D90</f>
        <v>In Bloom/Green Flag</v>
      </c>
      <c r="C89" s="242" t="str">
        <f>'1. All Data'!E90</f>
        <v xml:space="preserve">Deliver a minimum of two Golds at the regional “In Bloom awards” and support Winshill In Bloom at the National RHS Awards    </v>
      </c>
      <c r="D89" s="238" t="str">
        <f>'1. All Data'!I90</f>
        <v>Not Yet Due</v>
      </c>
      <c r="E89" s="207"/>
      <c r="F89" s="239" t="str">
        <f>'1. All Data'!N90</f>
        <v>Fully Achieved</v>
      </c>
      <c r="G89" s="207"/>
      <c r="H89" s="240" t="str">
        <f>'1. All Data'!S90</f>
        <v>Fully Achieved</v>
      </c>
      <c r="I89" s="207"/>
      <c r="J89" s="240" t="str">
        <f>'1. All Data'!W90</f>
        <v>Fully Achieved</v>
      </c>
    </row>
    <row r="90" spans="1:46" ht="99.75" hidden="1" customHeight="1">
      <c r="A90" s="205" t="str">
        <f>'1. All Data'!C91</f>
        <v>EHW03</v>
      </c>
      <c r="B90" s="241" t="str">
        <f>'1. All Data'!D91</f>
        <v>In Bloom/Green Flag</v>
      </c>
      <c r="C90" s="242" t="str">
        <f>'1. All Data'!E91</f>
        <v>Achieve 2 Green Flag Awards at Bramshall Park and Stapenhill Gardens</v>
      </c>
      <c r="D90" s="238" t="str">
        <f>'1. All Data'!I91</f>
        <v>Not Yet Due</v>
      </c>
      <c r="E90" s="206"/>
      <c r="F90" s="239" t="str">
        <f>'1. All Data'!N91</f>
        <v>Off Target</v>
      </c>
      <c r="G90" s="207"/>
      <c r="H90" s="240" t="str">
        <f>'1. All Data'!S91</f>
        <v>Off Target</v>
      </c>
      <c r="I90" s="207"/>
      <c r="J90" s="240" t="str">
        <f>'1. All Data'!W91</f>
        <v>Off Target</v>
      </c>
    </row>
    <row r="91" spans="1:46" ht="99.75" hidden="1" customHeight="1">
      <c r="A91" s="205" t="str">
        <f>'1. All Data'!C92</f>
        <v>EHW04</v>
      </c>
      <c r="B91" s="241" t="str">
        <f>'1. All Data'!D92</f>
        <v>Street Cleansing - Litter</v>
      </c>
      <c r="C91" s="242" t="str">
        <f>'1. All Data'!E92</f>
        <v>Maintain Top Quartile Performance</v>
      </c>
      <c r="D91" s="238" t="str">
        <f>'1. All Data'!I92</f>
        <v>Not Yet Due</v>
      </c>
      <c r="E91" s="207"/>
      <c r="F91" s="239" t="str">
        <f>'1. All Data'!N92</f>
        <v>On Track to be Achieved</v>
      </c>
      <c r="G91" s="207"/>
      <c r="H91" s="240" t="str">
        <f>'1. All Data'!S92</f>
        <v>On Track to be Achieved</v>
      </c>
      <c r="I91" s="207"/>
      <c r="J91" s="240" t="str">
        <f>'1. All Data'!W92</f>
        <v>Fully Achieved</v>
      </c>
    </row>
    <row r="92" spans="1:46" ht="99.75" hidden="1" customHeight="1">
      <c r="A92" s="205" t="str">
        <f>'1. All Data'!C93</f>
        <v>EHW05</v>
      </c>
      <c r="B92" s="241" t="str">
        <f>'1. All Data'!D93</f>
        <v>Street Cleansing - Detritus</v>
      </c>
      <c r="C92" s="242" t="str">
        <f>'1. All Data'!E93</f>
        <v>Maintain Top Quartile Performance</v>
      </c>
      <c r="D92" s="238" t="str">
        <f>'1. All Data'!I93</f>
        <v>Not Yet Due</v>
      </c>
      <c r="E92" s="206"/>
      <c r="F92" s="239" t="str">
        <f>'1. All Data'!N93</f>
        <v>On Track to be Achieved</v>
      </c>
      <c r="G92" s="207"/>
      <c r="H92" s="240" t="str">
        <f>'1. All Data'!S93</f>
        <v>On Track to be Achieved</v>
      </c>
      <c r="I92" s="207"/>
      <c r="J92" s="240" t="str">
        <f>'1. All Data'!W93</f>
        <v>Fully Achieved</v>
      </c>
    </row>
    <row r="93" spans="1:46" ht="99.75" hidden="1" customHeight="1">
      <c r="A93" s="205" t="str">
        <f>'1. All Data'!C94</f>
        <v>EHW06</v>
      </c>
      <c r="B93" s="241" t="str">
        <f>'1. All Data'!D94</f>
        <v>Street Cleansing - Graffiti</v>
      </c>
      <c r="C93" s="242" t="str">
        <f>'1. All Data'!E94</f>
        <v>Maintain Top Quartile Performance</v>
      </c>
      <c r="D93" s="238" t="str">
        <f>'1. All Data'!I94</f>
        <v>Not Yet Due</v>
      </c>
      <c r="E93" s="206"/>
      <c r="F93" s="239" t="str">
        <f>'1. All Data'!N94</f>
        <v>On Track to be Achieved</v>
      </c>
      <c r="G93" s="207"/>
      <c r="H93" s="240" t="str">
        <f>'1. All Data'!S94</f>
        <v>On Track to be Achieved</v>
      </c>
      <c r="I93" s="207"/>
      <c r="J93" s="240" t="str">
        <f>'1. All Data'!W94</f>
        <v>Fully Achieved</v>
      </c>
    </row>
    <row r="94" spans="1:46" ht="99.75" hidden="1" customHeight="1">
      <c r="A94" s="205" t="str">
        <f>'1. All Data'!C95</f>
        <v>EHW07</v>
      </c>
      <c r="B94" s="241" t="str">
        <f>'1. All Data'!D95</f>
        <v>Street Cleansing – Fly-Posting</v>
      </c>
      <c r="C94" s="242" t="str">
        <f>'1. All Data'!E95</f>
        <v>Maintain Top Quartile Performance</v>
      </c>
      <c r="D94" s="238" t="str">
        <f>'1. All Data'!I95</f>
        <v>Not Yet Due</v>
      </c>
      <c r="E94" s="206"/>
      <c r="F94" s="239" t="str">
        <f>'1. All Data'!N95</f>
        <v>On Track to be Achieved</v>
      </c>
      <c r="G94" s="207"/>
      <c r="H94" s="240" t="str">
        <f>'1. All Data'!S95</f>
        <v>On Track to be Achieved</v>
      </c>
      <c r="I94" s="207"/>
      <c r="J94" s="240" t="str">
        <f>'1. All Data'!W95</f>
        <v>Fully Achieved</v>
      </c>
    </row>
    <row r="95" spans="1:46" ht="99.75" hidden="1" customHeight="1">
      <c r="A95" s="205" t="str">
        <f>'1. All Data'!C96</f>
        <v>EHW08</v>
      </c>
      <c r="B95" s="241" t="str">
        <f>'1. All Data'!D96</f>
        <v xml:space="preserve">Recycling </v>
      </c>
      <c r="C95" s="242" t="str">
        <f>'1. All Data'!E96</f>
        <v>Household Waste Recycled and Composted:
Maintain Top Quartile Performance</v>
      </c>
      <c r="D95" s="238" t="str">
        <f>'1. All Data'!I96</f>
        <v>On Track to be Achieved</v>
      </c>
      <c r="E95" s="206"/>
      <c r="F95" s="239" t="str">
        <f>'1. All Data'!N96</f>
        <v>On Track to be Achieved</v>
      </c>
      <c r="G95" s="207"/>
      <c r="H95" s="240" t="str">
        <f>'1. All Data'!S96</f>
        <v>On Track to be Achieved</v>
      </c>
      <c r="I95" s="207"/>
      <c r="J95" s="240" t="str">
        <f>'1. All Data'!W96</f>
        <v>Numerical Outturn Within 5% Tolerance</v>
      </c>
    </row>
    <row r="96" spans="1:46" ht="99.75" hidden="1" customHeight="1">
      <c r="A96" s="205" t="str">
        <f>'1. All Data'!C97</f>
        <v>EHW09</v>
      </c>
      <c r="B96" s="241" t="str">
        <f>'1. All Data'!D97</f>
        <v xml:space="preserve">Waste Reduction </v>
      </c>
      <c r="C96" s="242" t="str">
        <f>'1. All Data'!E97</f>
        <v>Residual Household Waste Per Household: 
Maintain Top Quartile Performance</v>
      </c>
      <c r="D96" s="238" t="str">
        <f>'1. All Data'!I97</f>
        <v>On Track to be Achieved</v>
      </c>
      <c r="E96" s="207"/>
      <c r="F96" s="239" t="str">
        <f>'1. All Data'!N97</f>
        <v>On Track to be Achieved</v>
      </c>
      <c r="G96" s="207"/>
      <c r="H96" s="240" t="str">
        <f>'1. All Data'!S97</f>
        <v>On Track to be Achieved</v>
      </c>
      <c r="I96" s="207"/>
      <c r="J96" s="240" t="str">
        <f>'1. All Data'!W97</f>
        <v>Numerical Outturn Within 5% Tolerance</v>
      </c>
    </row>
    <row r="97" spans="1:10" ht="99.75" hidden="1" customHeight="1">
      <c r="A97" s="205" t="str">
        <f>'1. All Data'!C98</f>
        <v>EHW10</v>
      </c>
      <c r="B97" s="241" t="str">
        <f>'1. All Data'!D98</f>
        <v>Delivering Better Services to Support Homelessness</v>
      </c>
      <c r="C97" s="242" t="str">
        <f>'1. All Data'!E98</f>
        <v>Average time from appointment to initial decision for homeless applicants of 10 days</v>
      </c>
      <c r="D97" s="238" t="str">
        <f>'1. All Data'!I98</f>
        <v>On Track to be Achieved</v>
      </c>
      <c r="E97" s="207"/>
      <c r="F97" s="239" t="str">
        <f>'1. All Data'!N98</f>
        <v>On Track to be Achieved</v>
      </c>
      <c r="G97" s="207"/>
      <c r="H97" s="240" t="str">
        <f>'1. All Data'!S98</f>
        <v>On Track to be Achieved</v>
      </c>
      <c r="I97" s="207"/>
      <c r="J97" s="240" t="str">
        <f>'1. All Data'!W98</f>
        <v>Fully Achieved</v>
      </c>
    </row>
    <row r="98" spans="1:10" ht="99.75" hidden="1" customHeight="1">
      <c r="A98" s="205" t="str">
        <f>'1. All Data'!C99</f>
        <v>EHW11</v>
      </c>
      <c r="B98" s="241" t="str">
        <f>'1. All Data'!D99</f>
        <v>Continue to Maximise Utilisation of Self Contained Temporary Accommodation for Homeless Applicants</v>
      </c>
      <c r="C98" s="242" t="str">
        <f>'1. All Data'!E99</f>
        <v>Reduce ‘Key to Key’ Void Turnaround to an average of 6 working days</v>
      </c>
      <c r="D98" s="238" t="str">
        <f>'1. All Data'!I99</f>
        <v>In Danger of Falling Behind Target</v>
      </c>
      <c r="E98" s="206"/>
      <c r="F98" s="239" t="str">
        <f>'1. All Data'!N99</f>
        <v>On Track to be Achieved</v>
      </c>
      <c r="G98" s="215"/>
      <c r="H98" s="240" t="str">
        <f>'1. All Data'!S99</f>
        <v>On Track to be Achieved</v>
      </c>
      <c r="I98" s="207"/>
      <c r="J98" s="240" t="str">
        <f>'1. All Data'!W99</f>
        <v>Fully Achieved</v>
      </c>
    </row>
    <row r="99" spans="1:10" ht="99.75" hidden="1" customHeight="1">
      <c r="A99" s="205" t="str">
        <f>'1. All Data'!C100</f>
        <v>EHW12</v>
      </c>
      <c r="B99" s="241" t="str">
        <f>'1. All Data'!D100</f>
        <v>Review options for continuing outreach services to Rough Sleepers</v>
      </c>
      <c r="C99" s="242" t="str">
        <f>'1. All Data'!E100</f>
        <v xml:space="preserve">Report completed </v>
      </c>
      <c r="D99" s="238" t="str">
        <f>'1. All Data'!I100</f>
        <v>On Track to be Achieved</v>
      </c>
      <c r="E99" s="207"/>
      <c r="F99" s="239" t="str">
        <f>'1. All Data'!N100</f>
        <v>Fully Achieved</v>
      </c>
      <c r="G99" s="214"/>
      <c r="H99" s="240" t="str">
        <f>'1. All Data'!S100</f>
        <v>Fully Achieved</v>
      </c>
      <c r="I99" s="207"/>
      <c r="J99" s="240" t="str">
        <f>'1. All Data'!W100</f>
        <v>Fully Achieved</v>
      </c>
    </row>
    <row r="100" spans="1:10" ht="99.75" hidden="1" customHeight="1">
      <c r="A100" s="205" t="str">
        <f>'1. All Data'!C101</f>
        <v>EHW13</v>
      </c>
      <c r="B100" s="241" t="str">
        <f>'1. All Data'!D101</f>
        <v>Delivering Better Services to Support Homelessness</v>
      </c>
      <c r="C100" s="242" t="str">
        <f>'1. All Data'!E101</f>
        <v>Launch Campaign to raise awareness of rough sleeping, street living and street begging</v>
      </c>
      <c r="D100" s="238" t="str">
        <f>'1. All Data'!I101</f>
        <v>Fully Achieved</v>
      </c>
      <c r="E100" s="207"/>
      <c r="F100" s="239" t="str">
        <f>'1. All Data'!N101</f>
        <v>Fully Achieved</v>
      </c>
      <c r="G100" s="207"/>
      <c r="H100" s="240" t="str">
        <f>'1. All Data'!S101</f>
        <v>Fully Achieved</v>
      </c>
      <c r="I100" s="207"/>
      <c r="J100" s="240" t="str">
        <f>'1. All Data'!W101</f>
        <v>Fully Achieved</v>
      </c>
    </row>
    <row r="101" spans="1:10" ht="99.75" hidden="1" customHeight="1">
      <c r="A101" s="205" t="str">
        <f>'1. All Data'!C102</f>
        <v>EHW14</v>
      </c>
      <c r="B101" s="241" t="str">
        <f>'1. All Data'!D102</f>
        <v>Produce a Business Plan to tackle selected empty homes</v>
      </c>
      <c r="C101" s="242" t="str">
        <f>'1. All Data'!E102</f>
        <v>Business Plan Produced</v>
      </c>
      <c r="D101" s="238" t="str">
        <f>'1. All Data'!I102</f>
        <v>Fully Achieved</v>
      </c>
      <c r="E101" s="207"/>
      <c r="F101" s="239" t="str">
        <f>'1. All Data'!N102</f>
        <v>Fully Achieved</v>
      </c>
      <c r="G101" s="207"/>
      <c r="H101" s="240" t="str">
        <f>'1. All Data'!S102</f>
        <v>Fully Achieved</v>
      </c>
      <c r="I101" s="207"/>
      <c r="J101" s="240" t="str">
        <f>'1. All Data'!W102</f>
        <v>Fully Achieved</v>
      </c>
    </row>
    <row r="102" spans="1:10" ht="99.75" hidden="1" customHeight="1">
      <c r="A102" s="205" t="str">
        <f>'1. All Data'!C103</f>
        <v>EHW15</v>
      </c>
      <c r="B102" s="241" t="str">
        <f>'1. All Data'!D103</f>
        <v>Deliver Focussed Environmental Health Initiatives</v>
      </c>
      <c r="C102" s="242" t="str">
        <f>'1. All Data'!E103</f>
        <v xml:space="preserve">Provide a six monthly report on Regulatory Services activity including initiatives covering licensed gambling premises, Civil Enforcement, Scrap metal compliance etc. </v>
      </c>
      <c r="D102" s="238" t="str">
        <f>'1. All Data'!I103</f>
        <v>On Track to be Achieved</v>
      </c>
      <c r="E102" s="206"/>
      <c r="F102" s="239" t="str">
        <f>'1. All Data'!N103</f>
        <v>On Track to be Achieved</v>
      </c>
      <c r="G102" s="207"/>
      <c r="H102" s="240" t="str">
        <f>'1. All Data'!S103</f>
        <v>Fully Achieved</v>
      </c>
      <c r="I102" s="207"/>
      <c r="J102" s="240" t="str">
        <f>'1. All Data'!W103</f>
        <v>Fully Achieved</v>
      </c>
    </row>
    <row r="103" spans="1:10" ht="99.75" hidden="1" customHeight="1">
      <c r="A103" s="205" t="str">
        <f>'1. All Data'!C104</f>
        <v>EHW16</v>
      </c>
      <c r="B103" s="241" t="str">
        <f>'1. All Data'!D104</f>
        <v>Deliver Focussed Environmental Health Initiatives</v>
      </c>
      <c r="C103" s="242" t="str">
        <f>'1. All Data'!E104</f>
        <v>Undertake a targeted initiative to identify Unlicensed Houses in Multiple Occupation</v>
      </c>
      <c r="D103" s="238" t="str">
        <f>'1. All Data'!I104</f>
        <v>On Track to be Achieved</v>
      </c>
      <c r="E103" s="206"/>
      <c r="F103" s="239" t="str">
        <f>'1. All Data'!N104</f>
        <v>On Track to be Achieved</v>
      </c>
      <c r="G103" s="207"/>
      <c r="H103" s="240" t="str">
        <f>'1. All Data'!S104</f>
        <v>On Track to be Achieved</v>
      </c>
      <c r="I103" s="207"/>
      <c r="J103" s="240" t="str">
        <f>'1. All Data'!W104</f>
        <v>Fully Achieved</v>
      </c>
    </row>
    <row r="104" spans="1:10" ht="99.75" hidden="1" customHeight="1">
      <c r="A104" s="205" t="str">
        <f>'1. All Data'!C105</f>
        <v>EHW17</v>
      </c>
      <c r="B104" s="241" t="str">
        <f>'1. All Data'!D105</f>
        <v>Deliver Focussed Environmental Health Initiatives</v>
      </c>
      <c r="C104" s="242" t="str">
        <f>'1. All Data'!E105</f>
        <v>Complete an evaluation of all Licensable Animal Activities and report to DEFRA</v>
      </c>
      <c r="D104" s="238" t="str">
        <f>'1. All Data'!I105</f>
        <v>On Track to be Achieved</v>
      </c>
      <c r="E104" s="207"/>
      <c r="F104" s="239" t="str">
        <f>'1. All Data'!N105</f>
        <v>On Track to be Achieved</v>
      </c>
      <c r="G104" s="207"/>
      <c r="H104" s="240" t="str">
        <f>'1. All Data'!S105</f>
        <v>On Track to be Achieved</v>
      </c>
      <c r="I104" s="207"/>
      <c r="J104" s="240" t="str">
        <f>'1. All Data'!W105</f>
        <v>Fully Achieved</v>
      </c>
    </row>
    <row r="105" spans="1:10" ht="99.75" hidden="1" customHeight="1">
      <c r="A105" s="205" t="str">
        <f>'1. All Data'!C106</f>
        <v>EHW18</v>
      </c>
      <c r="B105" s="241" t="str">
        <f>'1. All Data'!D106</f>
        <v>Improve active links: easy in and easy out of Burton</v>
      </c>
      <c r="C105" s="242" t="str">
        <f>'1. All Data'!E106</f>
        <v xml:space="preserve">Working with SCC, audit the existing walking and cycling network and propose the upgrade and improvement of the network to ensure Burton is well connected to and from its town centre </v>
      </c>
      <c r="D105" s="238" t="str">
        <f>'1. All Data'!I106</f>
        <v>On Track to be Achieved</v>
      </c>
      <c r="E105" s="207"/>
      <c r="F105" s="239" t="str">
        <f>'1. All Data'!N106</f>
        <v>On Track to be Achieved</v>
      </c>
      <c r="G105" s="207"/>
      <c r="H105" s="240" t="str">
        <f>'1. All Data'!S106</f>
        <v>Off Target</v>
      </c>
      <c r="I105" s="207"/>
      <c r="J105" s="240" t="str">
        <f>'1. All Data'!W106</f>
        <v>Off Target</v>
      </c>
    </row>
    <row r="106" spans="1:10" ht="99.75" hidden="1" customHeight="1">
      <c r="A106" s="205" t="str">
        <f>'1. All Data'!C107</f>
        <v>EHW19</v>
      </c>
      <c r="B106" s="241" t="str">
        <f>'1. All Data'!D107</f>
        <v>Improve active and green links: easy in and easy out of Burton</v>
      </c>
      <c r="C106" s="242" t="str">
        <f>'1. All Data'!E107</f>
        <v xml:space="preserve">Begin scoping works for a bus interchange and active travel hubs in the Burton Place area </v>
      </c>
      <c r="D106" s="238" t="str">
        <f>'1. All Data'!I107</f>
        <v>On Track to be Achieved</v>
      </c>
      <c r="E106" s="207"/>
      <c r="F106" s="239" t="str">
        <f>'1. All Data'!N107</f>
        <v>On Track to be Achieved</v>
      </c>
      <c r="G106" s="207"/>
      <c r="H106" s="240" t="str">
        <f>'1. All Data'!S107</f>
        <v>Fully Achieved</v>
      </c>
      <c r="I106" s="207"/>
      <c r="J106" s="240" t="str">
        <f>'1. All Data'!W107</f>
        <v>Fully Achieved</v>
      </c>
    </row>
    <row r="107" spans="1:10" ht="99.75" hidden="1" customHeight="1">
      <c r="A107" s="205" t="str">
        <f>'1. All Data'!C108</f>
        <v>EHW20</v>
      </c>
      <c r="B107" s="241" t="str">
        <f>'1. All Data'!D108</f>
        <v>Upgrade Burton Railway Station in terms of functionality and aesthetics</v>
      </c>
      <c r="C107" s="242" t="str">
        <f>'1. All Data'!E108</f>
        <v xml:space="preserve">Continue to work with the relevant rail authorities and partners to invest in and improve  the fabric of Burton Railway Station building </v>
      </c>
      <c r="D107" s="238" t="str">
        <f>'1. All Data'!I108</f>
        <v>On Track to be Achieved</v>
      </c>
      <c r="E107" s="207"/>
      <c r="F107" s="239" t="str">
        <f>'1. All Data'!N108</f>
        <v>On Track to be Achieved</v>
      </c>
      <c r="G107" s="207"/>
      <c r="H107" s="240" t="str">
        <f>'1. All Data'!S108</f>
        <v>Not Yet Due</v>
      </c>
      <c r="I107" s="207"/>
      <c r="J107" s="240" t="str">
        <f>'1. All Data'!W108</f>
        <v>Fully Achieved</v>
      </c>
    </row>
    <row r="108" spans="1:10" ht="99.75" hidden="1" customHeight="1">
      <c r="A108" s="205" t="str">
        <f>'1. All Data'!C109</f>
        <v>EHW21</v>
      </c>
      <c r="B108" s="241" t="str">
        <f>'1. All Data'!D109</f>
        <v>Upgrade Burton Railway Station in terms of functionality and aesthetics</v>
      </c>
      <c r="C108" s="242" t="str">
        <f>'1. All Data'!E109</f>
        <v xml:space="preserve">Work with partners to lobby for the opening of the Burton to Lichfield and Ivanhoe rail links </v>
      </c>
      <c r="D108" s="238" t="str">
        <f>'1. All Data'!I109</f>
        <v>Not Yet Due</v>
      </c>
      <c r="E108" s="207"/>
      <c r="F108" s="239" t="str">
        <f>'1. All Data'!N109</f>
        <v>On Track to be Achieved</v>
      </c>
      <c r="G108" s="207"/>
      <c r="H108" s="240" t="str">
        <f>'1. All Data'!S109</f>
        <v>Not Yet Due</v>
      </c>
      <c r="I108" s="207"/>
      <c r="J108" s="240" t="str">
        <f>'1. All Data'!W109</f>
        <v>Fully Achieved</v>
      </c>
    </row>
    <row r="109" spans="1:10" ht="99.75" hidden="1" customHeight="1">
      <c r="A109" s="205" t="str">
        <f>'1. All Data'!C110</f>
        <v>EHW22</v>
      </c>
      <c r="B109" s="241" t="str">
        <f>'1. All Data'!D110</f>
        <v>Achieve optimum working in economic partnership</v>
      </c>
      <c r="C109" s="242" t="str">
        <f>'1. All Data'!E110</f>
        <v xml:space="preserve">Continue to work with strategic tourism partners to facilitate the promotion of tourism </v>
      </c>
      <c r="D109" s="238" t="str">
        <f>'1. All Data'!I110</f>
        <v>Not Yet Due</v>
      </c>
      <c r="E109" s="207"/>
      <c r="F109" s="239" t="str">
        <f>'1. All Data'!N110</f>
        <v>Not Yet Due</v>
      </c>
      <c r="G109" s="207"/>
      <c r="H109" s="240" t="str">
        <f>'1. All Data'!S110</f>
        <v>On Track to be Achieved</v>
      </c>
      <c r="I109" s="207"/>
      <c r="J109" s="240" t="str">
        <f>'1. All Data'!W110</f>
        <v>Fully Achieved</v>
      </c>
    </row>
    <row r="110" spans="1:10" ht="99.75" hidden="1" customHeight="1">
      <c r="A110" s="205" t="str">
        <f>'1. All Data'!C111</f>
        <v>EHW23</v>
      </c>
      <c r="B110" s="241" t="str">
        <f>'1. All Data'!D111</f>
        <v>Achieve optimum working in economic partnership</v>
      </c>
      <c r="C110" s="242" t="str">
        <f>'1. All Data'!E111</f>
        <v xml:space="preserve">Support partners such as the National Forest and Transforming The Trent Valley in delivering environmental enhancement projects, such as the Brook Hollows project </v>
      </c>
      <c r="D110" s="238" t="str">
        <f>'1. All Data'!I111</f>
        <v>On Track to be Achieved</v>
      </c>
      <c r="E110" s="206"/>
      <c r="F110" s="239" t="str">
        <f>'1. All Data'!N111</f>
        <v>On Track to be Achieved</v>
      </c>
      <c r="G110" s="207"/>
      <c r="H110" s="240" t="str">
        <f>'1. All Data'!S111</f>
        <v>On Track to be Achieved</v>
      </c>
      <c r="I110" s="214"/>
      <c r="J110" s="240" t="str">
        <f>'1. All Data'!W111</f>
        <v>Fully Achieved</v>
      </c>
    </row>
    <row r="111" spans="1:10" s="208" customFormat="1" hidden="1">
      <c r="C111" s="236"/>
    </row>
    <row r="112" spans="1:10" s="208" customFormat="1">
      <c r="C112" s="236"/>
    </row>
    <row r="113" spans="3:3" s="208" customFormat="1">
      <c r="C113" s="236"/>
    </row>
    <row r="114" spans="3:3" s="208" customFormat="1">
      <c r="C114" s="236"/>
    </row>
    <row r="115" spans="3:3" s="208" customFormat="1">
      <c r="C115" s="236"/>
    </row>
    <row r="116" spans="3:3" s="208" customFormat="1">
      <c r="C116" s="236"/>
    </row>
    <row r="117" spans="3:3" s="208" customFormat="1">
      <c r="C117" s="236"/>
    </row>
    <row r="118" spans="3:3" s="208" customFormat="1">
      <c r="C118" s="236"/>
    </row>
    <row r="119" spans="3:3" s="208" customFormat="1">
      <c r="C119" s="236"/>
    </row>
    <row r="120" spans="3:3" s="208" customFormat="1">
      <c r="C120" s="236"/>
    </row>
    <row r="121" spans="3:3" s="208" customFormat="1">
      <c r="C121" s="236"/>
    </row>
    <row r="122" spans="3:3" s="208" customFormat="1">
      <c r="C122" s="236"/>
    </row>
    <row r="123" spans="3:3" s="208" customFormat="1">
      <c r="C123" s="236"/>
    </row>
    <row r="124" spans="3:3" s="208" customFormat="1">
      <c r="C124" s="236"/>
    </row>
    <row r="125" spans="3:3" s="208" customFormat="1">
      <c r="C125" s="236"/>
    </row>
    <row r="126" spans="3:3" s="208" customFormat="1">
      <c r="C126" s="236"/>
    </row>
    <row r="127" spans="3:3" s="208" customFormat="1">
      <c r="C127" s="236"/>
    </row>
    <row r="128" spans="3:3" s="208" customFormat="1">
      <c r="C128" s="236"/>
    </row>
    <row r="129" spans="3:3">
      <c r="C129" s="236"/>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329"/>
      <c r="B2" s="330"/>
      <c r="C2" s="331"/>
    </row>
    <row r="3" spans="1:3">
      <c r="A3" s="332"/>
      <c r="B3" s="333"/>
      <c r="C3" s="334"/>
    </row>
    <row r="4" spans="1:3">
      <c r="A4" s="332"/>
      <c r="B4" s="333"/>
      <c r="C4" s="334"/>
    </row>
    <row r="5" spans="1:3">
      <c r="A5" s="332"/>
      <c r="B5" s="333"/>
      <c r="C5" s="334"/>
    </row>
    <row r="6" spans="1:3">
      <c r="A6" s="332"/>
      <c r="B6" s="333"/>
      <c r="C6" s="334"/>
    </row>
    <row r="7" spans="1:3">
      <c r="A7" s="332"/>
      <c r="B7" s="333"/>
      <c r="C7" s="334"/>
    </row>
    <row r="8" spans="1:3">
      <c r="A8" s="332"/>
      <c r="B8" s="333"/>
      <c r="C8" s="334"/>
    </row>
    <row r="9" spans="1:3">
      <c r="A9" s="332"/>
      <c r="B9" s="333"/>
      <c r="C9" s="334"/>
    </row>
    <row r="10" spans="1:3">
      <c r="A10" s="332"/>
      <c r="B10" s="333"/>
      <c r="C10" s="334"/>
    </row>
    <row r="11" spans="1:3">
      <c r="A11" s="332"/>
      <c r="B11" s="333"/>
      <c r="C11" s="334"/>
    </row>
    <row r="12" spans="1:3">
      <c r="A12" s="332"/>
      <c r="B12" s="333"/>
      <c r="C12" s="334"/>
    </row>
    <row r="13" spans="1:3">
      <c r="A13" s="332"/>
      <c r="B13" s="333"/>
      <c r="C13" s="334"/>
    </row>
    <row r="14" spans="1:3">
      <c r="A14" s="332"/>
      <c r="B14" s="333"/>
      <c r="C14" s="334"/>
    </row>
    <row r="15" spans="1:3">
      <c r="A15" s="332"/>
      <c r="B15" s="333"/>
      <c r="C15" s="334"/>
    </row>
    <row r="16" spans="1:3">
      <c r="A16" s="332"/>
      <c r="B16" s="333"/>
      <c r="C16" s="334"/>
    </row>
    <row r="17" spans="1:3">
      <c r="A17" s="332"/>
      <c r="B17" s="333"/>
      <c r="C17" s="334"/>
    </row>
    <row r="18" spans="1:3">
      <c r="A18" s="332"/>
      <c r="B18" s="333"/>
      <c r="C18" s="334"/>
    </row>
    <row r="19" spans="1:3">
      <c r="A19" s="335"/>
      <c r="B19" s="336"/>
      <c r="C19" s="3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2"/>
  <sheetViews>
    <sheetView tabSelected="1" topLeftCell="B1" zoomScale="70" zoomScaleNormal="70" workbookViewId="0">
      <pane xSplit="5" ySplit="2" topLeftCell="U3" activePane="bottomRight" state="frozen"/>
      <selection activeCell="B1" sqref="B1"/>
      <selection pane="topRight" activeCell="F1" sqref="F1"/>
      <selection pane="bottomLeft" activeCell="B3" sqref="B3"/>
      <selection pane="bottomRight" activeCell="U3" sqref="U3"/>
    </sheetView>
  </sheetViews>
  <sheetFormatPr defaultRowHeight="15.75"/>
  <cols>
    <col min="1" max="2" width="20.42578125" style="253" customWidth="1"/>
    <col min="3" max="3" width="14.85546875" style="254" customWidth="1"/>
    <col min="4" max="4" width="49.5703125" style="255" customWidth="1"/>
    <col min="5" max="5" width="50" style="255" customWidth="1"/>
    <col min="6" max="6" width="10.28515625" style="254" bestFit="1" customWidth="1"/>
    <col min="7" max="7" width="45.85546875" style="310" customWidth="1"/>
    <col min="8" max="9" width="18.5703125" style="310" customWidth="1"/>
    <col min="10" max="10" width="32.28515625" style="310" customWidth="1"/>
    <col min="11" max="11" width="52" style="310" customWidth="1"/>
    <col min="12" max="13" width="18.42578125" style="310" customWidth="1"/>
    <col min="14" max="14" width="18.5703125" style="310" customWidth="1"/>
    <col min="15" max="15" width="50.42578125" style="310" customWidth="1"/>
    <col min="16" max="16" width="73.140625" style="310" customWidth="1"/>
    <col min="17" max="17" width="18.42578125" style="310" customWidth="1"/>
    <col min="18" max="19" width="18.5703125" style="310" customWidth="1"/>
    <col min="20" max="20" width="22" style="310" customWidth="1"/>
    <col min="21" max="21" width="48" style="368" customWidth="1"/>
    <col min="22" max="23" width="18.5703125" style="368" customWidth="1"/>
    <col min="24" max="24" width="44.28515625" style="368" customWidth="1"/>
    <col min="25" max="25" width="9.140625" style="254"/>
    <col min="26" max="26" width="19.7109375" style="255" customWidth="1"/>
    <col min="27" max="28" width="20.42578125" style="253" customWidth="1"/>
    <col min="29" max="29" width="19.7109375" style="255" hidden="1" customWidth="1"/>
    <col min="30" max="30" width="19.7109375" style="255" customWidth="1"/>
    <col min="31" max="31" width="0" style="258" hidden="1" customWidth="1"/>
    <col min="32" max="16384" width="9.140625" style="259"/>
  </cols>
  <sheetData>
    <row r="1" spans="1:31" ht="27.75" customHeight="1">
      <c r="F1" s="256"/>
      <c r="G1" s="391" t="s">
        <v>351</v>
      </c>
      <c r="H1" s="391"/>
      <c r="I1" s="391"/>
      <c r="J1" s="391"/>
      <c r="K1" s="391" t="s">
        <v>361</v>
      </c>
      <c r="L1" s="391"/>
      <c r="M1" s="391"/>
      <c r="N1" s="391"/>
      <c r="O1" s="391"/>
      <c r="P1" s="391" t="s">
        <v>360</v>
      </c>
      <c r="Q1" s="391"/>
      <c r="R1" s="391"/>
      <c r="S1" s="391"/>
      <c r="T1" s="391"/>
      <c r="U1" s="392" t="s">
        <v>357</v>
      </c>
      <c r="V1" s="392"/>
      <c r="W1" s="392"/>
      <c r="X1" s="392"/>
      <c r="Y1" s="257"/>
    </row>
    <row r="2" spans="1:31" s="267" customFormat="1" ht="103.5" customHeight="1">
      <c r="A2" s="260" t="s">
        <v>287</v>
      </c>
      <c r="B2" s="260" t="s">
        <v>287</v>
      </c>
      <c r="C2" s="261" t="s">
        <v>332</v>
      </c>
      <c r="D2" s="262" t="s">
        <v>0</v>
      </c>
      <c r="E2" s="262" t="s">
        <v>1</v>
      </c>
      <c r="F2" s="263" t="s">
        <v>327</v>
      </c>
      <c r="G2" s="264" t="s">
        <v>331</v>
      </c>
      <c r="H2" s="264" t="s">
        <v>328</v>
      </c>
      <c r="I2" s="264" t="s">
        <v>329</v>
      </c>
      <c r="J2" s="264" t="s">
        <v>330</v>
      </c>
      <c r="K2" s="264" t="s">
        <v>352</v>
      </c>
      <c r="L2" s="264" t="s">
        <v>466</v>
      </c>
      <c r="M2" s="264" t="s">
        <v>348</v>
      </c>
      <c r="N2" s="264" t="s">
        <v>349</v>
      </c>
      <c r="O2" s="264" t="s">
        <v>350</v>
      </c>
      <c r="P2" s="264" t="s">
        <v>353</v>
      </c>
      <c r="Q2" s="264" t="s">
        <v>467</v>
      </c>
      <c r="R2" s="264" t="s">
        <v>354</v>
      </c>
      <c r="S2" s="264" t="s">
        <v>355</v>
      </c>
      <c r="T2" s="264" t="s">
        <v>356</v>
      </c>
      <c r="U2" s="349" t="s">
        <v>358</v>
      </c>
      <c r="V2" s="349" t="s">
        <v>468</v>
      </c>
      <c r="W2" s="349" t="s">
        <v>469</v>
      </c>
      <c r="X2" s="349" t="s">
        <v>359</v>
      </c>
      <c r="Y2" s="265" t="s">
        <v>279</v>
      </c>
      <c r="Z2" s="260" t="s">
        <v>272</v>
      </c>
      <c r="AA2" s="260" t="s">
        <v>286</v>
      </c>
      <c r="AB2" s="260" t="s">
        <v>418</v>
      </c>
      <c r="AC2" s="260" t="s">
        <v>362</v>
      </c>
      <c r="AD2" s="260" t="s">
        <v>264</v>
      </c>
      <c r="AE2" s="266" t="s">
        <v>318</v>
      </c>
    </row>
    <row r="3" spans="1:31" ht="99.95" customHeight="1">
      <c r="A3" s="268" t="s">
        <v>292</v>
      </c>
      <c r="B3" s="268" t="s">
        <v>292</v>
      </c>
      <c r="C3" s="269" t="s">
        <v>2</v>
      </c>
      <c r="D3" s="270" t="s">
        <v>3</v>
      </c>
      <c r="E3" s="271" t="s">
        <v>4</v>
      </c>
      <c r="F3" s="272">
        <v>43890</v>
      </c>
      <c r="G3" s="273" t="s">
        <v>570</v>
      </c>
      <c r="H3" s="273"/>
      <c r="I3" s="274" t="s">
        <v>343</v>
      </c>
      <c r="J3" s="275"/>
      <c r="K3" s="276" t="s">
        <v>585</v>
      </c>
      <c r="L3" s="276"/>
      <c r="M3" s="273"/>
      <c r="N3" s="274" t="s">
        <v>343</v>
      </c>
      <c r="O3" s="275"/>
      <c r="P3" s="276" t="s">
        <v>690</v>
      </c>
      <c r="Q3" s="276"/>
      <c r="R3" s="273"/>
      <c r="S3" s="274" t="s">
        <v>343</v>
      </c>
      <c r="T3" s="275"/>
      <c r="U3" s="350" t="s">
        <v>773</v>
      </c>
      <c r="V3" s="351"/>
      <c r="W3" s="352" t="s">
        <v>334</v>
      </c>
      <c r="X3" s="353"/>
      <c r="Y3" s="277" t="s">
        <v>280</v>
      </c>
      <c r="Z3" s="268" t="s">
        <v>273</v>
      </c>
      <c r="AA3" s="268" t="s">
        <v>288</v>
      </c>
      <c r="AB3" s="268" t="s">
        <v>278</v>
      </c>
      <c r="AC3" s="268" t="s">
        <v>265</v>
      </c>
      <c r="AD3" s="268" t="s">
        <v>368</v>
      </c>
      <c r="AE3" s="278">
        <v>1</v>
      </c>
    </row>
    <row r="4" spans="1:31" ht="99.95" customHeight="1">
      <c r="A4" s="268" t="s">
        <v>292</v>
      </c>
      <c r="B4" s="268" t="s">
        <v>292</v>
      </c>
      <c r="C4" s="269" t="s">
        <v>5</v>
      </c>
      <c r="D4" s="270" t="s">
        <v>6</v>
      </c>
      <c r="E4" s="271" t="s">
        <v>7</v>
      </c>
      <c r="F4" s="272">
        <v>43921</v>
      </c>
      <c r="G4" s="273" t="s">
        <v>508</v>
      </c>
      <c r="H4" s="273"/>
      <c r="I4" s="274" t="s">
        <v>347</v>
      </c>
      <c r="J4" s="275"/>
      <c r="K4" s="276" t="s">
        <v>584</v>
      </c>
      <c r="L4" s="276"/>
      <c r="M4" s="273"/>
      <c r="N4" s="274" t="s">
        <v>347</v>
      </c>
      <c r="O4" s="275"/>
      <c r="P4" s="276" t="s">
        <v>744</v>
      </c>
      <c r="Q4" s="276"/>
      <c r="R4" s="273"/>
      <c r="S4" s="274" t="s">
        <v>343</v>
      </c>
      <c r="T4" s="275"/>
      <c r="U4" s="350" t="s">
        <v>829</v>
      </c>
      <c r="V4" s="351"/>
      <c r="W4" s="352" t="s">
        <v>334</v>
      </c>
      <c r="X4" s="353"/>
      <c r="Y4" s="277" t="s">
        <v>280</v>
      </c>
      <c r="Z4" s="268" t="s">
        <v>273</v>
      </c>
      <c r="AA4" s="268" t="s">
        <v>288</v>
      </c>
      <c r="AB4" s="268" t="s">
        <v>278</v>
      </c>
      <c r="AC4" s="268" t="s">
        <v>265</v>
      </c>
      <c r="AD4" s="268" t="s">
        <v>368</v>
      </c>
      <c r="AE4" s="278">
        <v>2</v>
      </c>
    </row>
    <row r="5" spans="1:31" ht="99.95" customHeight="1">
      <c r="A5" s="268" t="s">
        <v>292</v>
      </c>
      <c r="B5" s="268" t="s">
        <v>292</v>
      </c>
      <c r="C5" s="269" t="s">
        <v>8</v>
      </c>
      <c r="D5" s="270" t="s">
        <v>9</v>
      </c>
      <c r="E5" s="279" t="s">
        <v>10</v>
      </c>
      <c r="F5" s="280">
        <v>43677</v>
      </c>
      <c r="G5" s="281" t="s">
        <v>509</v>
      </c>
      <c r="H5" s="281"/>
      <c r="I5" s="282" t="s">
        <v>343</v>
      </c>
      <c r="J5" s="283"/>
      <c r="K5" s="284" t="s">
        <v>586</v>
      </c>
      <c r="L5" s="284"/>
      <c r="M5" s="281"/>
      <c r="N5" s="282" t="s">
        <v>334</v>
      </c>
      <c r="O5" s="283"/>
      <c r="P5" s="284"/>
      <c r="Q5" s="284"/>
      <c r="R5" s="281"/>
      <c r="S5" s="274" t="s">
        <v>334</v>
      </c>
      <c r="T5" s="283"/>
      <c r="U5" s="354"/>
      <c r="V5" s="355"/>
      <c r="W5" s="352" t="s">
        <v>334</v>
      </c>
      <c r="X5" s="356"/>
      <c r="Y5" s="285" t="s">
        <v>282</v>
      </c>
      <c r="Z5" s="268" t="s">
        <v>273</v>
      </c>
      <c r="AA5" s="268" t="s">
        <v>288</v>
      </c>
      <c r="AB5" s="268" t="s">
        <v>278</v>
      </c>
      <c r="AC5" s="268" t="s">
        <v>265</v>
      </c>
      <c r="AD5" s="268" t="s">
        <v>368</v>
      </c>
      <c r="AE5" s="278">
        <v>3</v>
      </c>
    </row>
    <row r="6" spans="1:31" ht="99.95" customHeight="1">
      <c r="A6" s="268" t="s">
        <v>292</v>
      </c>
      <c r="B6" s="268" t="s">
        <v>292</v>
      </c>
      <c r="C6" s="269" t="s">
        <v>11</v>
      </c>
      <c r="D6" s="286" t="s">
        <v>12</v>
      </c>
      <c r="E6" s="271" t="s">
        <v>13</v>
      </c>
      <c r="F6" s="272">
        <v>43921</v>
      </c>
      <c r="G6" s="273" t="s">
        <v>510</v>
      </c>
      <c r="H6" s="273"/>
      <c r="I6" s="274" t="s">
        <v>343</v>
      </c>
      <c r="J6" s="275"/>
      <c r="K6" s="273" t="s">
        <v>646</v>
      </c>
      <c r="L6" s="276"/>
      <c r="M6" s="273"/>
      <c r="N6" s="274" t="s">
        <v>343</v>
      </c>
      <c r="O6" s="275"/>
      <c r="P6" s="276" t="s">
        <v>691</v>
      </c>
      <c r="Q6" s="276"/>
      <c r="R6" s="273"/>
      <c r="S6" s="274" t="s">
        <v>343</v>
      </c>
      <c r="T6" s="275"/>
      <c r="U6" s="350" t="s">
        <v>825</v>
      </c>
      <c r="V6" s="351"/>
      <c r="W6" s="352" t="s">
        <v>334</v>
      </c>
      <c r="X6" s="353"/>
      <c r="Y6" s="285" t="s">
        <v>280</v>
      </c>
      <c r="Z6" s="268" t="s">
        <v>273</v>
      </c>
      <c r="AA6" s="268" t="s">
        <v>288</v>
      </c>
      <c r="AB6" s="268" t="s">
        <v>278</v>
      </c>
      <c r="AC6" s="268" t="s">
        <v>265</v>
      </c>
      <c r="AD6" s="268" t="s">
        <v>368</v>
      </c>
      <c r="AE6" s="278">
        <v>4</v>
      </c>
    </row>
    <row r="7" spans="1:31" ht="99.95" customHeight="1">
      <c r="A7" s="268" t="s">
        <v>292</v>
      </c>
      <c r="B7" s="268" t="s">
        <v>292</v>
      </c>
      <c r="C7" s="269" t="s">
        <v>14</v>
      </c>
      <c r="D7" s="270" t="s">
        <v>15</v>
      </c>
      <c r="E7" s="279" t="s">
        <v>16</v>
      </c>
      <c r="F7" s="272">
        <v>43921</v>
      </c>
      <c r="G7" s="281" t="s">
        <v>532</v>
      </c>
      <c r="H7" s="281"/>
      <c r="I7" s="282" t="s">
        <v>343</v>
      </c>
      <c r="J7" s="283"/>
      <c r="K7" s="284" t="s">
        <v>681</v>
      </c>
      <c r="L7" s="284"/>
      <c r="M7" s="281"/>
      <c r="N7" s="282" t="s">
        <v>343</v>
      </c>
      <c r="O7" s="283"/>
      <c r="P7" s="284" t="s">
        <v>745</v>
      </c>
      <c r="Q7" s="284"/>
      <c r="R7" s="281"/>
      <c r="S7" s="282" t="s">
        <v>334</v>
      </c>
      <c r="T7" s="283"/>
      <c r="U7" s="354"/>
      <c r="V7" s="355"/>
      <c r="W7" s="357" t="s">
        <v>334</v>
      </c>
      <c r="X7" s="356"/>
      <c r="Y7" s="285" t="s">
        <v>280</v>
      </c>
      <c r="Z7" s="268" t="s">
        <v>273</v>
      </c>
      <c r="AA7" s="268" t="s">
        <v>288</v>
      </c>
      <c r="AB7" s="268" t="s">
        <v>278</v>
      </c>
      <c r="AC7" s="268" t="s">
        <v>265</v>
      </c>
      <c r="AD7" s="268" t="s">
        <v>368</v>
      </c>
      <c r="AE7" s="278">
        <v>5</v>
      </c>
    </row>
    <row r="8" spans="1:31" ht="99.95" customHeight="1">
      <c r="A8" s="268" t="s">
        <v>292</v>
      </c>
      <c r="B8" s="268" t="s">
        <v>292</v>
      </c>
      <c r="C8" s="269" t="s">
        <v>17</v>
      </c>
      <c r="D8" s="270" t="s">
        <v>18</v>
      </c>
      <c r="E8" s="279" t="s">
        <v>19</v>
      </c>
      <c r="F8" s="272">
        <v>43921</v>
      </c>
      <c r="G8" s="281"/>
      <c r="H8" s="281"/>
      <c r="I8" s="282" t="s">
        <v>347</v>
      </c>
      <c r="J8" s="283"/>
      <c r="K8" s="284" t="s">
        <v>666</v>
      </c>
      <c r="L8" s="284"/>
      <c r="M8" s="281"/>
      <c r="N8" s="282" t="s">
        <v>343</v>
      </c>
      <c r="O8" s="283"/>
      <c r="P8" s="284" t="s">
        <v>763</v>
      </c>
      <c r="Q8" s="284"/>
      <c r="R8" s="281"/>
      <c r="S8" s="282" t="s">
        <v>343</v>
      </c>
      <c r="T8" s="283"/>
      <c r="U8" s="354" t="s">
        <v>774</v>
      </c>
      <c r="V8" s="355"/>
      <c r="W8" s="352" t="s">
        <v>334</v>
      </c>
      <c r="X8" s="356"/>
      <c r="Y8" s="285" t="s">
        <v>280</v>
      </c>
      <c r="Z8" s="268" t="s">
        <v>273</v>
      </c>
      <c r="AA8" s="268" t="s">
        <v>288</v>
      </c>
      <c r="AB8" s="268" t="s">
        <v>278</v>
      </c>
      <c r="AC8" s="268" t="s">
        <v>265</v>
      </c>
      <c r="AD8" s="268" t="s">
        <v>368</v>
      </c>
      <c r="AE8" s="278">
        <v>6</v>
      </c>
    </row>
    <row r="9" spans="1:31" ht="274.5" customHeight="1">
      <c r="A9" s="268" t="s">
        <v>498</v>
      </c>
      <c r="B9" s="268" t="s">
        <v>498</v>
      </c>
      <c r="C9" s="269" t="s">
        <v>20</v>
      </c>
      <c r="D9" s="270" t="s">
        <v>21</v>
      </c>
      <c r="E9" s="279" t="s">
        <v>22</v>
      </c>
      <c r="F9" s="280">
        <v>43830</v>
      </c>
      <c r="G9" s="281" t="s">
        <v>531</v>
      </c>
      <c r="H9" s="281"/>
      <c r="I9" s="282" t="s">
        <v>343</v>
      </c>
      <c r="J9" s="283"/>
      <c r="K9" s="284" t="s">
        <v>647</v>
      </c>
      <c r="L9" s="284"/>
      <c r="M9" s="281"/>
      <c r="N9" s="282" t="s">
        <v>344</v>
      </c>
      <c r="O9" s="283"/>
      <c r="P9" s="284" t="s">
        <v>746</v>
      </c>
      <c r="Q9" s="284"/>
      <c r="R9" s="281"/>
      <c r="S9" s="282" t="s">
        <v>338</v>
      </c>
      <c r="T9" s="283"/>
      <c r="U9" s="354" t="s">
        <v>822</v>
      </c>
      <c r="V9" s="355"/>
      <c r="W9" s="352" t="s">
        <v>338</v>
      </c>
      <c r="X9" s="356"/>
      <c r="Y9" s="285" t="s">
        <v>283</v>
      </c>
      <c r="Z9" s="268" t="s">
        <v>273</v>
      </c>
      <c r="AA9" s="268" t="s">
        <v>290</v>
      </c>
      <c r="AB9" s="268" t="s">
        <v>278</v>
      </c>
      <c r="AC9" s="268" t="s">
        <v>265</v>
      </c>
      <c r="AD9" s="268" t="s">
        <v>368</v>
      </c>
      <c r="AE9" s="278">
        <v>7</v>
      </c>
    </row>
    <row r="10" spans="1:31" ht="134.25" customHeight="1">
      <c r="A10" s="268" t="s">
        <v>296</v>
      </c>
      <c r="B10" s="268" t="s">
        <v>296</v>
      </c>
      <c r="C10" s="269" t="s">
        <v>23</v>
      </c>
      <c r="D10" s="270" t="s">
        <v>21</v>
      </c>
      <c r="E10" s="279" t="s">
        <v>24</v>
      </c>
      <c r="F10" s="280">
        <v>43738</v>
      </c>
      <c r="G10" s="281" t="s">
        <v>533</v>
      </c>
      <c r="H10" s="281"/>
      <c r="I10" s="282" t="s">
        <v>343</v>
      </c>
      <c r="J10" s="283"/>
      <c r="K10" s="284" t="s">
        <v>635</v>
      </c>
      <c r="L10" s="284"/>
      <c r="M10" s="281"/>
      <c r="N10" s="282" t="s">
        <v>334</v>
      </c>
      <c r="O10" s="283"/>
      <c r="P10" s="284" t="s">
        <v>736</v>
      </c>
      <c r="Q10" s="284"/>
      <c r="R10" s="281"/>
      <c r="S10" s="274" t="s">
        <v>334</v>
      </c>
      <c r="T10" s="283"/>
      <c r="U10" s="354"/>
      <c r="V10" s="355"/>
      <c r="W10" s="352" t="s">
        <v>334</v>
      </c>
      <c r="X10" s="356"/>
      <c r="Y10" s="285" t="s">
        <v>282</v>
      </c>
      <c r="Z10" s="268" t="s">
        <v>273</v>
      </c>
      <c r="AA10" s="268" t="s">
        <v>290</v>
      </c>
      <c r="AB10" s="268" t="s">
        <v>278</v>
      </c>
      <c r="AC10" s="268" t="s">
        <v>265</v>
      </c>
      <c r="AD10" s="268" t="s">
        <v>368</v>
      </c>
      <c r="AE10" s="278">
        <v>8</v>
      </c>
    </row>
    <row r="11" spans="1:31" ht="99.95" customHeight="1">
      <c r="A11" s="268" t="s">
        <v>498</v>
      </c>
      <c r="B11" s="268" t="s">
        <v>498</v>
      </c>
      <c r="C11" s="269" t="s">
        <v>25</v>
      </c>
      <c r="D11" s="270" t="s">
        <v>21</v>
      </c>
      <c r="E11" s="279" t="s">
        <v>26</v>
      </c>
      <c r="F11" s="272">
        <v>43921</v>
      </c>
      <c r="G11" s="281"/>
      <c r="H11" s="281"/>
      <c r="I11" s="282" t="s">
        <v>347</v>
      </c>
      <c r="J11" s="283"/>
      <c r="K11" s="284" t="s">
        <v>610</v>
      </c>
      <c r="L11" s="284"/>
      <c r="M11" s="322">
        <v>0.86</v>
      </c>
      <c r="N11" s="282" t="s">
        <v>343</v>
      </c>
      <c r="O11" s="283" t="s">
        <v>611</v>
      </c>
      <c r="P11" s="284" t="s">
        <v>738</v>
      </c>
      <c r="Q11" s="339">
        <v>0.78</v>
      </c>
      <c r="R11" s="322">
        <v>0.86</v>
      </c>
      <c r="S11" s="282" t="s">
        <v>343</v>
      </c>
      <c r="T11" s="283"/>
      <c r="U11" s="354" t="s">
        <v>810</v>
      </c>
      <c r="V11" s="370">
        <v>0.85</v>
      </c>
      <c r="W11" s="352" t="s">
        <v>334</v>
      </c>
      <c r="X11" s="356"/>
      <c r="Y11" s="285" t="s">
        <v>280</v>
      </c>
      <c r="Z11" s="268" t="s">
        <v>273</v>
      </c>
      <c r="AA11" s="268" t="s">
        <v>290</v>
      </c>
      <c r="AB11" s="268" t="s">
        <v>278</v>
      </c>
      <c r="AC11" s="268" t="s">
        <v>265</v>
      </c>
      <c r="AD11" s="268" t="s">
        <v>368</v>
      </c>
      <c r="AE11" s="278">
        <v>9</v>
      </c>
    </row>
    <row r="12" spans="1:31" ht="99.95" customHeight="1">
      <c r="A12" s="268" t="s">
        <v>291</v>
      </c>
      <c r="B12" s="268" t="s">
        <v>291</v>
      </c>
      <c r="C12" s="269" t="s">
        <v>27</v>
      </c>
      <c r="D12" s="270" t="s">
        <v>28</v>
      </c>
      <c r="E12" s="279" t="s">
        <v>29</v>
      </c>
      <c r="F12" s="272">
        <v>43921</v>
      </c>
      <c r="G12" s="281" t="s">
        <v>491</v>
      </c>
      <c r="H12" s="281"/>
      <c r="I12" s="282" t="s">
        <v>343</v>
      </c>
      <c r="J12" s="283"/>
      <c r="K12" s="281" t="s">
        <v>491</v>
      </c>
      <c r="L12" s="284"/>
      <c r="M12" s="281"/>
      <c r="N12" s="282" t="s">
        <v>343</v>
      </c>
      <c r="O12" s="283"/>
      <c r="P12" s="284" t="s">
        <v>700</v>
      </c>
      <c r="Q12" s="284"/>
      <c r="R12" s="281"/>
      <c r="S12" s="282" t="s">
        <v>343</v>
      </c>
      <c r="T12" s="283"/>
      <c r="U12" s="354"/>
      <c r="V12" s="355"/>
      <c r="W12" s="352" t="s">
        <v>334</v>
      </c>
      <c r="X12" s="356"/>
      <c r="Y12" s="285" t="s">
        <v>280</v>
      </c>
      <c r="Z12" s="268" t="s">
        <v>273</v>
      </c>
      <c r="AA12" s="268" t="s">
        <v>289</v>
      </c>
      <c r="AB12" s="268" t="s">
        <v>278</v>
      </c>
      <c r="AC12" s="268" t="s">
        <v>265</v>
      </c>
      <c r="AD12" s="268" t="s">
        <v>368</v>
      </c>
      <c r="AE12" s="278">
        <v>10</v>
      </c>
    </row>
    <row r="13" spans="1:31" ht="99.95" customHeight="1">
      <c r="A13" s="268" t="s">
        <v>291</v>
      </c>
      <c r="B13" s="268" t="s">
        <v>291</v>
      </c>
      <c r="C13" s="269" t="s">
        <v>30</v>
      </c>
      <c r="D13" s="270" t="s">
        <v>31</v>
      </c>
      <c r="E13" s="271" t="s">
        <v>32</v>
      </c>
      <c r="F13" s="280">
        <v>43830</v>
      </c>
      <c r="G13" s="273" t="s">
        <v>492</v>
      </c>
      <c r="H13" s="273"/>
      <c r="I13" s="274" t="s">
        <v>343</v>
      </c>
      <c r="J13" s="275"/>
      <c r="K13" s="276" t="s">
        <v>587</v>
      </c>
      <c r="L13" s="276"/>
      <c r="M13" s="273"/>
      <c r="N13" s="274" t="s">
        <v>334</v>
      </c>
      <c r="O13" s="275"/>
      <c r="P13" s="276"/>
      <c r="Q13" s="276"/>
      <c r="R13" s="273"/>
      <c r="S13" s="274" t="s">
        <v>334</v>
      </c>
      <c r="T13" s="275"/>
      <c r="U13" s="350"/>
      <c r="V13" s="351"/>
      <c r="W13" s="352" t="s">
        <v>334</v>
      </c>
      <c r="X13" s="353"/>
      <c r="Y13" s="277" t="s">
        <v>283</v>
      </c>
      <c r="Z13" s="268" t="s">
        <v>273</v>
      </c>
      <c r="AA13" s="268" t="s">
        <v>289</v>
      </c>
      <c r="AB13" s="268" t="s">
        <v>278</v>
      </c>
      <c r="AC13" s="268" t="s">
        <v>265</v>
      </c>
      <c r="AD13" s="268" t="s">
        <v>368</v>
      </c>
      <c r="AE13" s="278">
        <v>11</v>
      </c>
    </row>
    <row r="14" spans="1:31" ht="99.95" customHeight="1">
      <c r="A14" s="268" t="s">
        <v>296</v>
      </c>
      <c r="B14" s="268" t="s">
        <v>296</v>
      </c>
      <c r="C14" s="269" t="s">
        <v>33</v>
      </c>
      <c r="D14" s="286" t="s">
        <v>34</v>
      </c>
      <c r="E14" s="271" t="s">
        <v>35</v>
      </c>
      <c r="F14" s="272">
        <v>43616</v>
      </c>
      <c r="G14" s="273" t="s">
        <v>534</v>
      </c>
      <c r="H14" s="273"/>
      <c r="I14" s="274" t="s">
        <v>334</v>
      </c>
      <c r="J14" s="275"/>
      <c r="K14" s="276" t="s">
        <v>636</v>
      </c>
      <c r="L14" s="276"/>
      <c r="M14" s="273"/>
      <c r="N14" s="274" t="s">
        <v>334</v>
      </c>
      <c r="O14" s="275"/>
      <c r="P14" s="276" t="s">
        <v>737</v>
      </c>
      <c r="Q14" s="276"/>
      <c r="R14" s="273"/>
      <c r="S14" s="274" t="s">
        <v>334</v>
      </c>
      <c r="T14" s="275"/>
      <c r="U14" s="350"/>
      <c r="V14" s="351"/>
      <c r="W14" s="352" t="s">
        <v>334</v>
      </c>
      <c r="X14" s="353"/>
      <c r="Y14" s="277" t="s">
        <v>281</v>
      </c>
      <c r="Z14" s="268" t="s">
        <v>274</v>
      </c>
      <c r="AA14" s="268" t="s">
        <v>317</v>
      </c>
      <c r="AB14" s="268" t="s">
        <v>278</v>
      </c>
      <c r="AC14" s="268" t="s">
        <v>265</v>
      </c>
      <c r="AD14" s="268" t="s">
        <v>368</v>
      </c>
      <c r="AE14" s="278">
        <v>12</v>
      </c>
    </row>
    <row r="15" spans="1:31" ht="99.95" customHeight="1">
      <c r="A15" s="268" t="s">
        <v>296</v>
      </c>
      <c r="B15" s="268" t="s">
        <v>296</v>
      </c>
      <c r="C15" s="269" t="s">
        <v>36</v>
      </c>
      <c r="D15" s="286" t="s">
        <v>37</v>
      </c>
      <c r="E15" s="271" t="s">
        <v>38</v>
      </c>
      <c r="F15" s="280">
        <v>43830</v>
      </c>
      <c r="G15" s="273"/>
      <c r="H15" s="273"/>
      <c r="I15" s="274" t="s">
        <v>347</v>
      </c>
      <c r="J15" s="275"/>
      <c r="K15" s="276"/>
      <c r="L15" s="276"/>
      <c r="M15" s="273"/>
      <c r="N15" s="274" t="s">
        <v>347</v>
      </c>
      <c r="O15" s="275"/>
      <c r="P15" s="276" t="s">
        <v>741</v>
      </c>
      <c r="Q15" s="276"/>
      <c r="R15" s="273"/>
      <c r="S15" s="274" t="s">
        <v>334</v>
      </c>
      <c r="T15" s="275"/>
      <c r="U15" s="350"/>
      <c r="V15" s="351"/>
      <c r="W15" s="352" t="s">
        <v>334</v>
      </c>
      <c r="X15" s="353"/>
      <c r="Y15" s="277" t="s">
        <v>283</v>
      </c>
      <c r="Z15" s="268" t="s">
        <v>273</v>
      </c>
      <c r="AA15" s="268" t="s">
        <v>290</v>
      </c>
      <c r="AB15" s="268" t="s">
        <v>278</v>
      </c>
      <c r="AC15" s="268" t="s">
        <v>265</v>
      </c>
      <c r="AD15" s="268" t="s">
        <v>368</v>
      </c>
      <c r="AE15" s="278">
        <v>13</v>
      </c>
    </row>
    <row r="16" spans="1:31" ht="99.95" customHeight="1">
      <c r="A16" s="268" t="s">
        <v>294</v>
      </c>
      <c r="B16" s="268" t="s">
        <v>294</v>
      </c>
      <c r="C16" s="269" t="s">
        <v>39</v>
      </c>
      <c r="D16" s="270" t="s">
        <v>40</v>
      </c>
      <c r="E16" s="287" t="s">
        <v>458</v>
      </c>
      <c r="F16" s="288"/>
      <c r="G16" s="289" t="s">
        <v>621</v>
      </c>
      <c r="H16" s="289"/>
      <c r="I16" s="290" t="s">
        <v>343</v>
      </c>
      <c r="J16" s="291"/>
      <c r="K16" s="292">
        <v>0.64</v>
      </c>
      <c r="L16" s="292">
        <v>1.34</v>
      </c>
      <c r="M16" s="289">
        <v>2.75</v>
      </c>
      <c r="N16" s="290" t="s">
        <v>343</v>
      </c>
      <c r="O16" s="291" t="s">
        <v>648</v>
      </c>
      <c r="P16" s="292">
        <v>0.66</v>
      </c>
      <c r="Q16" s="292">
        <v>1.99</v>
      </c>
      <c r="R16" s="289">
        <v>2.75</v>
      </c>
      <c r="S16" s="290" t="s">
        <v>343</v>
      </c>
      <c r="T16" s="291"/>
      <c r="U16" s="358">
        <v>0.99</v>
      </c>
      <c r="V16" s="359" t="s">
        <v>788</v>
      </c>
      <c r="W16" s="352" t="s">
        <v>336</v>
      </c>
      <c r="X16" s="360"/>
      <c r="Y16" s="293" t="s">
        <v>284</v>
      </c>
      <c r="Z16" s="268" t="s">
        <v>274</v>
      </c>
      <c r="AA16" s="268" t="s">
        <v>293</v>
      </c>
      <c r="AB16" s="268" t="s">
        <v>278</v>
      </c>
      <c r="AC16" s="268" t="s">
        <v>265</v>
      </c>
      <c r="AD16" s="268" t="s">
        <v>368</v>
      </c>
      <c r="AE16" s="278">
        <v>14</v>
      </c>
    </row>
    <row r="17" spans="1:31" ht="99.95" customHeight="1">
      <c r="A17" s="268" t="s">
        <v>294</v>
      </c>
      <c r="B17" s="268" t="s">
        <v>294</v>
      </c>
      <c r="C17" s="269" t="s">
        <v>41</v>
      </c>
      <c r="D17" s="270" t="s">
        <v>42</v>
      </c>
      <c r="E17" s="287" t="s">
        <v>459</v>
      </c>
      <c r="F17" s="288"/>
      <c r="G17" s="289">
        <v>10</v>
      </c>
      <c r="H17" s="289"/>
      <c r="I17" s="290" t="s">
        <v>343</v>
      </c>
      <c r="J17" s="291"/>
      <c r="K17" s="292">
        <v>10</v>
      </c>
      <c r="L17" s="292">
        <v>10</v>
      </c>
      <c r="M17" s="289">
        <v>12</v>
      </c>
      <c r="N17" s="290" t="s">
        <v>343</v>
      </c>
      <c r="O17" s="291"/>
      <c r="P17" s="292">
        <v>9</v>
      </c>
      <c r="Q17" s="292">
        <v>10</v>
      </c>
      <c r="R17" s="289">
        <v>10</v>
      </c>
      <c r="S17" s="290" t="s">
        <v>343</v>
      </c>
      <c r="T17" s="291"/>
      <c r="U17" s="358" t="s">
        <v>785</v>
      </c>
      <c r="V17" s="359" t="s">
        <v>785</v>
      </c>
      <c r="W17" s="352" t="s">
        <v>334</v>
      </c>
      <c r="X17" s="360"/>
      <c r="Y17" s="293" t="s">
        <v>284</v>
      </c>
      <c r="Z17" s="268" t="s">
        <v>274</v>
      </c>
      <c r="AA17" s="268" t="s">
        <v>293</v>
      </c>
      <c r="AB17" s="268" t="s">
        <v>278</v>
      </c>
      <c r="AC17" s="268" t="s">
        <v>265</v>
      </c>
      <c r="AD17" s="268" t="s">
        <v>368</v>
      </c>
      <c r="AE17" s="278">
        <v>15</v>
      </c>
    </row>
    <row r="18" spans="1:31" ht="99.95" customHeight="1">
      <c r="A18" s="268" t="s">
        <v>295</v>
      </c>
      <c r="B18" s="268" t="s">
        <v>295</v>
      </c>
      <c r="C18" s="269" t="s">
        <v>43</v>
      </c>
      <c r="D18" s="270" t="s">
        <v>44</v>
      </c>
      <c r="E18" s="271" t="s">
        <v>45</v>
      </c>
      <c r="F18" s="272">
        <v>43921</v>
      </c>
      <c r="G18" s="273"/>
      <c r="H18" s="273"/>
      <c r="I18" s="274" t="s">
        <v>347</v>
      </c>
      <c r="J18" s="275"/>
      <c r="K18" s="276"/>
      <c r="L18" s="276"/>
      <c r="M18" s="273"/>
      <c r="N18" s="274" t="s">
        <v>343</v>
      </c>
      <c r="O18" s="275"/>
      <c r="P18" s="276"/>
      <c r="Q18" s="276"/>
      <c r="R18" s="273"/>
      <c r="S18" s="274" t="s">
        <v>343</v>
      </c>
      <c r="T18" s="275"/>
      <c r="U18" s="350"/>
      <c r="V18" s="351"/>
      <c r="W18" s="352" t="s">
        <v>337</v>
      </c>
      <c r="X18" s="353" t="s">
        <v>811</v>
      </c>
      <c r="Y18" s="294" t="s">
        <v>280</v>
      </c>
      <c r="Z18" s="295" t="s">
        <v>274</v>
      </c>
      <c r="AA18" s="295" t="s">
        <v>298</v>
      </c>
      <c r="AB18" s="295" t="s">
        <v>278</v>
      </c>
      <c r="AC18" s="295" t="s">
        <v>265</v>
      </c>
      <c r="AD18" s="268" t="s">
        <v>368</v>
      </c>
      <c r="AE18" s="278">
        <v>16</v>
      </c>
    </row>
    <row r="19" spans="1:31" ht="99.95" customHeight="1">
      <c r="A19" s="268" t="s">
        <v>295</v>
      </c>
      <c r="B19" s="268" t="s">
        <v>295</v>
      </c>
      <c r="C19" s="269" t="s">
        <v>46</v>
      </c>
      <c r="D19" s="270" t="s">
        <v>44</v>
      </c>
      <c r="E19" s="271" t="s">
        <v>47</v>
      </c>
      <c r="F19" s="272">
        <v>43769</v>
      </c>
      <c r="G19" s="273"/>
      <c r="H19" s="273"/>
      <c r="I19" s="274" t="s">
        <v>347</v>
      </c>
      <c r="J19" s="275"/>
      <c r="K19" s="276"/>
      <c r="L19" s="276"/>
      <c r="M19" s="273"/>
      <c r="N19" s="274" t="s">
        <v>334</v>
      </c>
      <c r="O19" s="275"/>
      <c r="P19" s="276"/>
      <c r="Q19" s="276"/>
      <c r="R19" s="273"/>
      <c r="S19" s="274" t="s">
        <v>334</v>
      </c>
      <c r="T19" s="275"/>
      <c r="U19" s="350"/>
      <c r="V19" s="351"/>
      <c r="W19" s="352" t="s">
        <v>334</v>
      </c>
      <c r="X19" s="353"/>
      <c r="Y19" s="294" t="s">
        <v>283</v>
      </c>
      <c r="Z19" s="295" t="s">
        <v>274</v>
      </c>
      <c r="AA19" s="295" t="s">
        <v>298</v>
      </c>
      <c r="AB19" s="295" t="s">
        <v>278</v>
      </c>
      <c r="AC19" s="295" t="s">
        <v>265</v>
      </c>
      <c r="AD19" s="268" t="s">
        <v>368</v>
      </c>
      <c r="AE19" s="278">
        <v>17</v>
      </c>
    </row>
    <row r="20" spans="1:31" ht="105">
      <c r="A20" s="268" t="s">
        <v>296</v>
      </c>
      <c r="B20" s="268" t="s">
        <v>296</v>
      </c>
      <c r="C20" s="269" t="s">
        <v>48</v>
      </c>
      <c r="D20" s="270" t="s">
        <v>49</v>
      </c>
      <c r="E20" s="271" t="s">
        <v>50</v>
      </c>
      <c r="F20" s="288" t="s">
        <v>51</v>
      </c>
      <c r="G20" s="289" t="s">
        <v>476</v>
      </c>
      <c r="H20" s="289"/>
      <c r="I20" s="290" t="s">
        <v>343</v>
      </c>
      <c r="J20" s="291" t="s">
        <v>671</v>
      </c>
      <c r="K20" s="289" t="s">
        <v>619</v>
      </c>
      <c r="L20" s="292"/>
      <c r="M20" s="289"/>
      <c r="N20" s="290" t="s">
        <v>343</v>
      </c>
      <c r="O20" s="291" t="s">
        <v>649</v>
      </c>
      <c r="P20" s="289" t="s">
        <v>812</v>
      </c>
      <c r="Q20" s="292"/>
      <c r="R20" s="289"/>
      <c r="S20" s="290" t="s">
        <v>343</v>
      </c>
      <c r="T20" s="291"/>
      <c r="U20" s="289" t="s">
        <v>813</v>
      </c>
      <c r="V20" s="359"/>
      <c r="W20" s="352" t="s">
        <v>334</v>
      </c>
      <c r="X20" s="360"/>
      <c r="Y20" s="293" t="s">
        <v>284</v>
      </c>
      <c r="Z20" s="268" t="s">
        <v>275</v>
      </c>
      <c r="AA20" s="268" t="s">
        <v>297</v>
      </c>
      <c r="AB20" s="268" t="s">
        <v>278</v>
      </c>
      <c r="AC20" s="268" t="s">
        <v>266</v>
      </c>
      <c r="AD20" s="268" t="s">
        <v>420</v>
      </c>
      <c r="AE20" s="278">
        <v>18</v>
      </c>
    </row>
    <row r="21" spans="1:31" ht="237.75" customHeight="1">
      <c r="A21" s="268" t="s">
        <v>296</v>
      </c>
      <c r="B21" s="268" t="s">
        <v>296</v>
      </c>
      <c r="C21" s="269" t="s">
        <v>52</v>
      </c>
      <c r="D21" s="270" t="s">
        <v>53</v>
      </c>
      <c r="E21" s="271" t="s">
        <v>54</v>
      </c>
      <c r="F21" s="272">
        <v>43799</v>
      </c>
      <c r="G21" s="273" t="s">
        <v>477</v>
      </c>
      <c r="H21" s="273"/>
      <c r="I21" s="274" t="s">
        <v>347</v>
      </c>
      <c r="J21" s="275"/>
      <c r="K21" s="276" t="s">
        <v>650</v>
      </c>
      <c r="L21" s="276"/>
      <c r="M21" s="273"/>
      <c r="N21" s="274" t="s">
        <v>343</v>
      </c>
      <c r="O21" s="275" t="s">
        <v>651</v>
      </c>
      <c r="P21" s="276" t="s">
        <v>740</v>
      </c>
      <c r="Q21" s="276"/>
      <c r="R21" s="273"/>
      <c r="S21" s="274" t="s">
        <v>334</v>
      </c>
      <c r="T21" s="275" t="s">
        <v>739</v>
      </c>
      <c r="U21" s="350"/>
      <c r="V21" s="351"/>
      <c r="W21" s="352" t="s">
        <v>334</v>
      </c>
      <c r="X21" s="353"/>
      <c r="Y21" s="277" t="s">
        <v>283</v>
      </c>
      <c r="Z21" s="268" t="s">
        <v>275</v>
      </c>
      <c r="AA21" s="268" t="s">
        <v>297</v>
      </c>
      <c r="AB21" s="268" t="s">
        <v>278</v>
      </c>
      <c r="AC21" s="268" t="s">
        <v>266</v>
      </c>
      <c r="AD21" s="268" t="s">
        <v>420</v>
      </c>
      <c r="AE21" s="278">
        <v>19</v>
      </c>
    </row>
    <row r="22" spans="1:31" ht="136.5" customHeight="1">
      <c r="A22" s="268" t="s">
        <v>296</v>
      </c>
      <c r="B22" s="268" t="s">
        <v>296</v>
      </c>
      <c r="C22" s="269" t="s">
        <v>55</v>
      </c>
      <c r="D22" s="270" t="s">
        <v>56</v>
      </c>
      <c r="E22" s="271" t="s">
        <v>57</v>
      </c>
      <c r="F22" s="272">
        <v>43921</v>
      </c>
      <c r="G22" s="273" t="s">
        <v>475</v>
      </c>
      <c r="H22" s="273"/>
      <c r="I22" s="274" t="s">
        <v>343</v>
      </c>
      <c r="J22" s="275"/>
      <c r="K22" s="273" t="s">
        <v>620</v>
      </c>
      <c r="L22" s="276"/>
      <c r="M22" s="273"/>
      <c r="N22" s="274" t="s">
        <v>343</v>
      </c>
      <c r="O22" s="275"/>
      <c r="P22" s="276" t="s">
        <v>742</v>
      </c>
      <c r="Q22" s="276"/>
      <c r="R22" s="273"/>
      <c r="S22" s="274" t="s">
        <v>343</v>
      </c>
      <c r="T22" s="275" t="s">
        <v>814</v>
      </c>
      <c r="U22" s="350"/>
      <c r="V22" s="351"/>
      <c r="W22" s="352" t="s">
        <v>334</v>
      </c>
      <c r="X22" s="353"/>
      <c r="Y22" s="285" t="s">
        <v>280</v>
      </c>
      <c r="Z22" s="268" t="s">
        <v>275</v>
      </c>
      <c r="AA22" s="268" t="s">
        <v>297</v>
      </c>
      <c r="AB22" s="268" t="s">
        <v>278</v>
      </c>
      <c r="AC22" s="268" t="s">
        <v>266</v>
      </c>
      <c r="AD22" s="268" t="s">
        <v>420</v>
      </c>
      <c r="AE22" s="278">
        <v>20</v>
      </c>
    </row>
    <row r="23" spans="1:31" ht="99.95" customHeight="1">
      <c r="A23" s="268" t="s">
        <v>299</v>
      </c>
      <c r="B23" s="268" t="s">
        <v>299</v>
      </c>
      <c r="C23" s="269" t="s">
        <v>58</v>
      </c>
      <c r="D23" s="270" t="s">
        <v>59</v>
      </c>
      <c r="E23" s="279" t="s">
        <v>60</v>
      </c>
      <c r="F23" s="272">
        <v>43921</v>
      </c>
      <c r="G23" s="281" t="s">
        <v>535</v>
      </c>
      <c r="H23" s="281"/>
      <c r="I23" s="282" t="s">
        <v>343</v>
      </c>
      <c r="J23" s="283"/>
      <c r="K23" s="284"/>
      <c r="L23" s="284"/>
      <c r="M23" s="281"/>
      <c r="N23" s="282" t="s">
        <v>347</v>
      </c>
      <c r="O23" s="283"/>
      <c r="P23" s="283" t="s">
        <v>749</v>
      </c>
      <c r="Q23" s="284"/>
      <c r="R23" s="281"/>
      <c r="S23" s="282" t="s">
        <v>343</v>
      </c>
      <c r="T23" s="283"/>
      <c r="U23" s="354" t="s">
        <v>806</v>
      </c>
      <c r="V23" s="355"/>
      <c r="W23" s="352" t="s">
        <v>334</v>
      </c>
      <c r="X23" s="356"/>
      <c r="Y23" s="285" t="s">
        <v>280</v>
      </c>
      <c r="Z23" s="268" t="s">
        <v>275</v>
      </c>
      <c r="AA23" s="268" t="s">
        <v>300</v>
      </c>
      <c r="AB23" s="268" t="s">
        <v>278</v>
      </c>
      <c r="AC23" s="268" t="s">
        <v>266</v>
      </c>
      <c r="AD23" s="268" t="s">
        <v>420</v>
      </c>
      <c r="AE23" s="278">
        <v>21</v>
      </c>
    </row>
    <row r="24" spans="1:31" ht="99.95" customHeight="1">
      <c r="A24" s="268" t="s">
        <v>299</v>
      </c>
      <c r="B24" s="268" t="s">
        <v>299</v>
      </c>
      <c r="C24" s="269" t="s">
        <v>61</v>
      </c>
      <c r="D24" s="270" t="s">
        <v>59</v>
      </c>
      <c r="E24" s="279" t="s">
        <v>62</v>
      </c>
      <c r="F24" s="280">
        <v>43708</v>
      </c>
      <c r="G24" s="319" t="s">
        <v>536</v>
      </c>
      <c r="H24" s="281"/>
      <c r="I24" s="282" t="s">
        <v>343</v>
      </c>
      <c r="J24" s="283"/>
      <c r="K24" s="284" t="s">
        <v>645</v>
      </c>
      <c r="L24" s="284"/>
      <c r="M24" s="281"/>
      <c r="N24" s="282" t="s">
        <v>334</v>
      </c>
      <c r="O24" s="283"/>
      <c r="P24" s="284"/>
      <c r="Q24" s="284"/>
      <c r="R24" s="281"/>
      <c r="S24" s="274" t="s">
        <v>334</v>
      </c>
      <c r="T24" s="283"/>
      <c r="U24" s="354"/>
      <c r="V24" s="355"/>
      <c r="W24" s="352" t="s">
        <v>334</v>
      </c>
      <c r="X24" s="356"/>
      <c r="Y24" s="285" t="s">
        <v>282</v>
      </c>
      <c r="Z24" s="268" t="s">
        <v>275</v>
      </c>
      <c r="AA24" s="268" t="s">
        <v>300</v>
      </c>
      <c r="AB24" s="268" t="s">
        <v>278</v>
      </c>
      <c r="AC24" s="268" t="s">
        <v>266</v>
      </c>
      <c r="AD24" s="268" t="s">
        <v>420</v>
      </c>
      <c r="AE24" s="278">
        <v>22</v>
      </c>
    </row>
    <row r="25" spans="1:31" ht="99.95" customHeight="1">
      <c r="A25" s="268" t="s">
        <v>299</v>
      </c>
      <c r="B25" s="268" t="s">
        <v>299</v>
      </c>
      <c r="C25" s="269" t="s">
        <v>63</v>
      </c>
      <c r="D25" s="270" t="s">
        <v>59</v>
      </c>
      <c r="E25" s="279" t="s">
        <v>64</v>
      </c>
      <c r="F25" s="280">
        <v>43677</v>
      </c>
      <c r="G25" s="319" t="s">
        <v>537</v>
      </c>
      <c r="H25" s="281"/>
      <c r="I25" s="282" t="s">
        <v>343</v>
      </c>
      <c r="J25" s="283"/>
      <c r="K25" s="284" t="s">
        <v>653</v>
      </c>
      <c r="L25" s="284"/>
      <c r="M25" s="281"/>
      <c r="N25" s="282" t="s">
        <v>334</v>
      </c>
      <c r="O25" s="283" t="s">
        <v>652</v>
      </c>
      <c r="P25" s="284"/>
      <c r="Q25" s="284"/>
      <c r="R25" s="281"/>
      <c r="S25" s="274" t="s">
        <v>334</v>
      </c>
      <c r="T25" s="283"/>
      <c r="U25" s="354"/>
      <c r="V25" s="355"/>
      <c r="W25" s="352" t="s">
        <v>334</v>
      </c>
      <c r="X25" s="356"/>
      <c r="Y25" s="285" t="s">
        <v>282</v>
      </c>
      <c r="Z25" s="268" t="s">
        <v>275</v>
      </c>
      <c r="AA25" s="268" t="s">
        <v>300</v>
      </c>
      <c r="AB25" s="268" t="s">
        <v>278</v>
      </c>
      <c r="AC25" s="268" t="s">
        <v>266</v>
      </c>
      <c r="AD25" s="268" t="s">
        <v>420</v>
      </c>
      <c r="AE25" s="278">
        <v>23</v>
      </c>
    </row>
    <row r="26" spans="1:31" ht="99.95" customHeight="1">
      <c r="A26" s="268" t="s">
        <v>319</v>
      </c>
      <c r="B26" s="268" t="s">
        <v>319</v>
      </c>
      <c r="C26" s="269" t="s">
        <v>65</v>
      </c>
      <c r="D26" s="270" t="s">
        <v>59</v>
      </c>
      <c r="E26" s="279" t="s">
        <v>66</v>
      </c>
      <c r="F26" s="280">
        <v>43646</v>
      </c>
      <c r="G26" s="281" t="s">
        <v>538</v>
      </c>
      <c r="H26" s="281"/>
      <c r="I26" s="282" t="s">
        <v>334</v>
      </c>
      <c r="J26" s="283" t="s">
        <v>511</v>
      </c>
      <c r="K26" s="284"/>
      <c r="L26" s="284"/>
      <c r="M26" s="281"/>
      <c r="N26" s="282" t="s">
        <v>334</v>
      </c>
      <c r="O26" s="283"/>
      <c r="P26" s="284"/>
      <c r="Q26" s="284"/>
      <c r="R26" s="281"/>
      <c r="S26" s="274" t="s">
        <v>334</v>
      </c>
      <c r="T26" s="283"/>
      <c r="U26" s="354"/>
      <c r="V26" s="355"/>
      <c r="W26" s="352" t="s">
        <v>334</v>
      </c>
      <c r="X26" s="356"/>
      <c r="Y26" s="277" t="s">
        <v>281</v>
      </c>
      <c r="Z26" s="268" t="s">
        <v>275</v>
      </c>
      <c r="AA26" s="268" t="s">
        <v>320</v>
      </c>
      <c r="AB26" s="268" t="s">
        <v>278</v>
      </c>
      <c r="AC26" s="268" t="s">
        <v>266</v>
      </c>
      <c r="AD26" s="268" t="s">
        <v>420</v>
      </c>
      <c r="AE26" s="278">
        <v>24</v>
      </c>
    </row>
    <row r="27" spans="1:31" ht="99.95" customHeight="1">
      <c r="A27" s="268" t="s">
        <v>321</v>
      </c>
      <c r="B27" s="268" t="s">
        <v>321</v>
      </c>
      <c r="C27" s="269" t="s">
        <v>67</v>
      </c>
      <c r="D27" s="286" t="s">
        <v>68</v>
      </c>
      <c r="E27" s="279" t="s">
        <v>69</v>
      </c>
      <c r="F27" s="272">
        <v>43921</v>
      </c>
      <c r="G27" s="281" t="s">
        <v>514</v>
      </c>
      <c r="H27" s="281"/>
      <c r="I27" s="282" t="s">
        <v>343</v>
      </c>
      <c r="J27" s="283"/>
      <c r="K27" s="284" t="s">
        <v>654</v>
      </c>
      <c r="L27" s="284"/>
      <c r="M27" s="281"/>
      <c r="N27" s="282" t="s">
        <v>343</v>
      </c>
      <c r="O27" s="283"/>
      <c r="P27" s="284" t="s">
        <v>770</v>
      </c>
      <c r="Q27" s="284"/>
      <c r="R27" s="281"/>
      <c r="S27" s="282" t="s">
        <v>341</v>
      </c>
      <c r="T27" s="283"/>
      <c r="U27" s="354" t="s">
        <v>775</v>
      </c>
      <c r="V27" s="355"/>
      <c r="W27" s="357" t="s">
        <v>341</v>
      </c>
      <c r="X27" s="356"/>
      <c r="Y27" s="285" t="s">
        <v>280</v>
      </c>
      <c r="Z27" s="268" t="s">
        <v>275</v>
      </c>
      <c r="AA27" s="268" t="s">
        <v>322</v>
      </c>
      <c r="AB27" s="268" t="s">
        <v>278</v>
      </c>
      <c r="AC27" s="268" t="s">
        <v>266</v>
      </c>
      <c r="AD27" s="268" t="s">
        <v>420</v>
      </c>
      <c r="AE27" s="278">
        <v>25</v>
      </c>
    </row>
    <row r="28" spans="1:31" ht="99.95" customHeight="1">
      <c r="A28" s="268" t="s">
        <v>303</v>
      </c>
      <c r="B28" s="268" t="s">
        <v>303</v>
      </c>
      <c r="C28" s="269" t="s">
        <v>70</v>
      </c>
      <c r="D28" s="286" t="s">
        <v>71</v>
      </c>
      <c r="E28" s="279" t="s">
        <v>72</v>
      </c>
      <c r="F28" s="272">
        <v>43921</v>
      </c>
      <c r="G28" s="281" t="s">
        <v>495</v>
      </c>
      <c r="H28" s="281"/>
      <c r="I28" s="282" t="s">
        <v>343</v>
      </c>
      <c r="J28" s="283" t="s">
        <v>496</v>
      </c>
      <c r="K28" s="284" t="s">
        <v>496</v>
      </c>
      <c r="L28" s="284"/>
      <c r="M28" s="281"/>
      <c r="N28" s="282" t="s">
        <v>343</v>
      </c>
      <c r="O28" s="283"/>
      <c r="P28" s="276" t="s">
        <v>750</v>
      </c>
      <c r="Q28" s="284"/>
      <c r="R28" s="281"/>
      <c r="S28" s="282" t="s">
        <v>343</v>
      </c>
      <c r="T28" s="283"/>
      <c r="U28" s="354"/>
      <c r="V28" s="355"/>
      <c r="W28" s="352" t="s">
        <v>334</v>
      </c>
      <c r="X28" s="356"/>
      <c r="Y28" s="285" t="s">
        <v>280</v>
      </c>
      <c r="Z28" s="268" t="s">
        <v>275</v>
      </c>
      <c r="AA28" s="268" t="s">
        <v>302</v>
      </c>
      <c r="AB28" s="268" t="s">
        <v>278</v>
      </c>
      <c r="AC28" s="268" t="s">
        <v>266</v>
      </c>
      <c r="AD28" s="268" t="s">
        <v>420</v>
      </c>
      <c r="AE28" s="278">
        <v>26</v>
      </c>
    </row>
    <row r="29" spans="1:31" ht="99.95" customHeight="1">
      <c r="A29" s="268" t="s">
        <v>303</v>
      </c>
      <c r="B29" s="268" t="s">
        <v>303</v>
      </c>
      <c r="C29" s="269" t="s">
        <v>73</v>
      </c>
      <c r="D29" s="286" t="s">
        <v>74</v>
      </c>
      <c r="E29" s="279" t="s">
        <v>75</v>
      </c>
      <c r="F29" s="280">
        <v>43830</v>
      </c>
      <c r="G29" s="281" t="s">
        <v>539</v>
      </c>
      <c r="H29" s="281"/>
      <c r="I29" s="282" t="s">
        <v>343</v>
      </c>
      <c r="J29" s="283"/>
      <c r="K29" s="284" t="s">
        <v>612</v>
      </c>
      <c r="L29" s="284"/>
      <c r="M29" s="281"/>
      <c r="N29" s="282" t="s">
        <v>343</v>
      </c>
      <c r="O29" s="283"/>
      <c r="P29" s="284" t="s">
        <v>764</v>
      </c>
      <c r="Q29" s="284"/>
      <c r="R29" s="281"/>
      <c r="S29" s="282" t="s">
        <v>343</v>
      </c>
      <c r="T29" s="283"/>
      <c r="U29" s="354"/>
      <c r="V29" s="355"/>
      <c r="W29" s="352" t="s">
        <v>334</v>
      </c>
      <c r="X29" s="356"/>
      <c r="Y29" s="277" t="s">
        <v>283</v>
      </c>
      <c r="Z29" s="268" t="s">
        <v>275</v>
      </c>
      <c r="AA29" s="268" t="s">
        <v>302</v>
      </c>
      <c r="AB29" s="268" t="s">
        <v>278</v>
      </c>
      <c r="AC29" s="268" t="s">
        <v>266</v>
      </c>
      <c r="AD29" s="268" t="s">
        <v>420</v>
      </c>
      <c r="AE29" s="278">
        <v>27</v>
      </c>
    </row>
    <row r="30" spans="1:31" ht="99.95" customHeight="1">
      <c r="A30" s="268" t="s">
        <v>303</v>
      </c>
      <c r="B30" s="268" t="s">
        <v>303</v>
      </c>
      <c r="C30" s="269" t="s">
        <v>76</v>
      </c>
      <c r="D30" s="286" t="s">
        <v>71</v>
      </c>
      <c r="E30" s="279" t="s">
        <v>77</v>
      </c>
      <c r="F30" s="272">
        <v>43921</v>
      </c>
      <c r="G30" s="281" t="s">
        <v>540</v>
      </c>
      <c r="H30" s="281"/>
      <c r="I30" s="282" t="s">
        <v>343</v>
      </c>
      <c r="J30" s="283" t="s">
        <v>497</v>
      </c>
      <c r="K30" s="284" t="s">
        <v>613</v>
      </c>
      <c r="L30" s="284"/>
      <c r="M30" s="281"/>
      <c r="N30" s="282" t="s">
        <v>343</v>
      </c>
      <c r="O30" s="283"/>
      <c r="P30" s="284" t="s">
        <v>692</v>
      </c>
      <c r="Q30" s="284"/>
      <c r="R30" s="281"/>
      <c r="S30" s="282" t="s">
        <v>343</v>
      </c>
      <c r="T30" s="283"/>
      <c r="U30" s="354"/>
      <c r="V30" s="355"/>
      <c r="W30" s="352" t="s">
        <v>334</v>
      </c>
      <c r="X30" s="356"/>
      <c r="Y30" s="285" t="s">
        <v>280</v>
      </c>
      <c r="Z30" s="268" t="s">
        <v>275</v>
      </c>
      <c r="AA30" s="268" t="s">
        <v>302</v>
      </c>
      <c r="AB30" s="268" t="s">
        <v>278</v>
      </c>
      <c r="AC30" s="268" t="s">
        <v>266</v>
      </c>
      <c r="AD30" s="268" t="s">
        <v>420</v>
      </c>
      <c r="AE30" s="278">
        <v>28</v>
      </c>
    </row>
    <row r="31" spans="1:31" ht="99.95" customHeight="1">
      <c r="A31" s="268" t="s">
        <v>301</v>
      </c>
      <c r="B31" s="268" t="s">
        <v>301</v>
      </c>
      <c r="C31" s="269" t="s">
        <v>78</v>
      </c>
      <c r="D31" s="286" t="s">
        <v>79</v>
      </c>
      <c r="E31" s="271" t="s">
        <v>149</v>
      </c>
      <c r="F31" s="272">
        <v>43921</v>
      </c>
      <c r="G31" s="273" t="s">
        <v>472</v>
      </c>
      <c r="H31" s="273"/>
      <c r="I31" s="274" t="s">
        <v>343</v>
      </c>
      <c r="J31" s="275"/>
      <c r="K31" s="276" t="s">
        <v>655</v>
      </c>
      <c r="L31" s="276"/>
      <c r="M31" s="273"/>
      <c r="N31" s="274" t="s">
        <v>343</v>
      </c>
      <c r="O31" s="275"/>
      <c r="P31" s="276" t="s">
        <v>703</v>
      </c>
      <c r="Q31" s="276"/>
      <c r="R31" s="273"/>
      <c r="S31" s="274" t="s">
        <v>334</v>
      </c>
      <c r="T31" s="275" t="s">
        <v>765</v>
      </c>
      <c r="U31" s="350" t="s">
        <v>781</v>
      </c>
      <c r="V31" s="351"/>
      <c r="W31" s="352" t="s">
        <v>334</v>
      </c>
      <c r="X31" s="353"/>
      <c r="Y31" s="285" t="s">
        <v>280</v>
      </c>
      <c r="Z31" s="268" t="s">
        <v>273</v>
      </c>
      <c r="AA31" s="268" t="s">
        <v>267</v>
      </c>
      <c r="AB31" s="268" t="s">
        <v>278</v>
      </c>
      <c r="AC31" s="268" t="s">
        <v>267</v>
      </c>
      <c r="AD31" s="268" t="s">
        <v>367</v>
      </c>
      <c r="AE31" s="278">
        <v>29</v>
      </c>
    </row>
    <row r="32" spans="1:31" ht="99.95" customHeight="1">
      <c r="A32" s="268" t="s">
        <v>301</v>
      </c>
      <c r="B32" s="268" t="s">
        <v>301</v>
      </c>
      <c r="C32" s="269" t="s">
        <v>80</v>
      </c>
      <c r="D32" s="286" t="s">
        <v>81</v>
      </c>
      <c r="E32" s="271" t="s">
        <v>150</v>
      </c>
      <c r="F32" s="272">
        <v>43921</v>
      </c>
      <c r="G32" s="273"/>
      <c r="H32" s="273"/>
      <c r="I32" s="274" t="s">
        <v>347</v>
      </c>
      <c r="J32" s="275"/>
      <c r="K32" s="276" t="s">
        <v>637</v>
      </c>
      <c r="L32" s="276"/>
      <c r="M32" s="273"/>
      <c r="N32" s="274" t="s">
        <v>343</v>
      </c>
      <c r="O32" s="275"/>
      <c r="P32" s="276" t="s">
        <v>751</v>
      </c>
      <c r="Q32" s="276"/>
      <c r="R32" s="273"/>
      <c r="S32" s="274" t="s">
        <v>343</v>
      </c>
      <c r="T32" s="275"/>
      <c r="U32" s="350" t="s">
        <v>781</v>
      </c>
      <c r="V32" s="351"/>
      <c r="W32" s="352" t="s">
        <v>334</v>
      </c>
      <c r="X32" s="353"/>
      <c r="Y32" s="285" t="s">
        <v>280</v>
      </c>
      <c r="Z32" s="268" t="s">
        <v>273</v>
      </c>
      <c r="AA32" s="268" t="s">
        <v>267</v>
      </c>
      <c r="AB32" s="268" t="s">
        <v>278</v>
      </c>
      <c r="AC32" s="268" t="s">
        <v>267</v>
      </c>
      <c r="AD32" s="268" t="s">
        <v>367</v>
      </c>
      <c r="AE32" s="278">
        <v>30</v>
      </c>
    </row>
    <row r="33" spans="1:31" ht="99.95" customHeight="1">
      <c r="A33" s="268" t="s">
        <v>301</v>
      </c>
      <c r="B33" s="268" t="s">
        <v>301</v>
      </c>
      <c r="C33" s="269" t="s">
        <v>82</v>
      </c>
      <c r="D33" s="286" t="s">
        <v>81</v>
      </c>
      <c r="E33" s="271" t="s">
        <v>83</v>
      </c>
      <c r="F33" s="280">
        <v>43646</v>
      </c>
      <c r="G33" s="273" t="s">
        <v>473</v>
      </c>
      <c r="H33" s="273"/>
      <c r="I33" s="274" t="s">
        <v>334</v>
      </c>
      <c r="J33" s="275"/>
      <c r="K33" s="276"/>
      <c r="L33" s="276"/>
      <c r="M33" s="273"/>
      <c r="N33" s="274" t="s">
        <v>334</v>
      </c>
      <c r="O33" s="275"/>
      <c r="P33" s="276"/>
      <c r="Q33" s="276"/>
      <c r="R33" s="273"/>
      <c r="S33" s="274" t="s">
        <v>334</v>
      </c>
      <c r="T33" s="275"/>
      <c r="U33" s="350"/>
      <c r="V33" s="351"/>
      <c r="W33" s="352" t="s">
        <v>334</v>
      </c>
      <c r="X33" s="353"/>
      <c r="Y33" s="277" t="s">
        <v>281</v>
      </c>
      <c r="Z33" s="268" t="s">
        <v>273</v>
      </c>
      <c r="AA33" s="268" t="s">
        <v>267</v>
      </c>
      <c r="AB33" s="268" t="s">
        <v>278</v>
      </c>
      <c r="AC33" s="268" t="s">
        <v>267</v>
      </c>
      <c r="AD33" s="268" t="s">
        <v>367</v>
      </c>
      <c r="AE33" s="278">
        <v>31</v>
      </c>
    </row>
    <row r="34" spans="1:31" ht="99.95" customHeight="1">
      <c r="A34" s="268" t="s">
        <v>301</v>
      </c>
      <c r="B34" s="268" t="s">
        <v>301</v>
      </c>
      <c r="C34" s="269" t="s">
        <v>84</v>
      </c>
      <c r="D34" s="286" t="s">
        <v>85</v>
      </c>
      <c r="E34" s="279" t="s">
        <v>86</v>
      </c>
      <c r="F34" s="272">
        <v>43921</v>
      </c>
      <c r="G34" s="281"/>
      <c r="H34" s="281"/>
      <c r="I34" s="282" t="s">
        <v>347</v>
      </c>
      <c r="J34" s="283"/>
      <c r="K34" s="284" t="s">
        <v>606</v>
      </c>
      <c r="L34" s="284"/>
      <c r="M34" s="281"/>
      <c r="N34" s="282" t="s">
        <v>343</v>
      </c>
      <c r="O34" s="283"/>
      <c r="P34" s="284" t="s">
        <v>702</v>
      </c>
      <c r="Q34" s="284"/>
      <c r="R34" s="281"/>
      <c r="S34" s="282" t="s">
        <v>334</v>
      </c>
      <c r="T34" s="283"/>
      <c r="U34" s="354"/>
      <c r="V34" s="355"/>
      <c r="W34" s="352" t="s">
        <v>334</v>
      </c>
      <c r="X34" s="356"/>
      <c r="Y34" s="285" t="s">
        <v>280</v>
      </c>
      <c r="Z34" s="268" t="s">
        <v>273</v>
      </c>
      <c r="AA34" s="268" t="s">
        <v>304</v>
      </c>
      <c r="AB34" s="268" t="s">
        <v>278</v>
      </c>
      <c r="AC34" s="268" t="s">
        <v>267</v>
      </c>
      <c r="AD34" s="268" t="s">
        <v>367</v>
      </c>
      <c r="AE34" s="278">
        <v>32</v>
      </c>
    </row>
    <row r="35" spans="1:31" ht="117.75" customHeight="1">
      <c r="A35" s="268" t="s">
        <v>301</v>
      </c>
      <c r="B35" s="268" t="s">
        <v>301</v>
      </c>
      <c r="C35" s="269" t="s">
        <v>87</v>
      </c>
      <c r="D35" s="270" t="s">
        <v>88</v>
      </c>
      <c r="E35" s="271" t="s">
        <v>285</v>
      </c>
      <c r="F35" s="272">
        <v>43921</v>
      </c>
      <c r="G35" s="273" t="s">
        <v>512</v>
      </c>
      <c r="H35" s="273" t="s">
        <v>513</v>
      </c>
      <c r="I35" s="274" t="s">
        <v>344</v>
      </c>
      <c r="J35" s="275" t="s">
        <v>572</v>
      </c>
      <c r="K35" s="276" t="s">
        <v>609</v>
      </c>
      <c r="L35" s="276" t="s">
        <v>608</v>
      </c>
      <c r="M35" s="273"/>
      <c r="N35" s="274" t="s">
        <v>344</v>
      </c>
      <c r="O35" s="275" t="s">
        <v>672</v>
      </c>
      <c r="P35" s="276" t="s">
        <v>704</v>
      </c>
      <c r="Q35" s="276" t="s">
        <v>705</v>
      </c>
      <c r="R35" s="273"/>
      <c r="S35" s="274" t="s">
        <v>338</v>
      </c>
      <c r="T35" s="275"/>
      <c r="U35" s="350" t="s">
        <v>782</v>
      </c>
      <c r="V35" s="351" t="s">
        <v>783</v>
      </c>
      <c r="W35" s="352" t="s">
        <v>338</v>
      </c>
      <c r="X35" s="353" t="s">
        <v>784</v>
      </c>
      <c r="Y35" s="285" t="s">
        <v>280</v>
      </c>
      <c r="Z35" s="268" t="s">
        <v>273</v>
      </c>
      <c r="AA35" s="268" t="s">
        <v>267</v>
      </c>
      <c r="AB35" s="268" t="s">
        <v>278</v>
      </c>
      <c r="AC35" s="268" t="s">
        <v>267</v>
      </c>
      <c r="AD35" s="268" t="s">
        <v>367</v>
      </c>
      <c r="AE35" s="278">
        <v>33</v>
      </c>
    </row>
    <row r="36" spans="1:31" ht="99.95" customHeight="1">
      <c r="A36" s="268" t="s">
        <v>301</v>
      </c>
      <c r="B36" s="268" t="s">
        <v>301</v>
      </c>
      <c r="C36" s="269" t="s">
        <v>89</v>
      </c>
      <c r="D36" s="286" t="s">
        <v>90</v>
      </c>
      <c r="E36" s="271" t="s">
        <v>91</v>
      </c>
      <c r="F36" s="272">
        <v>43677</v>
      </c>
      <c r="G36" s="311" t="s">
        <v>569</v>
      </c>
      <c r="H36" s="273"/>
      <c r="I36" s="274" t="s">
        <v>343</v>
      </c>
      <c r="J36" s="275"/>
      <c r="K36" s="276" t="s">
        <v>656</v>
      </c>
      <c r="L36" s="276"/>
      <c r="M36" s="273"/>
      <c r="N36" s="274" t="s">
        <v>334</v>
      </c>
      <c r="O36" s="323" t="s">
        <v>657</v>
      </c>
      <c r="P36" s="276"/>
      <c r="Q36" s="276"/>
      <c r="R36" s="273"/>
      <c r="S36" s="274" t="s">
        <v>334</v>
      </c>
      <c r="T36" s="275"/>
      <c r="U36" s="350"/>
      <c r="V36" s="351"/>
      <c r="W36" s="352" t="s">
        <v>334</v>
      </c>
      <c r="X36" s="353"/>
      <c r="Y36" s="285" t="s">
        <v>282</v>
      </c>
      <c r="Z36" s="268" t="s">
        <v>273</v>
      </c>
      <c r="AA36" s="268" t="s">
        <v>267</v>
      </c>
      <c r="AB36" s="268" t="s">
        <v>278</v>
      </c>
      <c r="AC36" s="268" t="s">
        <v>267</v>
      </c>
      <c r="AD36" s="268" t="s">
        <v>367</v>
      </c>
      <c r="AE36" s="278">
        <v>34</v>
      </c>
    </row>
    <row r="37" spans="1:31" ht="99.95" customHeight="1">
      <c r="A37" s="268" t="s">
        <v>301</v>
      </c>
      <c r="B37" s="268" t="s">
        <v>301</v>
      </c>
      <c r="C37" s="269" t="s">
        <v>305</v>
      </c>
      <c r="D37" s="286" t="s">
        <v>541</v>
      </c>
      <c r="E37" s="271" t="s">
        <v>92</v>
      </c>
      <c r="F37" s="288"/>
      <c r="G37" s="289" t="s">
        <v>474</v>
      </c>
      <c r="H37" s="289"/>
      <c r="I37" s="290" t="s">
        <v>343</v>
      </c>
      <c r="J37" s="291"/>
      <c r="K37" s="292" t="s">
        <v>607</v>
      </c>
      <c r="L37" s="292"/>
      <c r="M37" s="289"/>
      <c r="N37" s="290" t="s">
        <v>343</v>
      </c>
      <c r="O37" s="291"/>
      <c r="P37" s="292"/>
      <c r="Q37" s="292"/>
      <c r="R37" s="289"/>
      <c r="S37" s="290" t="s">
        <v>334</v>
      </c>
      <c r="T37" s="291"/>
      <c r="U37" s="358"/>
      <c r="V37" s="359"/>
      <c r="W37" s="352" t="s">
        <v>334</v>
      </c>
      <c r="X37" s="360"/>
      <c r="Y37" s="293" t="s">
        <v>284</v>
      </c>
      <c r="Z37" s="268" t="s">
        <v>273</v>
      </c>
      <c r="AA37" s="268" t="s">
        <v>267</v>
      </c>
      <c r="AB37" s="268" t="s">
        <v>278</v>
      </c>
      <c r="AC37" s="268" t="s">
        <v>267</v>
      </c>
      <c r="AD37" s="268" t="s">
        <v>367</v>
      </c>
      <c r="AE37" s="278">
        <v>35</v>
      </c>
    </row>
    <row r="38" spans="1:31" ht="99.95" customHeight="1">
      <c r="A38" s="268" t="s">
        <v>306</v>
      </c>
      <c r="B38" s="268" t="s">
        <v>306</v>
      </c>
      <c r="C38" s="269" t="s">
        <v>369</v>
      </c>
      <c r="D38" s="270" t="s">
        <v>372</v>
      </c>
      <c r="E38" s="271" t="s">
        <v>373</v>
      </c>
      <c r="F38" s="288"/>
      <c r="G38" s="312">
        <v>0.29609999999999997</v>
      </c>
      <c r="H38" s="313">
        <v>0.98</v>
      </c>
      <c r="I38" s="290" t="s">
        <v>343</v>
      </c>
      <c r="J38" s="291" t="s">
        <v>499</v>
      </c>
      <c r="K38" s="324">
        <v>0.57410000000000005</v>
      </c>
      <c r="L38" s="324">
        <v>0.57410000000000005</v>
      </c>
      <c r="M38" s="313">
        <v>0.98</v>
      </c>
      <c r="N38" s="290" t="s">
        <v>343</v>
      </c>
      <c r="O38" s="291"/>
      <c r="P38" s="324">
        <v>0.84989999999999999</v>
      </c>
      <c r="Q38" s="324">
        <v>0.84989999999999999</v>
      </c>
      <c r="R38" s="313">
        <v>0.98</v>
      </c>
      <c r="S38" s="290" t="s">
        <v>343</v>
      </c>
      <c r="T38" s="291" t="s">
        <v>499</v>
      </c>
      <c r="U38" s="371">
        <v>0.97589999999999999</v>
      </c>
      <c r="V38" s="372">
        <v>0.97589999999999999</v>
      </c>
      <c r="W38" s="352" t="s">
        <v>335</v>
      </c>
      <c r="X38" s="360" t="s">
        <v>815</v>
      </c>
      <c r="Y38" s="293" t="s">
        <v>284</v>
      </c>
      <c r="Z38" s="268" t="s">
        <v>273</v>
      </c>
      <c r="AA38" s="268" t="s">
        <v>307</v>
      </c>
      <c r="AB38" s="268" t="s">
        <v>278</v>
      </c>
      <c r="AC38" s="268" t="s">
        <v>268</v>
      </c>
      <c r="AD38" s="268" t="s">
        <v>367</v>
      </c>
      <c r="AE38" s="278">
        <v>36</v>
      </c>
    </row>
    <row r="39" spans="1:31" ht="99.95" customHeight="1">
      <c r="A39" s="268" t="s">
        <v>306</v>
      </c>
      <c r="B39" s="268" t="s">
        <v>306</v>
      </c>
      <c r="C39" s="269" t="s">
        <v>370</v>
      </c>
      <c r="D39" s="270" t="s">
        <v>371</v>
      </c>
      <c r="E39" s="271" t="s">
        <v>374</v>
      </c>
      <c r="F39" s="288"/>
      <c r="G39" s="312">
        <v>0.33019999999999999</v>
      </c>
      <c r="H39" s="313">
        <v>0.99</v>
      </c>
      <c r="I39" s="290" t="s">
        <v>343</v>
      </c>
      <c r="J39" s="291" t="s">
        <v>499</v>
      </c>
      <c r="K39" s="324">
        <v>0.59860000000000002</v>
      </c>
      <c r="L39" s="324">
        <v>0.59860000000000002</v>
      </c>
      <c r="M39" s="313">
        <v>0.99</v>
      </c>
      <c r="N39" s="290" t="s">
        <v>343</v>
      </c>
      <c r="O39" s="291"/>
      <c r="P39" s="324">
        <v>0.8478</v>
      </c>
      <c r="Q39" s="324">
        <v>0.8478</v>
      </c>
      <c r="R39" s="313">
        <v>0.99</v>
      </c>
      <c r="S39" s="290" t="s">
        <v>343</v>
      </c>
      <c r="T39" s="291" t="s">
        <v>499</v>
      </c>
      <c r="U39" s="371">
        <v>0.9829</v>
      </c>
      <c r="V39" s="372">
        <v>0.9829</v>
      </c>
      <c r="W39" s="352" t="s">
        <v>335</v>
      </c>
      <c r="X39" s="360" t="s">
        <v>815</v>
      </c>
      <c r="Y39" s="293" t="s">
        <v>284</v>
      </c>
      <c r="Z39" s="268" t="s">
        <v>273</v>
      </c>
      <c r="AA39" s="268" t="s">
        <v>307</v>
      </c>
      <c r="AB39" s="268" t="s">
        <v>278</v>
      </c>
      <c r="AC39" s="268" t="s">
        <v>268</v>
      </c>
      <c r="AD39" s="268" t="s">
        <v>367</v>
      </c>
      <c r="AE39" s="278">
        <v>37</v>
      </c>
    </row>
    <row r="40" spans="1:31" ht="135" customHeight="1">
      <c r="A40" s="268" t="s">
        <v>306</v>
      </c>
      <c r="B40" s="268" t="s">
        <v>306</v>
      </c>
      <c r="C40" s="269" t="s">
        <v>375</v>
      </c>
      <c r="D40" s="270" t="s">
        <v>151</v>
      </c>
      <c r="E40" s="296" t="s">
        <v>463</v>
      </c>
      <c r="F40" s="288"/>
      <c r="G40" s="314">
        <v>2076546.74</v>
      </c>
      <c r="H40" s="315">
        <v>1900000</v>
      </c>
      <c r="I40" s="290" t="s">
        <v>343</v>
      </c>
      <c r="J40" s="291" t="s">
        <v>500</v>
      </c>
      <c r="K40" s="325">
        <v>2206158.5699999998</v>
      </c>
      <c r="L40" s="325">
        <v>2206158.5699999998</v>
      </c>
      <c r="M40" s="315">
        <v>1900000</v>
      </c>
      <c r="N40" s="290" t="s">
        <v>343</v>
      </c>
      <c r="O40" s="291" t="s">
        <v>499</v>
      </c>
      <c r="P40" s="325">
        <v>2281355.66</v>
      </c>
      <c r="Q40" s="325">
        <v>2281355.66</v>
      </c>
      <c r="R40" s="315">
        <v>1900000</v>
      </c>
      <c r="S40" s="290" t="s">
        <v>343</v>
      </c>
      <c r="T40" s="291" t="s">
        <v>499</v>
      </c>
      <c r="U40" s="358"/>
      <c r="V40" s="379">
        <v>2041807</v>
      </c>
      <c r="W40" s="352" t="s">
        <v>336</v>
      </c>
      <c r="X40" s="360" t="s">
        <v>832</v>
      </c>
      <c r="Y40" s="293" t="s">
        <v>284</v>
      </c>
      <c r="Z40" s="268" t="s">
        <v>273</v>
      </c>
      <c r="AA40" s="268" t="s">
        <v>307</v>
      </c>
      <c r="AB40" s="268" t="s">
        <v>278</v>
      </c>
      <c r="AC40" s="268" t="s">
        <v>268</v>
      </c>
      <c r="AD40" s="268" t="s">
        <v>367</v>
      </c>
      <c r="AE40" s="278">
        <v>38</v>
      </c>
    </row>
    <row r="41" spans="1:31" ht="186" customHeight="1">
      <c r="A41" s="268" t="s">
        <v>306</v>
      </c>
      <c r="B41" s="268" t="s">
        <v>306</v>
      </c>
      <c r="C41" s="269" t="s">
        <v>376</v>
      </c>
      <c r="D41" s="270" t="s">
        <v>151</v>
      </c>
      <c r="E41" s="296" t="s">
        <v>464</v>
      </c>
      <c r="F41" s="288"/>
      <c r="G41" s="314">
        <v>898218.91</v>
      </c>
      <c r="H41" s="315">
        <v>500000</v>
      </c>
      <c r="I41" s="290" t="s">
        <v>343</v>
      </c>
      <c r="J41" s="291" t="s">
        <v>500</v>
      </c>
      <c r="K41" s="325">
        <v>1176309.54</v>
      </c>
      <c r="L41" s="325">
        <v>1176309.54</v>
      </c>
      <c r="M41" s="315">
        <v>500000</v>
      </c>
      <c r="N41" s="290" t="s">
        <v>343</v>
      </c>
      <c r="O41" s="291" t="s">
        <v>622</v>
      </c>
      <c r="P41" s="325">
        <v>1108983.1200000001</v>
      </c>
      <c r="Q41" s="325">
        <v>1108983.1200000001</v>
      </c>
      <c r="R41" s="315">
        <v>500000</v>
      </c>
      <c r="S41" s="290" t="s">
        <v>343</v>
      </c>
      <c r="T41" s="291" t="s">
        <v>693</v>
      </c>
      <c r="U41" s="358"/>
      <c r="V41" s="379">
        <v>1185198</v>
      </c>
      <c r="W41" s="352" t="s">
        <v>338</v>
      </c>
      <c r="X41" s="360" t="s">
        <v>830</v>
      </c>
      <c r="Y41" s="293" t="s">
        <v>284</v>
      </c>
      <c r="Z41" s="268" t="s">
        <v>273</v>
      </c>
      <c r="AA41" s="268" t="s">
        <v>307</v>
      </c>
      <c r="AB41" s="268" t="s">
        <v>278</v>
      </c>
      <c r="AC41" s="268" t="s">
        <v>268</v>
      </c>
      <c r="AD41" s="268" t="s">
        <v>367</v>
      </c>
      <c r="AE41" s="278">
        <v>39</v>
      </c>
    </row>
    <row r="42" spans="1:31" ht="99.95" customHeight="1">
      <c r="A42" s="268" t="s">
        <v>306</v>
      </c>
      <c r="B42" s="268" t="s">
        <v>306</v>
      </c>
      <c r="C42" s="269" t="s">
        <v>377</v>
      </c>
      <c r="D42" s="270" t="s">
        <v>151</v>
      </c>
      <c r="E42" s="296" t="s">
        <v>465</v>
      </c>
      <c r="F42" s="288"/>
      <c r="G42" s="315">
        <v>0</v>
      </c>
      <c r="H42" s="315">
        <v>40000</v>
      </c>
      <c r="I42" s="290" t="s">
        <v>343</v>
      </c>
      <c r="J42" s="291" t="s">
        <v>499</v>
      </c>
      <c r="K42" s="325">
        <v>21887.71</v>
      </c>
      <c r="L42" s="325">
        <v>21887.71</v>
      </c>
      <c r="M42" s="315">
        <v>40000</v>
      </c>
      <c r="N42" s="290" t="s">
        <v>343</v>
      </c>
      <c r="O42" s="291" t="s">
        <v>499</v>
      </c>
      <c r="P42" s="325">
        <v>37535.69</v>
      </c>
      <c r="Q42" s="325">
        <v>37535.69</v>
      </c>
      <c r="R42" s="315">
        <v>40000</v>
      </c>
      <c r="S42" s="290" t="s">
        <v>343</v>
      </c>
      <c r="T42" s="291" t="s">
        <v>499</v>
      </c>
      <c r="U42" s="358"/>
      <c r="V42" s="379">
        <v>37621</v>
      </c>
      <c r="W42" s="352" t="s">
        <v>334</v>
      </c>
      <c r="X42" s="360" t="s">
        <v>831</v>
      </c>
      <c r="Y42" s="293" t="s">
        <v>284</v>
      </c>
      <c r="Z42" s="268" t="s">
        <v>273</v>
      </c>
      <c r="AA42" s="268" t="s">
        <v>307</v>
      </c>
      <c r="AB42" s="268" t="s">
        <v>278</v>
      </c>
      <c r="AC42" s="268" t="s">
        <v>268</v>
      </c>
      <c r="AD42" s="268" t="s">
        <v>367</v>
      </c>
      <c r="AE42" s="278">
        <v>40</v>
      </c>
    </row>
    <row r="43" spans="1:31" ht="99.95" customHeight="1">
      <c r="A43" s="268" t="s">
        <v>306</v>
      </c>
      <c r="B43" s="268" t="s">
        <v>306</v>
      </c>
      <c r="C43" s="269" t="s">
        <v>378</v>
      </c>
      <c r="D43" s="286" t="s">
        <v>93</v>
      </c>
      <c r="E43" s="271" t="s">
        <v>380</v>
      </c>
      <c r="F43" s="288"/>
      <c r="G43" s="313">
        <v>1</v>
      </c>
      <c r="H43" s="313">
        <v>1</v>
      </c>
      <c r="I43" s="290" t="s">
        <v>343</v>
      </c>
      <c r="J43" s="291" t="s">
        <v>499</v>
      </c>
      <c r="K43" s="326">
        <v>0.99</v>
      </c>
      <c r="L43" s="326">
        <v>0.99</v>
      </c>
      <c r="M43" s="313">
        <v>0.99</v>
      </c>
      <c r="N43" s="290" t="s">
        <v>343</v>
      </c>
      <c r="O43" s="291"/>
      <c r="P43" s="326">
        <v>1</v>
      </c>
      <c r="Q43" s="326">
        <v>0.99</v>
      </c>
      <c r="R43" s="313">
        <v>0.99</v>
      </c>
      <c r="S43" s="290" t="s">
        <v>343</v>
      </c>
      <c r="T43" s="291"/>
      <c r="U43" s="373">
        <v>0.99</v>
      </c>
      <c r="V43" s="374">
        <v>0.99</v>
      </c>
      <c r="W43" s="352" t="s">
        <v>334</v>
      </c>
      <c r="X43" s="360" t="s">
        <v>816</v>
      </c>
      <c r="Y43" s="293" t="s">
        <v>284</v>
      </c>
      <c r="Z43" s="268" t="s">
        <v>273</v>
      </c>
      <c r="AA43" s="268" t="s">
        <v>307</v>
      </c>
      <c r="AB43" s="268" t="s">
        <v>278</v>
      </c>
      <c r="AC43" s="268" t="s">
        <v>268</v>
      </c>
      <c r="AD43" s="268" t="s">
        <v>367</v>
      </c>
      <c r="AE43" s="278">
        <v>41</v>
      </c>
    </row>
    <row r="44" spans="1:31" ht="99.95" customHeight="1">
      <c r="A44" s="268" t="s">
        <v>306</v>
      </c>
      <c r="B44" s="268" t="s">
        <v>306</v>
      </c>
      <c r="C44" s="269" t="s">
        <v>379</v>
      </c>
      <c r="D44" s="286" t="s">
        <v>93</v>
      </c>
      <c r="E44" s="271" t="s">
        <v>381</v>
      </c>
      <c r="F44" s="288"/>
      <c r="G44" s="313">
        <v>0.85</v>
      </c>
      <c r="H44" s="313">
        <v>0.8</v>
      </c>
      <c r="I44" s="290" t="s">
        <v>343</v>
      </c>
      <c r="J44" s="291" t="s">
        <v>499</v>
      </c>
      <c r="K44" s="326">
        <v>0.76</v>
      </c>
      <c r="L44" s="326">
        <v>0.77</v>
      </c>
      <c r="M44" s="313">
        <v>0.75</v>
      </c>
      <c r="N44" s="290" t="s">
        <v>343</v>
      </c>
      <c r="O44" s="291"/>
      <c r="P44" s="326">
        <v>0.76</v>
      </c>
      <c r="Q44" s="326">
        <v>0.76</v>
      </c>
      <c r="R44" s="313">
        <v>0.75</v>
      </c>
      <c r="S44" s="290" t="s">
        <v>343</v>
      </c>
      <c r="T44" s="291"/>
      <c r="U44" s="373">
        <v>0.77</v>
      </c>
      <c r="V44" s="374">
        <v>0.76</v>
      </c>
      <c r="W44" s="352" t="s">
        <v>334</v>
      </c>
      <c r="X44" s="360"/>
      <c r="Y44" s="293" t="s">
        <v>284</v>
      </c>
      <c r="Z44" s="268" t="s">
        <v>273</v>
      </c>
      <c r="AA44" s="268" t="s">
        <v>307</v>
      </c>
      <c r="AB44" s="268" t="s">
        <v>278</v>
      </c>
      <c r="AC44" s="268" t="s">
        <v>268</v>
      </c>
      <c r="AD44" s="268" t="s">
        <v>367</v>
      </c>
      <c r="AE44" s="278">
        <v>42</v>
      </c>
    </row>
    <row r="45" spans="1:31" ht="132" customHeight="1">
      <c r="A45" s="268" t="s">
        <v>306</v>
      </c>
      <c r="B45" s="268" t="s">
        <v>306</v>
      </c>
      <c r="C45" s="269" t="s">
        <v>577</v>
      </c>
      <c r="D45" s="286" t="s">
        <v>94</v>
      </c>
      <c r="E45" s="271" t="s">
        <v>581</v>
      </c>
      <c r="F45" s="390">
        <v>43739</v>
      </c>
      <c r="G45" s="316" t="s">
        <v>574</v>
      </c>
      <c r="H45" s="298"/>
      <c r="I45" s="299" t="s">
        <v>347</v>
      </c>
      <c r="J45" s="318" t="s">
        <v>575</v>
      </c>
      <c r="K45" s="326" t="s">
        <v>658</v>
      </c>
      <c r="L45" s="326"/>
      <c r="M45" s="326"/>
      <c r="N45" s="299" t="s">
        <v>334</v>
      </c>
      <c r="O45" s="318" t="s">
        <v>579</v>
      </c>
      <c r="P45" s="301"/>
      <c r="Q45" s="301"/>
      <c r="R45" s="298"/>
      <c r="S45" s="274" t="s">
        <v>334</v>
      </c>
      <c r="T45" s="300"/>
      <c r="U45" s="361"/>
      <c r="V45" s="362"/>
      <c r="W45" s="352" t="s">
        <v>334</v>
      </c>
      <c r="X45" s="363"/>
      <c r="Y45" s="293" t="s">
        <v>284</v>
      </c>
      <c r="Z45" s="268" t="s">
        <v>273</v>
      </c>
      <c r="AA45" s="268" t="s">
        <v>307</v>
      </c>
      <c r="AB45" s="268" t="s">
        <v>278</v>
      </c>
      <c r="AC45" s="268" t="s">
        <v>268</v>
      </c>
      <c r="AD45" s="268" t="s">
        <v>367</v>
      </c>
      <c r="AE45" s="278">
        <v>43</v>
      </c>
    </row>
    <row r="46" spans="1:31" ht="132" customHeight="1">
      <c r="A46" s="268" t="s">
        <v>306</v>
      </c>
      <c r="B46" s="268" t="s">
        <v>306</v>
      </c>
      <c r="C46" s="269" t="s">
        <v>578</v>
      </c>
      <c r="D46" s="286" t="s">
        <v>94</v>
      </c>
      <c r="E46" s="271" t="s">
        <v>580</v>
      </c>
      <c r="F46" s="390">
        <v>43891</v>
      </c>
      <c r="G46" s="316" t="s">
        <v>574</v>
      </c>
      <c r="H46" s="298"/>
      <c r="I46" s="299" t="s">
        <v>347</v>
      </c>
      <c r="J46" s="318" t="s">
        <v>575</v>
      </c>
      <c r="K46" s="326" t="s">
        <v>623</v>
      </c>
      <c r="L46" s="326"/>
      <c r="M46" s="326"/>
      <c r="N46" s="299" t="s">
        <v>347</v>
      </c>
      <c r="O46" s="318" t="s">
        <v>579</v>
      </c>
      <c r="P46" s="340" t="s">
        <v>697</v>
      </c>
      <c r="Q46" s="298"/>
      <c r="R46" s="298"/>
      <c r="S46" s="299" t="s">
        <v>347</v>
      </c>
      <c r="T46" s="291" t="s">
        <v>694</v>
      </c>
      <c r="U46" s="377" t="s">
        <v>820</v>
      </c>
      <c r="V46" s="376" t="s">
        <v>820</v>
      </c>
      <c r="W46" s="352" t="s">
        <v>334</v>
      </c>
      <c r="X46" s="375" t="s">
        <v>821</v>
      </c>
      <c r="Y46" s="293" t="s">
        <v>284</v>
      </c>
      <c r="Z46" s="268" t="s">
        <v>273</v>
      </c>
      <c r="AA46" s="268" t="s">
        <v>307</v>
      </c>
      <c r="AB46" s="268" t="s">
        <v>278</v>
      </c>
      <c r="AC46" s="268" t="s">
        <v>268</v>
      </c>
      <c r="AD46" s="268" t="s">
        <v>367</v>
      </c>
      <c r="AE46" s="278">
        <v>43</v>
      </c>
    </row>
    <row r="47" spans="1:31" ht="99.95" customHeight="1">
      <c r="A47" s="268" t="s">
        <v>306</v>
      </c>
      <c r="B47" s="268" t="s">
        <v>306</v>
      </c>
      <c r="C47" s="269" t="s">
        <v>95</v>
      </c>
      <c r="D47" s="270" t="s">
        <v>152</v>
      </c>
      <c r="E47" s="296" t="s">
        <v>460</v>
      </c>
      <c r="F47" s="297"/>
      <c r="G47" s="317" t="s">
        <v>501</v>
      </c>
      <c r="H47" s="317" t="s">
        <v>460</v>
      </c>
      <c r="I47" s="299" t="s">
        <v>343</v>
      </c>
      <c r="J47" s="318" t="s">
        <v>542</v>
      </c>
      <c r="K47" s="324" t="s">
        <v>624</v>
      </c>
      <c r="L47" s="324" t="s">
        <v>625</v>
      </c>
      <c r="M47" s="313" t="s">
        <v>460</v>
      </c>
      <c r="N47" s="299" t="s">
        <v>343</v>
      </c>
      <c r="O47" s="300"/>
      <c r="P47" s="341" t="s">
        <v>695</v>
      </c>
      <c r="Q47" s="342" t="s">
        <v>696</v>
      </c>
      <c r="R47" s="343" t="s">
        <v>460</v>
      </c>
      <c r="S47" s="344" t="s">
        <v>343</v>
      </c>
      <c r="T47" s="300"/>
      <c r="U47" s="377" t="s">
        <v>817</v>
      </c>
      <c r="V47" s="376" t="s">
        <v>818</v>
      </c>
      <c r="W47" s="352" t="s">
        <v>334</v>
      </c>
      <c r="X47" s="363"/>
      <c r="Y47" s="293" t="s">
        <v>284</v>
      </c>
      <c r="Z47" s="268" t="s">
        <v>273</v>
      </c>
      <c r="AA47" s="268" t="s">
        <v>307</v>
      </c>
      <c r="AB47" s="268" t="s">
        <v>278</v>
      </c>
      <c r="AC47" s="268" t="s">
        <v>268</v>
      </c>
      <c r="AD47" s="268" t="s">
        <v>367</v>
      </c>
      <c r="AE47" s="278">
        <v>44</v>
      </c>
    </row>
    <row r="48" spans="1:31" ht="87.75" customHeight="1">
      <c r="A48" s="268" t="s">
        <v>306</v>
      </c>
      <c r="B48" s="268" t="s">
        <v>306</v>
      </c>
      <c r="C48" s="269" t="s">
        <v>382</v>
      </c>
      <c r="D48" s="270" t="s">
        <v>384</v>
      </c>
      <c r="E48" s="296" t="s">
        <v>461</v>
      </c>
      <c r="F48" s="288"/>
      <c r="G48" s="312">
        <v>0.92900000000000005</v>
      </c>
      <c r="H48" s="313">
        <v>0.85</v>
      </c>
      <c r="I48" s="290" t="s">
        <v>343</v>
      </c>
      <c r="J48" s="291" t="s">
        <v>499</v>
      </c>
      <c r="K48" s="324">
        <v>1.3540000000000001</v>
      </c>
      <c r="L48" s="324">
        <v>1.0569999999999999</v>
      </c>
      <c r="M48" s="313">
        <v>0.8</v>
      </c>
      <c r="N48" s="290" t="s">
        <v>343</v>
      </c>
      <c r="O48" s="291"/>
      <c r="P48" s="324">
        <v>1.3451</v>
      </c>
      <c r="Q48" s="324">
        <v>1.1256999999999999</v>
      </c>
      <c r="R48" s="313">
        <v>0.8</v>
      </c>
      <c r="S48" s="290" t="s">
        <v>343</v>
      </c>
      <c r="T48" s="291"/>
      <c r="U48" s="371">
        <v>1.0787</v>
      </c>
      <c r="V48" s="372">
        <v>1.1161000000000001</v>
      </c>
      <c r="W48" s="352" t="s">
        <v>334</v>
      </c>
      <c r="X48" s="360" t="s">
        <v>819</v>
      </c>
      <c r="Y48" s="293" t="s">
        <v>284</v>
      </c>
      <c r="Z48" s="268" t="s">
        <v>273</v>
      </c>
      <c r="AA48" s="268" t="s">
        <v>307</v>
      </c>
      <c r="AB48" s="268" t="s">
        <v>278</v>
      </c>
      <c r="AC48" s="268" t="s">
        <v>268</v>
      </c>
      <c r="AD48" s="268" t="s">
        <v>367</v>
      </c>
      <c r="AE48" s="278">
        <v>45</v>
      </c>
    </row>
    <row r="49" spans="1:31" ht="87.75" customHeight="1">
      <c r="A49" s="268" t="s">
        <v>306</v>
      </c>
      <c r="B49" s="268" t="s">
        <v>306</v>
      </c>
      <c r="C49" s="269" t="s">
        <v>383</v>
      </c>
      <c r="D49" s="270" t="s">
        <v>384</v>
      </c>
      <c r="E49" s="296" t="s">
        <v>462</v>
      </c>
      <c r="F49" s="288"/>
      <c r="G49" s="312">
        <v>0.81899999999999995</v>
      </c>
      <c r="H49" s="313">
        <v>0.85</v>
      </c>
      <c r="I49" s="290" t="s">
        <v>343</v>
      </c>
      <c r="J49" s="291" t="s">
        <v>499</v>
      </c>
      <c r="K49" s="324">
        <v>0.84799999999999998</v>
      </c>
      <c r="L49" s="324">
        <v>0.85899999999999999</v>
      </c>
      <c r="M49" s="313">
        <v>0.85</v>
      </c>
      <c r="N49" s="290" t="s">
        <v>343</v>
      </c>
      <c r="O49" s="291"/>
      <c r="P49" s="324">
        <v>0.86899999999999999</v>
      </c>
      <c r="Q49" s="324">
        <v>0.88100000000000001</v>
      </c>
      <c r="R49" s="313">
        <v>0.85</v>
      </c>
      <c r="S49" s="290" t="s">
        <v>343</v>
      </c>
      <c r="T49" s="291"/>
      <c r="U49" s="373">
        <v>0.93</v>
      </c>
      <c r="V49" s="372">
        <v>0.92900000000000005</v>
      </c>
      <c r="W49" s="352" t="s">
        <v>334</v>
      </c>
      <c r="X49" s="360" t="s">
        <v>819</v>
      </c>
      <c r="Y49" s="293" t="s">
        <v>284</v>
      </c>
      <c r="Z49" s="268" t="s">
        <v>273</v>
      </c>
      <c r="AA49" s="268" t="s">
        <v>307</v>
      </c>
      <c r="AB49" s="268" t="s">
        <v>278</v>
      </c>
      <c r="AC49" s="268" t="s">
        <v>268</v>
      </c>
      <c r="AD49" s="268" t="s">
        <v>367</v>
      </c>
      <c r="AE49" s="278">
        <v>46</v>
      </c>
    </row>
    <row r="50" spans="1:31" ht="99.95" customHeight="1">
      <c r="A50" s="268" t="s">
        <v>306</v>
      </c>
      <c r="B50" s="268" t="s">
        <v>306</v>
      </c>
      <c r="C50" s="269" t="s">
        <v>96</v>
      </c>
      <c r="D50" s="286" t="s">
        <v>97</v>
      </c>
      <c r="E50" s="279" t="s">
        <v>98</v>
      </c>
      <c r="F50" s="280">
        <v>43830</v>
      </c>
      <c r="G50" s="281"/>
      <c r="H50" s="281"/>
      <c r="I50" s="282" t="s">
        <v>347</v>
      </c>
      <c r="J50" s="283" t="s">
        <v>502</v>
      </c>
      <c r="K50" s="284" t="s">
        <v>626</v>
      </c>
      <c r="L50" s="284"/>
      <c r="M50" s="281"/>
      <c r="N50" s="282" t="s">
        <v>334</v>
      </c>
      <c r="O50" s="283"/>
      <c r="P50" s="284" t="s">
        <v>626</v>
      </c>
      <c r="Q50" s="284"/>
      <c r="R50" s="281"/>
      <c r="S50" s="274" t="s">
        <v>334</v>
      </c>
      <c r="T50" s="283"/>
      <c r="U50" s="354"/>
      <c r="V50" s="355"/>
      <c r="W50" s="352" t="s">
        <v>334</v>
      </c>
      <c r="X50" s="356"/>
      <c r="Y50" s="277" t="s">
        <v>283</v>
      </c>
      <c r="Z50" s="268" t="s">
        <v>273</v>
      </c>
      <c r="AA50" s="268" t="s">
        <v>307</v>
      </c>
      <c r="AB50" s="268" t="s">
        <v>278</v>
      </c>
      <c r="AC50" s="268" t="s">
        <v>268</v>
      </c>
      <c r="AD50" s="268" t="s">
        <v>367</v>
      </c>
      <c r="AE50" s="278">
        <v>47</v>
      </c>
    </row>
    <row r="51" spans="1:31" ht="99.95" customHeight="1">
      <c r="A51" s="268" t="s">
        <v>306</v>
      </c>
      <c r="B51" s="268" t="s">
        <v>306</v>
      </c>
      <c r="C51" s="269" t="s">
        <v>99</v>
      </c>
      <c r="D51" s="286" t="s">
        <v>100</v>
      </c>
      <c r="E51" s="279" t="s">
        <v>101</v>
      </c>
      <c r="F51" s="272">
        <v>43921</v>
      </c>
      <c r="G51" s="281"/>
      <c r="H51" s="281"/>
      <c r="I51" s="282" t="s">
        <v>347</v>
      </c>
      <c r="J51" s="283" t="s">
        <v>543</v>
      </c>
      <c r="K51" s="284" t="s">
        <v>623</v>
      </c>
      <c r="L51" s="284"/>
      <c r="M51" s="281"/>
      <c r="N51" s="282" t="s">
        <v>347</v>
      </c>
      <c r="O51" s="283"/>
      <c r="P51" s="284" t="s">
        <v>698</v>
      </c>
      <c r="Q51" s="284"/>
      <c r="R51" s="281"/>
      <c r="S51" s="282" t="s">
        <v>347</v>
      </c>
      <c r="T51" s="283"/>
      <c r="U51" s="354" t="s">
        <v>820</v>
      </c>
      <c r="V51" s="355" t="s">
        <v>820</v>
      </c>
      <c r="W51" s="352" t="s">
        <v>334</v>
      </c>
      <c r="X51" s="356"/>
      <c r="Y51" s="285" t="s">
        <v>280</v>
      </c>
      <c r="Z51" s="268" t="s">
        <v>273</v>
      </c>
      <c r="AA51" s="268" t="s">
        <v>307</v>
      </c>
      <c r="AB51" s="268" t="s">
        <v>278</v>
      </c>
      <c r="AC51" s="268" t="s">
        <v>268</v>
      </c>
      <c r="AD51" s="268" t="s">
        <v>367</v>
      </c>
      <c r="AE51" s="278">
        <v>48</v>
      </c>
    </row>
    <row r="52" spans="1:31" ht="99.95" customHeight="1">
      <c r="A52" s="268" t="s">
        <v>306</v>
      </c>
      <c r="B52" s="268" t="s">
        <v>306</v>
      </c>
      <c r="C52" s="269" t="s">
        <v>102</v>
      </c>
      <c r="D52" s="286" t="s">
        <v>103</v>
      </c>
      <c r="E52" s="279" t="s">
        <v>104</v>
      </c>
      <c r="F52" s="272">
        <v>43921</v>
      </c>
      <c r="G52" s="281"/>
      <c r="H52" s="281"/>
      <c r="I52" s="282" t="s">
        <v>347</v>
      </c>
      <c r="J52" s="283" t="s">
        <v>503</v>
      </c>
      <c r="K52" s="284" t="s">
        <v>623</v>
      </c>
      <c r="L52" s="284"/>
      <c r="M52" s="281"/>
      <c r="N52" s="282" t="s">
        <v>347</v>
      </c>
      <c r="O52" s="283"/>
      <c r="P52" s="284" t="s">
        <v>699</v>
      </c>
      <c r="Q52" s="284"/>
      <c r="R52" s="281"/>
      <c r="S52" s="282" t="s">
        <v>347</v>
      </c>
      <c r="T52" s="283"/>
      <c r="U52" s="354" t="s">
        <v>820</v>
      </c>
      <c r="V52" s="355" t="s">
        <v>820</v>
      </c>
      <c r="W52" s="352" t="s">
        <v>334</v>
      </c>
      <c r="X52" s="356"/>
      <c r="Y52" s="285" t="s">
        <v>280</v>
      </c>
      <c r="Z52" s="268" t="s">
        <v>273</v>
      </c>
      <c r="AA52" s="268" t="s">
        <v>307</v>
      </c>
      <c r="AB52" s="268" t="s">
        <v>278</v>
      </c>
      <c r="AC52" s="268" t="s">
        <v>268</v>
      </c>
      <c r="AD52" s="268" t="s">
        <v>367</v>
      </c>
      <c r="AE52" s="278">
        <v>49</v>
      </c>
    </row>
    <row r="53" spans="1:31" ht="99.95" customHeight="1">
      <c r="A53" s="268" t="s">
        <v>687</v>
      </c>
      <c r="B53" s="268" t="s">
        <v>687</v>
      </c>
      <c r="C53" s="269" t="s">
        <v>105</v>
      </c>
      <c r="D53" s="286" t="s">
        <v>106</v>
      </c>
      <c r="E53" s="271" t="s">
        <v>107</v>
      </c>
      <c r="F53" s="288"/>
      <c r="G53" s="289" t="s">
        <v>561</v>
      </c>
      <c r="H53" s="289"/>
      <c r="I53" s="290" t="s">
        <v>343</v>
      </c>
      <c r="J53" s="291"/>
      <c r="K53" s="292" t="s">
        <v>682</v>
      </c>
      <c r="L53" s="292"/>
      <c r="M53" s="289"/>
      <c r="N53" s="290" t="s">
        <v>343</v>
      </c>
      <c r="O53" s="291"/>
      <c r="P53" s="292" t="s">
        <v>707</v>
      </c>
      <c r="Q53" s="292"/>
      <c r="R53" s="289"/>
      <c r="S53" s="290" t="s">
        <v>343</v>
      </c>
      <c r="T53" s="291"/>
      <c r="U53" s="358" t="s">
        <v>707</v>
      </c>
      <c r="V53" s="359"/>
      <c r="W53" s="352" t="s">
        <v>334</v>
      </c>
      <c r="X53" s="360"/>
      <c r="Y53" s="293" t="s">
        <v>284</v>
      </c>
      <c r="Z53" s="268" t="s">
        <v>273</v>
      </c>
      <c r="AA53" s="268" t="s">
        <v>269</v>
      </c>
      <c r="AB53" s="268" t="s">
        <v>278</v>
      </c>
      <c r="AC53" s="268" t="s">
        <v>269</v>
      </c>
      <c r="AD53" s="268" t="s">
        <v>363</v>
      </c>
      <c r="AE53" s="278">
        <v>50</v>
      </c>
    </row>
    <row r="54" spans="1:31" ht="99.95" customHeight="1">
      <c r="A54" s="268" t="s">
        <v>687</v>
      </c>
      <c r="B54" s="268" t="s">
        <v>687</v>
      </c>
      <c r="C54" s="269" t="s">
        <v>108</v>
      </c>
      <c r="D54" s="286" t="s">
        <v>106</v>
      </c>
      <c r="E54" s="271" t="s">
        <v>109</v>
      </c>
      <c r="F54" s="280">
        <v>43830</v>
      </c>
      <c r="G54" s="273" t="s">
        <v>562</v>
      </c>
      <c r="H54" s="273"/>
      <c r="I54" s="274" t="s">
        <v>343</v>
      </c>
      <c r="J54" s="275"/>
      <c r="K54" s="273" t="s">
        <v>562</v>
      </c>
      <c r="L54" s="276"/>
      <c r="M54" s="273"/>
      <c r="N54" s="290" t="s">
        <v>343</v>
      </c>
      <c r="O54" s="275"/>
      <c r="P54" s="276" t="s">
        <v>708</v>
      </c>
      <c r="Q54" s="276"/>
      <c r="R54" s="273"/>
      <c r="S54" s="274" t="s">
        <v>343</v>
      </c>
      <c r="T54" s="275"/>
      <c r="U54" s="350" t="s">
        <v>789</v>
      </c>
      <c r="V54" s="351"/>
      <c r="W54" s="352" t="s">
        <v>334</v>
      </c>
      <c r="X54" s="353"/>
      <c r="Y54" s="277" t="s">
        <v>283</v>
      </c>
      <c r="Z54" s="268" t="s">
        <v>273</v>
      </c>
      <c r="AA54" s="268" t="s">
        <v>269</v>
      </c>
      <c r="AB54" s="268" t="s">
        <v>278</v>
      </c>
      <c r="AC54" s="268" t="s">
        <v>269</v>
      </c>
      <c r="AD54" s="268" t="s">
        <v>363</v>
      </c>
      <c r="AE54" s="278">
        <v>51</v>
      </c>
    </row>
    <row r="55" spans="1:31" ht="99.95" customHeight="1">
      <c r="A55" s="268" t="s">
        <v>687</v>
      </c>
      <c r="B55" s="268" t="s">
        <v>687</v>
      </c>
      <c r="C55" s="269" t="s">
        <v>110</v>
      </c>
      <c r="D55" s="270" t="s">
        <v>111</v>
      </c>
      <c r="E55" s="271" t="s">
        <v>112</v>
      </c>
      <c r="F55" s="280">
        <v>43830</v>
      </c>
      <c r="G55" s="273" t="s">
        <v>562</v>
      </c>
      <c r="H55" s="273"/>
      <c r="I55" s="274" t="s">
        <v>343</v>
      </c>
      <c r="J55" s="275"/>
      <c r="K55" s="273" t="s">
        <v>562</v>
      </c>
      <c r="L55" s="276"/>
      <c r="M55" s="273"/>
      <c r="N55" s="290" t="s">
        <v>343</v>
      </c>
      <c r="O55" s="275"/>
      <c r="P55" s="276" t="s">
        <v>709</v>
      </c>
      <c r="Q55" s="276"/>
      <c r="R55" s="273"/>
      <c r="S55" s="274" t="s">
        <v>343</v>
      </c>
      <c r="T55" s="275"/>
      <c r="U55" s="350" t="s">
        <v>790</v>
      </c>
      <c r="V55" s="351"/>
      <c r="W55" s="352" t="s">
        <v>334</v>
      </c>
      <c r="X55" s="353"/>
      <c r="Y55" s="277" t="s">
        <v>283</v>
      </c>
      <c r="Z55" s="268" t="s">
        <v>273</v>
      </c>
      <c r="AA55" s="268" t="s">
        <v>269</v>
      </c>
      <c r="AB55" s="268" t="s">
        <v>278</v>
      </c>
      <c r="AC55" s="268" t="s">
        <v>269</v>
      </c>
      <c r="AD55" s="268" t="s">
        <v>363</v>
      </c>
      <c r="AE55" s="278">
        <v>52</v>
      </c>
    </row>
    <row r="56" spans="1:31" ht="99.95" customHeight="1">
      <c r="A56" s="268" t="s">
        <v>687</v>
      </c>
      <c r="B56" s="268" t="s">
        <v>687</v>
      </c>
      <c r="C56" s="269" t="s">
        <v>113</v>
      </c>
      <c r="D56" s="286" t="s">
        <v>114</v>
      </c>
      <c r="E56" s="279" t="s">
        <v>115</v>
      </c>
      <c r="F56" s="272">
        <v>43921</v>
      </c>
      <c r="G56" s="281" t="s">
        <v>563</v>
      </c>
      <c r="H56" s="281"/>
      <c r="I56" s="282" t="s">
        <v>343</v>
      </c>
      <c r="J56" s="283"/>
      <c r="K56" s="284" t="s">
        <v>683</v>
      </c>
      <c r="L56" s="284"/>
      <c r="M56" s="281"/>
      <c r="N56" s="290" t="s">
        <v>343</v>
      </c>
      <c r="O56" s="283"/>
      <c r="P56" s="284" t="s">
        <v>735</v>
      </c>
      <c r="Q56" s="284"/>
      <c r="R56" s="281"/>
      <c r="S56" s="282" t="s">
        <v>343</v>
      </c>
      <c r="T56" s="283"/>
      <c r="U56" s="354" t="s">
        <v>791</v>
      </c>
      <c r="V56" s="355"/>
      <c r="W56" s="352" t="s">
        <v>334</v>
      </c>
      <c r="X56" s="356"/>
      <c r="Y56" s="285" t="s">
        <v>280</v>
      </c>
      <c r="Z56" s="268" t="s">
        <v>273</v>
      </c>
      <c r="AA56" s="268" t="s">
        <v>269</v>
      </c>
      <c r="AB56" s="268" t="s">
        <v>278</v>
      </c>
      <c r="AC56" s="268" t="s">
        <v>269</v>
      </c>
      <c r="AD56" s="268" t="s">
        <v>363</v>
      </c>
      <c r="AE56" s="278">
        <v>53</v>
      </c>
    </row>
    <row r="57" spans="1:31" ht="99.95" customHeight="1">
      <c r="A57" s="268" t="s">
        <v>687</v>
      </c>
      <c r="B57" s="268" t="s">
        <v>687</v>
      </c>
      <c r="C57" s="269" t="s">
        <v>116</v>
      </c>
      <c r="D57" s="286" t="s">
        <v>114</v>
      </c>
      <c r="E57" s="279" t="s">
        <v>117</v>
      </c>
      <c r="F57" s="280">
        <v>43830</v>
      </c>
      <c r="G57" s="281" t="s">
        <v>564</v>
      </c>
      <c r="H57" s="281"/>
      <c r="I57" s="282" t="s">
        <v>343</v>
      </c>
      <c r="J57" s="283"/>
      <c r="K57" s="284" t="s">
        <v>685</v>
      </c>
      <c r="L57" s="284"/>
      <c r="M57" s="281"/>
      <c r="N57" s="290" t="s">
        <v>343</v>
      </c>
      <c r="O57" s="283"/>
      <c r="P57" s="276" t="s">
        <v>710</v>
      </c>
      <c r="Q57" s="276"/>
      <c r="R57" s="281"/>
      <c r="S57" s="282" t="s">
        <v>343</v>
      </c>
      <c r="T57" s="283"/>
      <c r="U57" s="354" t="s">
        <v>792</v>
      </c>
      <c r="V57" s="355"/>
      <c r="W57" s="352" t="s">
        <v>334</v>
      </c>
      <c r="X57" s="356"/>
      <c r="Y57" s="277" t="s">
        <v>283</v>
      </c>
      <c r="Z57" s="268" t="s">
        <v>273</v>
      </c>
      <c r="AA57" s="268" t="s">
        <v>269</v>
      </c>
      <c r="AB57" s="268" t="s">
        <v>278</v>
      </c>
      <c r="AC57" s="268" t="s">
        <v>269</v>
      </c>
      <c r="AD57" s="268" t="s">
        <v>363</v>
      </c>
      <c r="AE57" s="278">
        <v>54</v>
      </c>
    </row>
    <row r="58" spans="1:31" ht="99.95" customHeight="1">
      <c r="A58" s="268" t="s">
        <v>323</v>
      </c>
      <c r="B58" s="268" t="s">
        <v>323</v>
      </c>
      <c r="C58" s="269" t="s">
        <v>118</v>
      </c>
      <c r="D58" s="270" t="s">
        <v>119</v>
      </c>
      <c r="E58" s="279" t="s">
        <v>120</v>
      </c>
      <c r="F58" s="280">
        <v>43738</v>
      </c>
      <c r="G58" s="281" t="s">
        <v>544</v>
      </c>
      <c r="H58" s="281"/>
      <c r="I58" s="282" t="s">
        <v>334</v>
      </c>
      <c r="J58" s="283" t="s">
        <v>545</v>
      </c>
      <c r="K58" s="284"/>
      <c r="L58" s="284"/>
      <c r="M58" s="281"/>
      <c r="N58" s="274" t="s">
        <v>334</v>
      </c>
      <c r="O58" s="283"/>
      <c r="P58" s="284"/>
      <c r="Q58" s="284"/>
      <c r="R58" s="281"/>
      <c r="S58" s="274" t="s">
        <v>334</v>
      </c>
      <c r="T58" s="283"/>
      <c r="U58" s="354"/>
      <c r="V58" s="355"/>
      <c r="W58" s="352" t="s">
        <v>334</v>
      </c>
      <c r="X58" s="356"/>
      <c r="Y58" s="285" t="s">
        <v>282</v>
      </c>
      <c r="Z58" s="268" t="s">
        <v>275</v>
      </c>
      <c r="AA58" s="268" t="s">
        <v>308</v>
      </c>
      <c r="AB58" s="268" t="s">
        <v>278</v>
      </c>
      <c r="AC58" s="268" t="s">
        <v>270</v>
      </c>
      <c r="AD58" s="268" t="s">
        <v>366</v>
      </c>
      <c r="AE58" s="278">
        <v>55</v>
      </c>
    </row>
    <row r="59" spans="1:31" ht="99.95" customHeight="1">
      <c r="A59" s="268" t="s">
        <v>323</v>
      </c>
      <c r="B59" s="268" t="s">
        <v>323</v>
      </c>
      <c r="C59" s="269" t="s">
        <v>121</v>
      </c>
      <c r="D59" s="270" t="s">
        <v>122</v>
      </c>
      <c r="E59" s="279" t="s">
        <v>123</v>
      </c>
      <c r="F59" s="280">
        <v>43738</v>
      </c>
      <c r="G59" s="281" t="s">
        <v>470</v>
      </c>
      <c r="H59" s="281"/>
      <c r="I59" s="282" t="s">
        <v>343</v>
      </c>
      <c r="J59" s="283" t="s">
        <v>471</v>
      </c>
      <c r="K59" s="284" t="s">
        <v>659</v>
      </c>
      <c r="L59" s="284"/>
      <c r="M59" s="281"/>
      <c r="N59" s="282" t="s">
        <v>334</v>
      </c>
      <c r="O59" s="283"/>
      <c r="P59" s="284"/>
      <c r="Q59" s="284"/>
      <c r="R59" s="281"/>
      <c r="S59" s="274" t="s">
        <v>334</v>
      </c>
      <c r="T59" s="283"/>
      <c r="U59" s="354"/>
      <c r="V59" s="355"/>
      <c r="W59" s="352" t="s">
        <v>334</v>
      </c>
      <c r="X59" s="356"/>
      <c r="Y59" s="285" t="s">
        <v>282</v>
      </c>
      <c r="Z59" s="268" t="s">
        <v>275</v>
      </c>
      <c r="AA59" s="268" t="s">
        <v>308</v>
      </c>
      <c r="AB59" s="268" t="s">
        <v>278</v>
      </c>
      <c r="AC59" s="268" t="s">
        <v>270</v>
      </c>
      <c r="AD59" s="268" t="s">
        <v>366</v>
      </c>
      <c r="AE59" s="278">
        <v>56</v>
      </c>
    </row>
    <row r="60" spans="1:31" ht="99.95" customHeight="1">
      <c r="A60" s="268" t="s">
        <v>323</v>
      </c>
      <c r="B60" s="268" t="s">
        <v>323</v>
      </c>
      <c r="C60" s="269" t="s">
        <v>124</v>
      </c>
      <c r="D60" s="270" t="s">
        <v>122</v>
      </c>
      <c r="E60" s="279" t="s">
        <v>125</v>
      </c>
      <c r="F60" s="272">
        <v>43921</v>
      </c>
      <c r="G60" s="281" t="s">
        <v>546</v>
      </c>
      <c r="H60" s="281"/>
      <c r="I60" s="282" t="s">
        <v>343</v>
      </c>
      <c r="J60" s="283" t="s">
        <v>547</v>
      </c>
      <c r="K60" s="284" t="s">
        <v>660</v>
      </c>
      <c r="L60" s="284"/>
      <c r="M60" s="281"/>
      <c r="N60" s="282" t="s">
        <v>343</v>
      </c>
      <c r="O60" s="283"/>
      <c r="P60" s="284" t="s">
        <v>743</v>
      </c>
      <c r="Q60" s="284"/>
      <c r="R60" s="281"/>
      <c r="S60" s="282" t="s">
        <v>343</v>
      </c>
      <c r="T60" s="283"/>
      <c r="U60" s="354"/>
      <c r="V60" s="355"/>
      <c r="W60" s="352" t="s">
        <v>334</v>
      </c>
      <c r="X60" s="356"/>
      <c r="Y60" s="285" t="s">
        <v>280</v>
      </c>
      <c r="Z60" s="268" t="s">
        <v>275</v>
      </c>
      <c r="AA60" s="268" t="s">
        <v>308</v>
      </c>
      <c r="AB60" s="268" t="s">
        <v>278</v>
      </c>
      <c r="AC60" s="268" t="s">
        <v>270</v>
      </c>
      <c r="AD60" s="268" t="s">
        <v>366</v>
      </c>
      <c r="AE60" s="278">
        <v>57</v>
      </c>
    </row>
    <row r="61" spans="1:31" ht="99.95" customHeight="1">
      <c r="A61" s="268" t="s">
        <v>310</v>
      </c>
      <c r="B61" s="268" t="s">
        <v>310</v>
      </c>
      <c r="C61" s="269" t="s">
        <v>126</v>
      </c>
      <c r="D61" s="286" t="s">
        <v>127</v>
      </c>
      <c r="E61" s="279" t="s">
        <v>128</v>
      </c>
      <c r="F61" s="272">
        <v>43799</v>
      </c>
      <c r="G61" s="281" t="s">
        <v>525</v>
      </c>
      <c r="H61" s="281"/>
      <c r="I61" s="282" t="s">
        <v>343</v>
      </c>
      <c r="J61" s="283" t="s">
        <v>530</v>
      </c>
      <c r="K61" s="284" t="s">
        <v>632</v>
      </c>
      <c r="L61" s="284"/>
      <c r="M61" s="281"/>
      <c r="N61" s="282" t="s">
        <v>343</v>
      </c>
      <c r="O61" s="283"/>
      <c r="P61" s="284" t="s">
        <v>752</v>
      </c>
      <c r="Q61" s="284"/>
      <c r="R61" s="281"/>
      <c r="S61" s="282" t="s">
        <v>334</v>
      </c>
      <c r="T61" s="283"/>
      <c r="U61" s="354" t="s">
        <v>834</v>
      </c>
      <c r="V61" s="355"/>
      <c r="W61" s="352" t="s">
        <v>334</v>
      </c>
      <c r="X61" s="356"/>
      <c r="Y61" s="277" t="s">
        <v>283</v>
      </c>
      <c r="Z61" s="268" t="s">
        <v>275</v>
      </c>
      <c r="AA61" s="268" t="s">
        <v>309</v>
      </c>
      <c r="AB61" s="268" t="s">
        <v>278</v>
      </c>
      <c r="AC61" s="268" t="s">
        <v>270</v>
      </c>
      <c r="AD61" s="268" t="s">
        <v>366</v>
      </c>
      <c r="AE61" s="278">
        <v>58</v>
      </c>
    </row>
    <row r="62" spans="1:31" ht="99.95" customHeight="1">
      <c r="A62" s="268" t="s">
        <v>310</v>
      </c>
      <c r="B62" s="268" t="s">
        <v>310</v>
      </c>
      <c r="C62" s="269" t="s">
        <v>129</v>
      </c>
      <c r="D62" s="286" t="s">
        <v>130</v>
      </c>
      <c r="E62" s="279" t="s">
        <v>131</v>
      </c>
      <c r="F62" s="280">
        <v>43830</v>
      </c>
      <c r="G62" s="281" t="s">
        <v>526</v>
      </c>
      <c r="H62" s="281"/>
      <c r="I62" s="282" t="s">
        <v>343</v>
      </c>
      <c r="J62" s="283"/>
      <c r="K62" s="284" t="s">
        <v>633</v>
      </c>
      <c r="L62" s="284"/>
      <c r="M62" s="281"/>
      <c r="N62" s="282" t="s">
        <v>343</v>
      </c>
      <c r="O62" s="283"/>
      <c r="P62" s="284" t="s">
        <v>753</v>
      </c>
      <c r="Q62" s="284"/>
      <c r="R62" s="281"/>
      <c r="S62" s="282" t="s">
        <v>334</v>
      </c>
      <c r="T62" s="283"/>
      <c r="U62" s="354" t="s">
        <v>834</v>
      </c>
      <c r="V62" s="355"/>
      <c r="W62" s="352" t="s">
        <v>334</v>
      </c>
      <c r="X62" s="356"/>
      <c r="Y62" s="277" t="s">
        <v>283</v>
      </c>
      <c r="Z62" s="268" t="s">
        <v>275</v>
      </c>
      <c r="AA62" s="268" t="s">
        <v>309</v>
      </c>
      <c r="AB62" s="268" t="s">
        <v>278</v>
      </c>
      <c r="AC62" s="268" t="s">
        <v>270</v>
      </c>
      <c r="AD62" s="268" t="s">
        <v>366</v>
      </c>
      <c r="AE62" s="278">
        <v>59</v>
      </c>
    </row>
    <row r="63" spans="1:31" ht="99.95" customHeight="1">
      <c r="A63" s="268" t="s">
        <v>299</v>
      </c>
      <c r="B63" s="268" t="s">
        <v>299</v>
      </c>
      <c r="C63" s="269" t="s">
        <v>132</v>
      </c>
      <c r="D63" s="286" t="s">
        <v>133</v>
      </c>
      <c r="E63" s="271" t="s">
        <v>134</v>
      </c>
      <c r="F63" s="272">
        <v>43769</v>
      </c>
      <c r="G63" s="273" t="s">
        <v>673</v>
      </c>
      <c r="H63" s="273"/>
      <c r="I63" s="274" t="s">
        <v>343</v>
      </c>
      <c r="J63" s="275"/>
      <c r="K63" s="276" t="s">
        <v>641</v>
      </c>
      <c r="L63" s="276"/>
      <c r="M63" s="273"/>
      <c r="N63" s="274" t="s">
        <v>334</v>
      </c>
      <c r="O63" s="275"/>
      <c r="P63" s="276" t="s">
        <v>641</v>
      </c>
      <c r="Q63" s="276"/>
      <c r="R63" s="273"/>
      <c r="S63" s="274" t="s">
        <v>334</v>
      </c>
      <c r="T63" s="275"/>
      <c r="U63" s="350"/>
      <c r="V63" s="351"/>
      <c r="W63" s="352" t="s">
        <v>334</v>
      </c>
      <c r="X63" s="353"/>
      <c r="Y63" s="277" t="s">
        <v>283</v>
      </c>
      <c r="Z63" s="268" t="s">
        <v>275</v>
      </c>
      <c r="AA63" s="268" t="s">
        <v>300</v>
      </c>
      <c r="AB63" s="268" t="s">
        <v>278</v>
      </c>
      <c r="AC63" s="268" t="s">
        <v>270</v>
      </c>
      <c r="AD63" s="268" t="s">
        <v>366</v>
      </c>
      <c r="AE63" s="278">
        <v>60</v>
      </c>
    </row>
    <row r="64" spans="1:31" ht="99.95" customHeight="1">
      <c r="A64" s="268" t="s">
        <v>324</v>
      </c>
      <c r="B64" s="268" t="s">
        <v>324</v>
      </c>
      <c r="C64" s="269" t="s">
        <v>135</v>
      </c>
      <c r="D64" s="286" t="s">
        <v>136</v>
      </c>
      <c r="E64" s="279" t="s">
        <v>137</v>
      </c>
      <c r="F64" s="272">
        <v>43769</v>
      </c>
      <c r="G64" s="281" t="s">
        <v>548</v>
      </c>
      <c r="H64" s="281"/>
      <c r="I64" s="282" t="s">
        <v>343</v>
      </c>
      <c r="J64" s="283"/>
      <c r="K64" s="284" t="s">
        <v>661</v>
      </c>
      <c r="L64" s="284"/>
      <c r="M64" s="281"/>
      <c r="N64" s="282" t="s">
        <v>334</v>
      </c>
      <c r="O64" s="283"/>
      <c r="P64" s="284" t="s">
        <v>661</v>
      </c>
      <c r="Q64" s="284"/>
      <c r="R64" s="281"/>
      <c r="S64" s="274" t="s">
        <v>334</v>
      </c>
      <c r="T64" s="283"/>
      <c r="U64" s="354"/>
      <c r="V64" s="355"/>
      <c r="W64" s="352" t="s">
        <v>334</v>
      </c>
      <c r="X64" s="356"/>
      <c r="Y64" s="277" t="s">
        <v>283</v>
      </c>
      <c r="Z64" s="268" t="s">
        <v>275</v>
      </c>
      <c r="AA64" s="268" t="s">
        <v>325</v>
      </c>
      <c r="AB64" s="268" t="s">
        <v>278</v>
      </c>
      <c r="AC64" s="268" t="s">
        <v>270</v>
      </c>
      <c r="AD64" s="268" t="s">
        <v>366</v>
      </c>
      <c r="AE64" s="278">
        <v>61</v>
      </c>
    </row>
    <row r="65" spans="1:31" ht="166.5" customHeight="1">
      <c r="A65" s="268" t="s">
        <v>489</v>
      </c>
      <c r="B65" s="268" t="s">
        <v>489</v>
      </c>
      <c r="C65" s="269" t="s">
        <v>138</v>
      </c>
      <c r="D65" s="270" t="s">
        <v>139</v>
      </c>
      <c r="E65" s="279" t="s">
        <v>140</v>
      </c>
      <c r="F65" s="280">
        <v>43646</v>
      </c>
      <c r="G65" s="281" t="s">
        <v>571</v>
      </c>
      <c r="H65" s="281"/>
      <c r="I65" s="282" t="s">
        <v>338</v>
      </c>
      <c r="J65" s="283" t="s">
        <v>490</v>
      </c>
      <c r="K65" s="281" t="s">
        <v>583</v>
      </c>
      <c r="L65" s="284"/>
      <c r="M65" s="281"/>
      <c r="N65" s="282" t="s">
        <v>345</v>
      </c>
      <c r="O65" s="283"/>
      <c r="P65" s="284" t="s">
        <v>689</v>
      </c>
      <c r="Q65" s="284"/>
      <c r="R65" s="284"/>
      <c r="S65" s="282" t="s">
        <v>345</v>
      </c>
      <c r="T65" s="283"/>
      <c r="U65" s="354" t="s">
        <v>689</v>
      </c>
      <c r="V65" s="355"/>
      <c r="W65" s="357" t="s">
        <v>338</v>
      </c>
      <c r="X65" s="356"/>
      <c r="Y65" s="277" t="s">
        <v>281</v>
      </c>
      <c r="Z65" s="268" t="s">
        <v>274</v>
      </c>
      <c r="AA65" s="268" t="s">
        <v>290</v>
      </c>
      <c r="AB65" s="268" t="s">
        <v>278</v>
      </c>
      <c r="AC65" s="268" t="s">
        <v>271</v>
      </c>
      <c r="AD65" s="268" t="s">
        <v>363</v>
      </c>
      <c r="AE65" s="278">
        <v>62</v>
      </c>
    </row>
    <row r="66" spans="1:31" ht="99.95" customHeight="1">
      <c r="A66" s="268" t="s">
        <v>312</v>
      </c>
      <c r="B66" s="268" t="s">
        <v>312</v>
      </c>
      <c r="C66" s="269" t="s">
        <v>141</v>
      </c>
      <c r="D66" s="270" t="s">
        <v>142</v>
      </c>
      <c r="E66" s="271" t="s">
        <v>549</v>
      </c>
      <c r="F66" s="280">
        <v>43646</v>
      </c>
      <c r="G66" s="311" t="s">
        <v>478</v>
      </c>
      <c r="H66" s="273"/>
      <c r="I66" s="274" t="s">
        <v>334</v>
      </c>
      <c r="J66" s="275" t="s">
        <v>479</v>
      </c>
      <c r="K66" s="276"/>
      <c r="L66" s="276"/>
      <c r="M66" s="273"/>
      <c r="N66" s="274" t="s">
        <v>334</v>
      </c>
      <c r="O66" s="275"/>
      <c r="P66" s="276"/>
      <c r="Q66" s="276"/>
      <c r="R66" s="273"/>
      <c r="S66" s="274" t="s">
        <v>334</v>
      </c>
      <c r="T66" s="275"/>
      <c r="U66" s="350"/>
      <c r="V66" s="351"/>
      <c r="W66" s="352" t="s">
        <v>334</v>
      </c>
      <c r="X66" s="353"/>
      <c r="Y66" s="277" t="s">
        <v>281</v>
      </c>
      <c r="Z66" s="268" t="s">
        <v>274</v>
      </c>
      <c r="AA66" s="268" t="s">
        <v>311</v>
      </c>
      <c r="AB66" s="268" t="s">
        <v>278</v>
      </c>
      <c r="AC66" s="268" t="s">
        <v>271</v>
      </c>
      <c r="AD66" s="268" t="s">
        <v>363</v>
      </c>
      <c r="AE66" s="278">
        <v>63</v>
      </c>
    </row>
    <row r="67" spans="1:31" ht="99.95" customHeight="1">
      <c r="A67" s="268" t="s">
        <v>312</v>
      </c>
      <c r="B67" s="268" t="s">
        <v>312</v>
      </c>
      <c r="C67" s="269" t="s">
        <v>143</v>
      </c>
      <c r="D67" s="270" t="s">
        <v>144</v>
      </c>
      <c r="E67" s="279" t="s">
        <v>145</v>
      </c>
      <c r="F67" s="280">
        <v>43646</v>
      </c>
      <c r="G67" s="319" t="s">
        <v>550</v>
      </c>
      <c r="H67" s="281"/>
      <c r="I67" s="282" t="s">
        <v>334</v>
      </c>
      <c r="J67" s="275" t="s">
        <v>479</v>
      </c>
      <c r="K67" s="284"/>
      <c r="L67" s="284"/>
      <c r="M67" s="281"/>
      <c r="N67" s="274" t="s">
        <v>334</v>
      </c>
      <c r="O67" s="283"/>
      <c r="P67" s="284"/>
      <c r="Q67" s="284"/>
      <c r="R67" s="281"/>
      <c r="S67" s="274" t="s">
        <v>334</v>
      </c>
      <c r="T67" s="283"/>
      <c r="U67" s="354"/>
      <c r="V67" s="355"/>
      <c r="W67" s="352" t="s">
        <v>334</v>
      </c>
      <c r="X67" s="356"/>
      <c r="Y67" s="277" t="s">
        <v>281</v>
      </c>
      <c r="Z67" s="268" t="s">
        <v>274</v>
      </c>
      <c r="AA67" s="268" t="s">
        <v>311</v>
      </c>
      <c r="AB67" s="268" t="s">
        <v>278</v>
      </c>
      <c r="AC67" s="268" t="s">
        <v>271</v>
      </c>
      <c r="AD67" s="268" t="s">
        <v>363</v>
      </c>
      <c r="AE67" s="278">
        <v>64</v>
      </c>
    </row>
    <row r="68" spans="1:31" ht="99.95" customHeight="1">
      <c r="A68" s="268" t="s">
        <v>312</v>
      </c>
      <c r="B68" s="268" t="s">
        <v>312</v>
      </c>
      <c r="C68" s="269" t="s">
        <v>146</v>
      </c>
      <c r="D68" s="286" t="s">
        <v>147</v>
      </c>
      <c r="E68" s="279" t="s">
        <v>148</v>
      </c>
      <c r="F68" s="272">
        <v>43769</v>
      </c>
      <c r="G68" s="281" t="s">
        <v>480</v>
      </c>
      <c r="H68" s="281"/>
      <c r="I68" s="282" t="s">
        <v>343</v>
      </c>
      <c r="J68" s="283"/>
      <c r="K68" s="284" t="s">
        <v>588</v>
      </c>
      <c r="L68" s="284"/>
      <c r="M68" s="281"/>
      <c r="N68" s="282" t="s">
        <v>343</v>
      </c>
      <c r="O68" s="283" t="s">
        <v>589</v>
      </c>
      <c r="P68" s="284" t="s">
        <v>761</v>
      </c>
      <c r="Q68" s="284"/>
      <c r="R68" s="281"/>
      <c r="S68" s="282" t="s">
        <v>334</v>
      </c>
      <c r="T68" s="283"/>
      <c r="U68" s="354"/>
      <c r="V68" s="355"/>
      <c r="W68" s="352" t="s">
        <v>334</v>
      </c>
      <c r="X68" s="356"/>
      <c r="Y68" s="277" t="s">
        <v>283</v>
      </c>
      <c r="Z68" s="268" t="s">
        <v>274</v>
      </c>
      <c r="AA68" s="268" t="s">
        <v>311</v>
      </c>
      <c r="AB68" s="268" t="s">
        <v>278</v>
      </c>
      <c r="AC68" s="268" t="s">
        <v>271</v>
      </c>
      <c r="AD68" s="268" t="s">
        <v>363</v>
      </c>
      <c r="AE68" s="278">
        <v>65</v>
      </c>
    </row>
    <row r="69" spans="1:31" ht="99.95" customHeight="1">
      <c r="A69" s="268" t="s">
        <v>326</v>
      </c>
      <c r="B69" s="268" t="s">
        <v>326</v>
      </c>
      <c r="C69" s="269" t="s">
        <v>153</v>
      </c>
      <c r="D69" s="286" t="s">
        <v>154</v>
      </c>
      <c r="E69" s="279" t="s">
        <v>155</v>
      </c>
      <c r="F69" s="272">
        <v>43921</v>
      </c>
      <c r="G69" s="320">
        <v>10</v>
      </c>
      <c r="H69" s="321">
        <v>25</v>
      </c>
      <c r="I69" s="282" t="s">
        <v>343</v>
      </c>
      <c r="J69" s="283" t="s">
        <v>523</v>
      </c>
      <c r="K69" s="284" t="s">
        <v>674</v>
      </c>
      <c r="L69" s="327">
        <v>15</v>
      </c>
      <c r="M69" s="281"/>
      <c r="N69" s="282" t="s">
        <v>343</v>
      </c>
      <c r="O69" s="284" t="s">
        <v>662</v>
      </c>
      <c r="P69" s="284" t="s">
        <v>724</v>
      </c>
      <c r="Q69" s="328">
        <v>21</v>
      </c>
      <c r="R69" s="281"/>
      <c r="S69" s="282" t="s">
        <v>343</v>
      </c>
      <c r="T69" s="283"/>
      <c r="U69" s="354" t="s">
        <v>835</v>
      </c>
      <c r="V69" s="378">
        <v>24</v>
      </c>
      <c r="W69" s="352" t="s">
        <v>335</v>
      </c>
      <c r="X69" s="356" t="s">
        <v>772</v>
      </c>
      <c r="Y69" s="285" t="s">
        <v>280</v>
      </c>
      <c r="Z69" s="268" t="s">
        <v>275</v>
      </c>
      <c r="AA69" s="268" t="s">
        <v>313</v>
      </c>
      <c r="AB69" s="268" t="s">
        <v>276</v>
      </c>
      <c r="AC69" s="268" t="s">
        <v>266</v>
      </c>
      <c r="AD69" s="268" t="s">
        <v>420</v>
      </c>
      <c r="AE69" s="278">
        <v>66</v>
      </c>
    </row>
    <row r="70" spans="1:31" ht="99.95" customHeight="1">
      <c r="A70" s="268" t="s">
        <v>326</v>
      </c>
      <c r="B70" s="268" t="s">
        <v>326</v>
      </c>
      <c r="C70" s="269" t="s">
        <v>156</v>
      </c>
      <c r="D70" s="286" t="s">
        <v>154</v>
      </c>
      <c r="E70" s="279" t="s">
        <v>157</v>
      </c>
      <c r="F70" s="272">
        <v>43921</v>
      </c>
      <c r="G70" s="281" t="s">
        <v>524</v>
      </c>
      <c r="H70" s="281"/>
      <c r="I70" s="282" t="s">
        <v>347</v>
      </c>
      <c r="J70" s="283"/>
      <c r="K70" s="284"/>
      <c r="L70" s="284"/>
      <c r="M70" s="281"/>
      <c r="N70" s="282" t="s">
        <v>347</v>
      </c>
      <c r="O70" s="283"/>
      <c r="P70" s="284" t="s">
        <v>770</v>
      </c>
      <c r="Q70" s="284"/>
      <c r="R70" s="281"/>
      <c r="S70" s="282" t="s">
        <v>341</v>
      </c>
      <c r="T70" s="283"/>
      <c r="U70" s="354"/>
      <c r="V70" s="355"/>
      <c r="W70" s="357" t="s">
        <v>341</v>
      </c>
      <c r="X70" s="356"/>
      <c r="Y70" s="285" t="s">
        <v>280</v>
      </c>
      <c r="Z70" s="268" t="s">
        <v>275</v>
      </c>
      <c r="AA70" s="268" t="s">
        <v>313</v>
      </c>
      <c r="AB70" s="268" t="s">
        <v>276</v>
      </c>
      <c r="AC70" s="268" t="s">
        <v>266</v>
      </c>
      <c r="AD70" s="268" t="s">
        <v>420</v>
      </c>
      <c r="AE70" s="278">
        <v>67</v>
      </c>
    </row>
    <row r="71" spans="1:31" ht="99.95" customHeight="1">
      <c r="A71" s="268" t="s">
        <v>687</v>
      </c>
      <c r="B71" s="268" t="s">
        <v>687</v>
      </c>
      <c r="C71" s="269" t="s">
        <v>158</v>
      </c>
      <c r="D71" s="270" t="s">
        <v>159</v>
      </c>
      <c r="E71" s="271" t="s">
        <v>160</v>
      </c>
      <c r="F71" s="288"/>
      <c r="G71" s="289" t="s">
        <v>557</v>
      </c>
      <c r="H71" s="289"/>
      <c r="I71" s="290" t="s">
        <v>343</v>
      </c>
      <c r="J71" s="291"/>
      <c r="K71" s="292" t="s">
        <v>668</v>
      </c>
      <c r="L71" s="326">
        <v>0.95</v>
      </c>
      <c r="M71" s="289"/>
      <c r="N71" s="290" t="s">
        <v>343</v>
      </c>
      <c r="O71" s="291"/>
      <c r="P71" s="292" t="s">
        <v>768</v>
      </c>
      <c r="Q71" s="326">
        <v>0.93</v>
      </c>
      <c r="R71" s="289"/>
      <c r="S71" s="290" t="s">
        <v>344</v>
      </c>
      <c r="T71" s="291" t="s">
        <v>758</v>
      </c>
      <c r="U71" s="358" t="s">
        <v>796</v>
      </c>
      <c r="V71" s="359" t="s">
        <v>799</v>
      </c>
      <c r="W71" s="352" t="s">
        <v>335</v>
      </c>
      <c r="X71" s="360"/>
      <c r="Y71" s="293" t="s">
        <v>284</v>
      </c>
      <c r="Z71" s="268" t="s">
        <v>273</v>
      </c>
      <c r="AA71" s="268" t="s">
        <v>269</v>
      </c>
      <c r="AB71" s="268" t="s">
        <v>276</v>
      </c>
      <c r="AC71" s="268" t="s">
        <v>269</v>
      </c>
      <c r="AD71" s="268" t="s">
        <v>363</v>
      </c>
      <c r="AE71" s="278">
        <v>68</v>
      </c>
    </row>
    <row r="72" spans="1:31" ht="99.95" customHeight="1">
      <c r="A72" s="268" t="s">
        <v>687</v>
      </c>
      <c r="B72" s="268" t="s">
        <v>687</v>
      </c>
      <c r="C72" s="269" t="s">
        <v>161</v>
      </c>
      <c r="D72" s="270" t="s">
        <v>162</v>
      </c>
      <c r="E72" s="271" t="s">
        <v>160</v>
      </c>
      <c r="F72" s="288"/>
      <c r="G72" s="289" t="s">
        <v>558</v>
      </c>
      <c r="H72" s="289"/>
      <c r="I72" s="290" t="s">
        <v>343</v>
      </c>
      <c r="J72" s="291"/>
      <c r="K72" s="292" t="s">
        <v>669</v>
      </c>
      <c r="L72" s="326">
        <v>0.94</v>
      </c>
      <c r="M72" s="289"/>
      <c r="N72" s="290" t="s">
        <v>343</v>
      </c>
      <c r="O72" s="291"/>
      <c r="P72" s="292" t="s">
        <v>733</v>
      </c>
      <c r="Q72" s="326">
        <v>0.92</v>
      </c>
      <c r="R72" s="289"/>
      <c r="S72" s="290" t="s">
        <v>343</v>
      </c>
      <c r="T72" s="291" t="s">
        <v>759</v>
      </c>
      <c r="U72" s="358" t="s">
        <v>797</v>
      </c>
      <c r="V72" s="359" t="s">
        <v>800</v>
      </c>
      <c r="W72" s="352" t="s">
        <v>335</v>
      </c>
      <c r="X72" s="360"/>
      <c r="Y72" s="293" t="s">
        <v>284</v>
      </c>
      <c r="Z72" s="268" t="s">
        <v>273</v>
      </c>
      <c r="AA72" s="268" t="s">
        <v>269</v>
      </c>
      <c r="AB72" s="268" t="s">
        <v>276</v>
      </c>
      <c r="AC72" s="268" t="s">
        <v>269</v>
      </c>
      <c r="AD72" s="268" t="s">
        <v>363</v>
      </c>
      <c r="AE72" s="278">
        <v>69</v>
      </c>
    </row>
    <row r="73" spans="1:31" ht="99.95" customHeight="1">
      <c r="A73" s="268" t="s">
        <v>687</v>
      </c>
      <c r="B73" s="268" t="s">
        <v>687</v>
      </c>
      <c r="C73" s="269" t="s">
        <v>163</v>
      </c>
      <c r="D73" s="270" t="s">
        <v>164</v>
      </c>
      <c r="E73" s="271" t="s">
        <v>160</v>
      </c>
      <c r="F73" s="288"/>
      <c r="G73" s="289" t="s">
        <v>559</v>
      </c>
      <c r="H73" s="289"/>
      <c r="I73" s="290" t="s">
        <v>343</v>
      </c>
      <c r="J73" s="291"/>
      <c r="K73" s="292" t="s">
        <v>670</v>
      </c>
      <c r="L73" s="326">
        <v>0.99</v>
      </c>
      <c r="M73" s="289"/>
      <c r="N73" s="290" t="s">
        <v>343</v>
      </c>
      <c r="O73" s="291"/>
      <c r="P73" s="292" t="s">
        <v>734</v>
      </c>
      <c r="Q73" s="326">
        <v>0.97</v>
      </c>
      <c r="R73" s="289"/>
      <c r="S73" s="290" t="s">
        <v>343</v>
      </c>
      <c r="T73" s="291" t="s">
        <v>760</v>
      </c>
      <c r="U73" s="358" t="s">
        <v>798</v>
      </c>
      <c r="V73" s="359" t="s">
        <v>801</v>
      </c>
      <c r="W73" s="352" t="s">
        <v>334</v>
      </c>
      <c r="X73" s="360"/>
      <c r="Y73" s="293" t="s">
        <v>284</v>
      </c>
      <c r="Z73" s="268" t="s">
        <v>273</v>
      </c>
      <c r="AA73" s="268" t="s">
        <v>269</v>
      </c>
      <c r="AB73" s="268" t="s">
        <v>276</v>
      </c>
      <c r="AC73" s="268" t="s">
        <v>269</v>
      </c>
      <c r="AD73" s="268" t="s">
        <v>363</v>
      </c>
      <c r="AE73" s="278">
        <v>70</v>
      </c>
    </row>
    <row r="74" spans="1:31" ht="99.95" customHeight="1">
      <c r="A74" s="268" t="s">
        <v>687</v>
      </c>
      <c r="B74" s="268" t="s">
        <v>687</v>
      </c>
      <c r="C74" s="269" t="s">
        <v>165</v>
      </c>
      <c r="D74" s="286" t="s">
        <v>166</v>
      </c>
      <c r="E74" s="279" t="s">
        <v>167</v>
      </c>
      <c r="F74" s="280">
        <v>43830</v>
      </c>
      <c r="G74" s="281" t="s">
        <v>565</v>
      </c>
      <c r="H74" s="281"/>
      <c r="I74" s="282" t="s">
        <v>343</v>
      </c>
      <c r="J74" s="283"/>
      <c r="K74" s="284" t="s">
        <v>565</v>
      </c>
      <c r="L74" s="284"/>
      <c r="M74" s="281"/>
      <c r="N74" s="290" t="s">
        <v>343</v>
      </c>
      <c r="O74" s="283"/>
      <c r="P74" s="284" t="s">
        <v>769</v>
      </c>
      <c r="Q74" s="284"/>
      <c r="R74" s="281"/>
      <c r="S74" s="282" t="s">
        <v>342</v>
      </c>
      <c r="T74" s="283"/>
      <c r="U74" s="354"/>
      <c r="V74" s="355"/>
      <c r="W74" s="357" t="s">
        <v>342</v>
      </c>
      <c r="X74" s="356"/>
      <c r="Y74" s="277" t="s">
        <v>281</v>
      </c>
      <c r="Z74" s="268" t="s">
        <v>273</v>
      </c>
      <c r="AA74" s="268" t="s">
        <v>269</v>
      </c>
      <c r="AB74" s="268" t="s">
        <v>276</v>
      </c>
      <c r="AC74" s="268" t="s">
        <v>269</v>
      </c>
      <c r="AD74" s="268" t="s">
        <v>363</v>
      </c>
      <c r="AE74" s="278">
        <v>71</v>
      </c>
    </row>
    <row r="75" spans="1:31" ht="99.95" customHeight="1">
      <c r="A75" s="268" t="s">
        <v>687</v>
      </c>
      <c r="B75" s="268" t="s">
        <v>687</v>
      </c>
      <c r="C75" s="269" t="s">
        <v>168</v>
      </c>
      <c r="D75" s="286" t="s">
        <v>166</v>
      </c>
      <c r="E75" s="271" t="s">
        <v>169</v>
      </c>
      <c r="F75" s="280">
        <v>43830</v>
      </c>
      <c r="G75" s="273" t="s">
        <v>564</v>
      </c>
      <c r="H75" s="273"/>
      <c r="I75" s="274" t="s">
        <v>343</v>
      </c>
      <c r="J75" s="275"/>
      <c r="K75" s="284" t="s">
        <v>685</v>
      </c>
      <c r="L75" s="276"/>
      <c r="M75" s="273"/>
      <c r="N75" s="290" t="s">
        <v>343</v>
      </c>
      <c r="O75" s="275"/>
      <c r="P75" s="276" t="s">
        <v>710</v>
      </c>
      <c r="Q75" s="276"/>
      <c r="R75" s="273"/>
      <c r="S75" s="274" t="s">
        <v>334</v>
      </c>
      <c r="T75" s="275"/>
      <c r="U75" s="350" t="s">
        <v>793</v>
      </c>
      <c r="V75" s="351"/>
      <c r="W75" s="352" t="s">
        <v>334</v>
      </c>
      <c r="X75" s="353"/>
      <c r="Y75" s="277" t="s">
        <v>283</v>
      </c>
      <c r="Z75" s="268" t="s">
        <v>273</v>
      </c>
      <c r="AA75" s="268" t="s">
        <v>269</v>
      </c>
      <c r="AB75" s="268" t="s">
        <v>276</v>
      </c>
      <c r="AC75" s="268" t="s">
        <v>269</v>
      </c>
      <c r="AD75" s="268" t="s">
        <v>363</v>
      </c>
      <c r="AE75" s="278">
        <v>72</v>
      </c>
    </row>
    <row r="76" spans="1:31" ht="99.95" customHeight="1">
      <c r="A76" s="268" t="s">
        <v>687</v>
      </c>
      <c r="B76" s="268" t="s">
        <v>687</v>
      </c>
      <c r="C76" s="269" t="s">
        <v>170</v>
      </c>
      <c r="D76" s="286" t="s">
        <v>171</v>
      </c>
      <c r="E76" s="279" t="s">
        <v>172</v>
      </c>
      <c r="F76" s="272">
        <v>43769</v>
      </c>
      <c r="G76" s="281" t="s">
        <v>566</v>
      </c>
      <c r="H76" s="281"/>
      <c r="I76" s="282" t="s">
        <v>343</v>
      </c>
      <c r="J76" s="283"/>
      <c r="K76" s="284" t="s">
        <v>684</v>
      </c>
      <c r="L76" s="284"/>
      <c r="M76" s="281"/>
      <c r="N76" s="290" t="s">
        <v>343</v>
      </c>
      <c r="O76" s="283"/>
      <c r="P76" s="284" t="s">
        <v>711</v>
      </c>
      <c r="Q76" s="276"/>
      <c r="R76" s="281"/>
      <c r="S76" s="282" t="s">
        <v>334</v>
      </c>
      <c r="T76" s="283"/>
      <c r="U76" s="354" t="s">
        <v>794</v>
      </c>
      <c r="V76" s="355"/>
      <c r="W76" s="352" t="s">
        <v>334</v>
      </c>
      <c r="X76" s="356"/>
      <c r="Y76" s="277" t="s">
        <v>283</v>
      </c>
      <c r="Z76" s="268" t="s">
        <v>273</v>
      </c>
      <c r="AA76" s="268" t="s">
        <v>269</v>
      </c>
      <c r="AB76" s="268" t="s">
        <v>276</v>
      </c>
      <c r="AC76" s="268" t="s">
        <v>269</v>
      </c>
      <c r="AD76" s="268" t="s">
        <v>363</v>
      </c>
      <c r="AE76" s="278">
        <v>73</v>
      </c>
    </row>
    <row r="77" spans="1:31" ht="99.95" customHeight="1">
      <c r="A77" s="268" t="s">
        <v>687</v>
      </c>
      <c r="B77" s="268" t="s">
        <v>687</v>
      </c>
      <c r="C77" s="269" t="s">
        <v>173</v>
      </c>
      <c r="D77" s="286" t="s">
        <v>171</v>
      </c>
      <c r="E77" s="279" t="s">
        <v>174</v>
      </c>
      <c r="F77" s="272">
        <v>43769</v>
      </c>
      <c r="G77" s="281" t="s">
        <v>566</v>
      </c>
      <c r="H77" s="281"/>
      <c r="I77" s="282" t="s">
        <v>343</v>
      </c>
      <c r="J77" s="283"/>
      <c r="K77" s="284" t="s">
        <v>684</v>
      </c>
      <c r="L77" s="284"/>
      <c r="M77" s="281"/>
      <c r="N77" s="290" t="s">
        <v>343</v>
      </c>
      <c r="O77" s="283"/>
      <c r="P77" s="284" t="s">
        <v>754</v>
      </c>
      <c r="Q77" s="276"/>
      <c r="R77" s="281"/>
      <c r="S77" s="282" t="s">
        <v>334</v>
      </c>
      <c r="T77" s="283"/>
      <c r="U77" s="354" t="s">
        <v>826</v>
      </c>
      <c r="V77" s="355"/>
      <c r="W77" s="352" t="s">
        <v>334</v>
      </c>
      <c r="X77" s="356"/>
      <c r="Y77" s="277" t="s">
        <v>283</v>
      </c>
      <c r="Z77" s="268" t="s">
        <v>273</v>
      </c>
      <c r="AA77" s="268" t="s">
        <v>269</v>
      </c>
      <c r="AB77" s="268" t="s">
        <v>276</v>
      </c>
      <c r="AC77" s="268" t="s">
        <v>269</v>
      </c>
      <c r="AD77" s="268" t="s">
        <v>363</v>
      </c>
      <c r="AE77" s="278">
        <v>74</v>
      </c>
    </row>
    <row r="78" spans="1:31" ht="99.95" customHeight="1">
      <c r="A78" s="268" t="s">
        <v>687</v>
      </c>
      <c r="B78" s="268" t="s">
        <v>687</v>
      </c>
      <c r="C78" s="269" t="s">
        <v>175</v>
      </c>
      <c r="D78" s="286" t="s">
        <v>171</v>
      </c>
      <c r="E78" s="279" t="s">
        <v>176</v>
      </c>
      <c r="F78" s="272">
        <v>43921</v>
      </c>
      <c r="G78" s="281" t="s">
        <v>568</v>
      </c>
      <c r="H78" s="281"/>
      <c r="I78" s="282" t="s">
        <v>343</v>
      </c>
      <c r="J78" s="283"/>
      <c r="K78" s="284" t="s">
        <v>565</v>
      </c>
      <c r="L78" s="284"/>
      <c r="M78" s="281"/>
      <c r="N78" s="290" t="s">
        <v>343</v>
      </c>
      <c r="O78" s="283"/>
      <c r="P78" s="284" t="s">
        <v>755</v>
      </c>
      <c r="Q78" s="284"/>
      <c r="R78" s="281"/>
      <c r="S78" s="282" t="s">
        <v>343</v>
      </c>
      <c r="T78" s="283"/>
      <c r="U78" s="354" t="s">
        <v>827</v>
      </c>
      <c r="V78" s="355"/>
      <c r="W78" s="352" t="s">
        <v>334</v>
      </c>
      <c r="X78" s="356"/>
      <c r="Y78" s="285" t="s">
        <v>280</v>
      </c>
      <c r="Z78" s="268" t="s">
        <v>273</v>
      </c>
      <c r="AA78" s="268" t="s">
        <v>269</v>
      </c>
      <c r="AB78" s="268" t="s">
        <v>276</v>
      </c>
      <c r="AC78" s="268" t="s">
        <v>269</v>
      </c>
      <c r="AD78" s="268" t="s">
        <v>363</v>
      </c>
      <c r="AE78" s="278">
        <v>75</v>
      </c>
    </row>
    <row r="79" spans="1:31" ht="99.95" customHeight="1">
      <c r="A79" s="268" t="s">
        <v>687</v>
      </c>
      <c r="B79" s="268" t="s">
        <v>687</v>
      </c>
      <c r="C79" s="269" t="s">
        <v>177</v>
      </c>
      <c r="D79" s="286" t="s">
        <v>178</v>
      </c>
      <c r="E79" s="279" t="s">
        <v>179</v>
      </c>
      <c r="F79" s="272">
        <v>43921</v>
      </c>
      <c r="G79" s="281" t="s">
        <v>567</v>
      </c>
      <c r="H79" s="281"/>
      <c r="I79" s="282" t="s">
        <v>343</v>
      </c>
      <c r="J79" s="283"/>
      <c r="K79" s="284" t="s">
        <v>686</v>
      </c>
      <c r="L79" s="284"/>
      <c r="M79" s="281"/>
      <c r="N79" s="290" t="s">
        <v>343</v>
      </c>
      <c r="O79" s="283"/>
      <c r="P79" s="284" t="s">
        <v>712</v>
      </c>
      <c r="Q79" s="276"/>
      <c r="R79" s="281"/>
      <c r="S79" s="282" t="s">
        <v>343</v>
      </c>
      <c r="T79" s="283"/>
      <c r="U79" s="354" t="s">
        <v>712</v>
      </c>
      <c r="V79" s="355"/>
      <c r="W79" s="352" t="s">
        <v>334</v>
      </c>
      <c r="X79" s="356"/>
      <c r="Y79" s="285" t="s">
        <v>280</v>
      </c>
      <c r="Z79" s="268" t="s">
        <v>273</v>
      </c>
      <c r="AA79" s="268" t="s">
        <v>269</v>
      </c>
      <c r="AB79" s="268" t="s">
        <v>276</v>
      </c>
      <c r="AC79" s="268" t="s">
        <v>269</v>
      </c>
      <c r="AD79" s="268" t="s">
        <v>363</v>
      </c>
      <c r="AE79" s="278">
        <v>76</v>
      </c>
    </row>
    <row r="80" spans="1:31" ht="99.95" customHeight="1">
      <c r="A80" s="268" t="s">
        <v>312</v>
      </c>
      <c r="B80" s="268" t="s">
        <v>312</v>
      </c>
      <c r="C80" s="269" t="s">
        <v>180</v>
      </c>
      <c r="D80" s="270" t="s">
        <v>181</v>
      </c>
      <c r="E80" s="271" t="s">
        <v>182</v>
      </c>
      <c r="F80" s="272">
        <v>43769</v>
      </c>
      <c r="G80" s="273" t="s">
        <v>481</v>
      </c>
      <c r="H80" s="273"/>
      <c r="I80" s="274" t="s">
        <v>343</v>
      </c>
      <c r="J80" s="275"/>
      <c r="K80" s="276" t="s">
        <v>590</v>
      </c>
      <c r="L80" s="276"/>
      <c r="M80" s="273"/>
      <c r="N80" s="274" t="s">
        <v>343</v>
      </c>
      <c r="O80" s="275" t="s">
        <v>591</v>
      </c>
      <c r="P80" s="276" t="s">
        <v>723</v>
      </c>
      <c r="Q80" s="276"/>
      <c r="R80" s="273"/>
      <c r="S80" s="274" t="s">
        <v>334</v>
      </c>
      <c r="T80" s="275"/>
      <c r="U80" s="350"/>
      <c r="V80" s="351"/>
      <c r="W80" s="352" t="s">
        <v>334</v>
      </c>
      <c r="X80" s="353"/>
      <c r="Y80" s="277" t="s">
        <v>283</v>
      </c>
      <c r="Z80" s="268" t="s">
        <v>274</v>
      </c>
      <c r="AA80" s="268" t="s">
        <v>311</v>
      </c>
      <c r="AB80" s="268" t="s">
        <v>276</v>
      </c>
      <c r="AC80" s="268" t="s">
        <v>271</v>
      </c>
      <c r="AD80" s="268" t="s">
        <v>363</v>
      </c>
      <c r="AE80" s="278">
        <v>77</v>
      </c>
    </row>
    <row r="81" spans="1:31" ht="99.95" customHeight="1">
      <c r="A81" s="268" t="s">
        <v>275</v>
      </c>
      <c r="B81" s="268" t="s">
        <v>275</v>
      </c>
      <c r="C81" s="269" t="s">
        <v>183</v>
      </c>
      <c r="D81" s="270" t="s">
        <v>184</v>
      </c>
      <c r="E81" s="271" t="s">
        <v>185</v>
      </c>
      <c r="F81" s="280">
        <v>43830</v>
      </c>
      <c r="G81" s="273"/>
      <c r="H81" s="273"/>
      <c r="I81" s="274" t="s">
        <v>347</v>
      </c>
      <c r="J81" s="275"/>
      <c r="K81" s="276" t="s">
        <v>667</v>
      </c>
      <c r="L81" s="276"/>
      <c r="M81" s="273"/>
      <c r="N81" s="274" t="s">
        <v>347</v>
      </c>
      <c r="O81" s="275"/>
      <c r="P81" s="276" t="s">
        <v>706</v>
      </c>
      <c r="Q81" s="276"/>
      <c r="R81" s="273"/>
      <c r="S81" s="274" t="s">
        <v>343</v>
      </c>
      <c r="T81" s="275" t="s">
        <v>717</v>
      </c>
      <c r="U81" s="350" t="s">
        <v>780</v>
      </c>
      <c r="V81" s="351"/>
      <c r="W81" s="352" t="s">
        <v>334</v>
      </c>
      <c r="X81" s="353"/>
      <c r="Y81" s="277" t="s">
        <v>283</v>
      </c>
      <c r="Z81" s="268" t="s">
        <v>275</v>
      </c>
      <c r="AA81" s="268" t="s">
        <v>313</v>
      </c>
      <c r="AB81" s="268" t="s">
        <v>276</v>
      </c>
      <c r="AC81" s="268" t="s">
        <v>271</v>
      </c>
      <c r="AD81" s="268" t="s">
        <v>363</v>
      </c>
      <c r="AE81" s="278">
        <v>78</v>
      </c>
    </row>
    <row r="82" spans="1:31" ht="138" customHeight="1">
      <c r="A82" s="268" t="s">
        <v>312</v>
      </c>
      <c r="B82" s="268" t="s">
        <v>312</v>
      </c>
      <c r="C82" s="269" t="s">
        <v>186</v>
      </c>
      <c r="D82" s="270" t="s">
        <v>187</v>
      </c>
      <c r="E82" s="279" t="s">
        <v>188</v>
      </c>
      <c r="F82" s="272">
        <v>43921</v>
      </c>
      <c r="G82" s="281"/>
      <c r="H82" s="281"/>
      <c r="I82" s="282" t="s">
        <v>347</v>
      </c>
      <c r="J82" s="283"/>
      <c r="K82" s="284"/>
      <c r="L82" s="284"/>
      <c r="M82" s="281"/>
      <c r="N82" s="282" t="s">
        <v>347</v>
      </c>
      <c r="O82" s="283"/>
      <c r="P82" s="284"/>
      <c r="Q82" s="284"/>
      <c r="R82" s="281"/>
      <c r="S82" s="282" t="s">
        <v>347</v>
      </c>
      <c r="T82" s="283"/>
      <c r="U82" s="354" t="s">
        <v>779</v>
      </c>
      <c r="V82" s="355"/>
      <c r="W82" s="352" t="s">
        <v>334</v>
      </c>
      <c r="X82" s="356"/>
      <c r="Y82" s="285" t="s">
        <v>280</v>
      </c>
      <c r="Z82" s="268" t="s">
        <v>274</v>
      </c>
      <c r="AA82" s="268" t="s">
        <v>311</v>
      </c>
      <c r="AB82" s="268" t="s">
        <v>276</v>
      </c>
      <c r="AC82" s="268" t="s">
        <v>271</v>
      </c>
      <c r="AD82" s="268" t="s">
        <v>363</v>
      </c>
      <c r="AE82" s="278">
        <v>79</v>
      </c>
    </row>
    <row r="83" spans="1:31" ht="99.95" customHeight="1">
      <c r="A83" s="268" t="s">
        <v>312</v>
      </c>
      <c r="B83" s="268" t="s">
        <v>312</v>
      </c>
      <c r="C83" s="269" t="s">
        <v>189</v>
      </c>
      <c r="D83" s="270" t="s">
        <v>190</v>
      </c>
      <c r="E83" s="279" t="s">
        <v>191</v>
      </c>
      <c r="F83" s="272">
        <v>43769</v>
      </c>
      <c r="G83" s="281" t="s">
        <v>573</v>
      </c>
      <c r="H83" s="281"/>
      <c r="I83" s="282" t="s">
        <v>343</v>
      </c>
      <c r="J83" s="283"/>
      <c r="K83" s="284" t="s">
        <v>592</v>
      </c>
      <c r="L83" s="284"/>
      <c r="M83" s="281"/>
      <c r="N83" s="282" t="s">
        <v>343</v>
      </c>
      <c r="O83" s="283"/>
      <c r="P83" s="284" t="s">
        <v>722</v>
      </c>
      <c r="Q83" s="284"/>
      <c r="R83" s="281"/>
      <c r="S83" s="282" t="s">
        <v>334</v>
      </c>
      <c r="T83" s="283"/>
      <c r="U83" s="354"/>
      <c r="V83" s="355"/>
      <c r="W83" s="352" t="s">
        <v>334</v>
      </c>
      <c r="X83" s="356"/>
      <c r="Y83" s="277" t="s">
        <v>283</v>
      </c>
      <c r="Z83" s="268" t="s">
        <v>274</v>
      </c>
      <c r="AA83" s="268" t="s">
        <v>311</v>
      </c>
      <c r="AB83" s="268" t="s">
        <v>276</v>
      </c>
      <c r="AC83" s="268" t="s">
        <v>271</v>
      </c>
      <c r="AD83" s="268" t="s">
        <v>363</v>
      </c>
      <c r="AE83" s="278">
        <v>80</v>
      </c>
    </row>
    <row r="84" spans="1:31" ht="99.95" customHeight="1">
      <c r="A84" s="268" t="s">
        <v>312</v>
      </c>
      <c r="B84" s="268" t="s">
        <v>312</v>
      </c>
      <c r="C84" s="269" t="s">
        <v>192</v>
      </c>
      <c r="D84" s="270" t="s">
        <v>193</v>
      </c>
      <c r="E84" s="279" t="s">
        <v>194</v>
      </c>
      <c r="F84" s="272">
        <v>43921</v>
      </c>
      <c r="G84" s="281" t="s">
        <v>482</v>
      </c>
      <c r="H84" s="281" t="s">
        <v>483</v>
      </c>
      <c r="I84" s="282" t="s">
        <v>343</v>
      </c>
      <c r="J84" s="283" t="s">
        <v>484</v>
      </c>
      <c r="K84" s="284" t="s">
        <v>593</v>
      </c>
      <c r="L84" s="328">
        <v>2</v>
      </c>
      <c r="M84" s="327">
        <v>3</v>
      </c>
      <c r="N84" s="282" t="s">
        <v>343</v>
      </c>
      <c r="O84" s="283" t="s">
        <v>594</v>
      </c>
      <c r="P84" s="284" t="s">
        <v>718</v>
      </c>
      <c r="Q84" s="328">
        <v>2</v>
      </c>
      <c r="R84" s="281"/>
      <c r="S84" s="282" t="s">
        <v>343</v>
      </c>
      <c r="T84" s="283"/>
      <c r="U84" s="354" t="s">
        <v>836</v>
      </c>
      <c r="V84" s="378">
        <v>3</v>
      </c>
      <c r="W84" s="352" t="s">
        <v>334</v>
      </c>
      <c r="X84" s="356"/>
      <c r="Y84" s="285" t="s">
        <v>280</v>
      </c>
      <c r="Z84" s="268" t="s">
        <v>274</v>
      </c>
      <c r="AA84" s="268" t="s">
        <v>311</v>
      </c>
      <c r="AB84" s="268" t="s">
        <v>276</v>
      </c>
      <c r="AC84" s="268" t="s">
        <v>271</v>
      </c>
      <c r="AD84" s="268" t="s">
        <v>363</v>
      </c>
      <c r="AE84" s="278">
        <v>81</v>
      </c>
    </row>
    <row r="85" spans="1:31" ht="99.95" customHeight="1">
      <c r="A85" s="268" t="s">
        <v>312</v>
      </c>
      <c r="B85" s="268" t="s">
        <v>312</v>
      </c>
      <c r="C85" s="269" t="s">
        <v>195</v>
      </c>
      <c r="D85" s="270" t="s">
        <v>196</v>
      </c>
      <c r="E85" s="279" t="s">
        <v>197</v>
      </c>
      <c r="F85" s="272">
        <v>43921</v>
      </c>
      <c r="G85" s="281" t="s">
        <v>551</v>
      </c>
      <c r="H85" s="281"/>
      <c r="I85" s="282" t="s">
        <v>343</v>
      </c>
      <c r="J85" s="283" t="s">
        <v>485</v>
      </c>
      <c r="K85" s="284" t="s">
        <v>595</v>
      </c>
      <c r="L85" s="284"/>
      <c r="M85" s="281"/>
      <c r="N85" s="282" t="s">
        <v>343</v>
      </c>
      <c r="O85" s="283" t="s">
        <v>596</v>
      </c>
      <c r="P85" s="284" t="s">
        <v>762</v>
      </c>
      <c r="Q85" s="284"/>
      <c r="R85" s="281"/>
      <c r="S85" s="282" t="s">
        <v>343</v>
      </c>
      <c r="T85" s="283"/>
      <c r="U85" s="354" t="s">
        <v>776</v>
      </c>
      <c r="V85" s="355"/>
      <c r="W85" s="352" t="s">
        <v>334</v>
      </c>
      <c r="X85" s="356"/>
      <c r="Y85" s="285" t="s">
        <v>280</v>
      </c>
      <c r="Z85" s="268" t="s">
        <v>274</v>
      </c>
      <c r="AA85" s="268" t="s">
        <v>311</v>
      </c>
      <c r="AB85" s="268" t="s">
        <v>276</v>
      </c>
      <c r="AC85" s="268" t="s">
        <v>271</v>
      </c>
      <c r="AD85" s="268" t="s">
        <v>363</v>
      </c>
      <c r="AE85" s="278">
        <v>82</v>
      </c>
    </row>
    <row r="86" spans="1:31" ht="99.95" customHeight="1">
      <c r="A86" s="268" t="s">
        <v>365</v>
      </c>
      <c r="B86" s="268" t="s">
        <v>365</v>
      </c>
      <c r="C86" s="269" t="s">
        <v>198</v>
      </c>
      <c r="D86" s="286" t="s">
        <v>199</v>
      </c>
      <c r="E86" s="279" t="s">
        <v>200</v>
      </c>
      <c r="F86" s="272">
        <v>43921</v>
      </c>
      <c r="G86" s="281" t="s">
        <v>504</v>
      </c>
      <c r="H86" s="281"/>
      <c r="I86" s="282" t="s">
        <v>343</v>
      </c>
      <c r="J86" s="283"/>
      <c r="K86" s="284" t="s">
        <v>639</v>
      </c>
      <c r="L86" s="284" t="s">
        <v>663</v>
      </c>
      <c r="M86" s="281"/>
      <c r="N86" s="282" t="s">
        <v>343</v>
      </c>
      <c r="O86" s="283"/>
      <c r="P86" s="284" t="s">
        <v>726</v>
      </c>
      <c r="Q86" s="284"/>
      <c r="R86" s="281"/>
      <c r="S86" s="282" t="s">
        <v>343</v>
      </c>
      <c r="T86" s="283"/>
      <c r="U86" s="354" t="s">
        <v>828</v>
      </c>
      <c r="V86" s="355"/>
      <c r="W86" s="352" t="s">
        <v>334</v>
      </c>
      <c r="X86" s="356"/>
      <c r="Y86" s="285" t="s">
        <v>280</v>
      </c>
      <c r="Z86" s="268" t="s">
        <v>275</v>
      </c>
      <c r="AA86" s="268" t="s">
        <v>364</v>
      </c>
      <c r="AB86" s="268" t="s">
        <v>276</v>
      </c>
      <c r="AC86" s="268" t="s">
        <v>271</v>
      </c>
      <c r="AD86" s="268" t="s">
        <v>366</v>
      </c>
      <c r="AE86" s="278">
        <v>83</v>
      </c>
    </row>
    <row r="87" spans="1:31" ht="119.25" customHeight="1">
      <c r="A87" s="268" t="s">
        <v>365</v>
      </c>
      <c r="B87" s="268" t="s">
        <v>365</v>
      </c>
      <c r="C87" s="269" t="s">
        <v>201</v>
      </c>
      <c r="D87" s="286" t="s">
        <v>199</v>
      </c>
      <c r="E87" s="279" t="s">
        <v>202</v>
      </c>
      <c r="F87" s="280">
        <v>43738</v>
      </c>
      <c r="G87" s="319" t="s">
        <v>560</v>
      </c>
      <c r="H87" s="281"/>
      <c r="I87" s="282" t="s">
        <v>343</v>
      </c>
      <c r="J87" s="283"/>
      <c r="K87" s="284" t="s">
        <v>640</v>
      </c>
      <c r="L87" s="284"/>
      <c r="M87" s="281"/>
      <c r="N87" s="282" t="s">
        <v>334</v>
      </c>
      <c r="O87" s="283"/>
      <c r="P87" s="284"/>
      <c r="Q87" s="284"/>
      <c r="R87" s="281"/>
      <c r="S87" s="274" t="s">
        <v>334</v>
      </c>
      <c r="T87" s="283"/>
      <c r="U87" s="354"/>
      <c r="V87" s="355"/>
      <c r="W87" s="352" t="s">
        <v>334</v>
      </c>
      <c r="X87" s="356"/>
      <c r="Y87" s="285" t="s">
        <v>282</v>
      </c>
      <c r="Z87" s="268" t="s">
        <v>275</v>
      </c>
      <c r="AA87" s="268" t="s">
        <v>364</v>
      </c>
      <c r="AB87" s="268" t="s">
        <v>276</v>
      </c>
      <c r="AC87" s="268" t="s">
        <v>271</v>
      </c>
      <c r="AD87" s="268" t="s">
        <v>366</v>
      </c>
      <c r="AE87" s="278">
        <v>84</v>
      </c>
    </row>
    <row r="88" spans="1:31" ht="99.95" customHeight="1">
      <c r="A88" s="268" t="s">
        <v>365</v>
      </c>
      <c r="B88" s="268" t="s">
        <v>365</v>
      </c>
      <c r="C88" s="269" t="s">
        <v>203</v>
      </c>
      <c r="D88" s="286" t="s">
        <v>204</v>
      </c>
      <c r="E88" s="279" t="s">
        <v>205</v>
      </c>
      <c r="F88" s="272">
        <v>43921</v>
      </c>
      <c r="G88" s="281" t="s">
        <v>552</v>
      </c>
      <c r="H88" s="281"/>
      <c r="I88" s="282" t="s">
        <v>347</v>
      </c>
      <c r="J88" s="283"/>
      <c r="K88" s="284" t="s">
        <v>638</v>
      </c>
      <c r="L88" s="284"/>
      <c r="M88" s="281"/>
      <c r="N88" s="282" t="s">
        <v>343</v>
      </c>
      <c r="O88" s="283"/>
      <c r="P88" s="284" t="s">
        <v>725</v>
      </c>
      <c r="Q88" s="284"/>
      <c r="R88" s="281"/>
      <c r="S88" s="282" t="s">
        <v>343</v>
      </c>
      <c r="T88" s="283"/>
      <c r="U88" s="354" t="s">
        <v>795</v>
      </c>
      <c r="V88" s="355"/>
      <c r="W88" s="352" t="s">
        <v>334</v>
      </c>
      <c r="X88" s="356"/>
      <c r="Y88" s="285" t="s">
        <v>280</v>
      </c>
      <c r="Z88" s="268" t="s">
        <v>275</v>
      </c>
      <c r="AA88" s="268" t="s">
        <v>364</v>
      </c>
      <c r="AB88" s="268" t="s">
        <v>276</v>
      </c>
      <c r="AC88" s="268" t="s">
        <v>271</v>
      </c>
      <c r="AD88" s="268" t="s">
        <v>366</v>
      </c>
      <c r="AE88" s="278">
        <v>85</v>
      </c>
    </row>
    <row r="89" spans="1:31" ht="99.95" customHeight="1">
      <c r="A89" s="268" t="s">
        <v>299</v>
      </c>
      <c r="B89" s="268" t="s">
        <v>299</v>
      </c>
      <c r="C89" s="269" t="s">
        <v>206</v>
      </c>
      <c r="D89" s="286" t="s">
        <v>207</v>
      </c>
      <c r="E89" s="279" t="s">
        <v>208</v>
      </c>
      <c r="F89" s="272">
        <v>43769</v>
      </c>
      <c r="G89" s="281" t="s">
        <v>553</v>
      </c>
      <c r="H89" s="281"/>
      <c r="I89" s="282" t="s">
        <v>343</v>
      </c>
      <c r="J89" s="283"/>
      <c r="K89" s="284" t="s">
        <v>642</v>
      </c>
      <c r="L89" s="284"/>
      <c r="M89" s="281"/>
      <c r="N89" s="282" t="s">
        <v>343</v>
      </c>
      <c r="O89" s="283"/>
      <c r="P89" s="284" t="s">
        <v>727</v>
      </c>
      <c r="Q89" s="284"/>
      <c r="R89" s="281"/>
      <c r="S89" s="282" t="s">
        <v>334</v>
      </c>
      <c r="T89" s="283"/>
      <c r="U89" s="354"/>
      <c r="V89" s="355"/>
      <c r="W89" s="352" t="s">
        <v>334</v>
      </c>
      <c r="X89" s="356"/>
      <c r="Y89" s="277" t="s">
        <v>283</v>
      </c>
      <c r="Z89" s="268" t="s">
        <v>275</v>
      </c>
      <c r="AA89" s="268" t="s">
        <v>300</v>
      </c>
      <c r="AB89" s="268" t="s">
        <v>277</v>
      </c>
      <c r="AC89" s="268" t="s">
        <v>266</v>
      </c>
      <c r="AD89" s="268" t="s">
        <v>420</v>
      </c>
      <c r="AE89" s="278">
        <v>86</v>
      </c>
    </row>
    <row r="90" spans="1:31" ht="99.95" customHeight="1">
      <c r="A90" s="268" t="s">
        <v>299</v>
      </c>
      <c r="B90" s="268" t="s">
        <v>299</v>
      </c>
      <c r="C90" s="269" t="s">
        <v>209</v>
      </c>
      <c r="D90" s="286" t="s">
        <v>210</v>
      </c>
      <c r="E90" s="279" t="s">
        <v>211</v>
      </c>
      <c r="F90" s="280">
        <v>43738</v>
      </c>
      <c r="G90" s="281" t="s">
        <v>554</v>
      </c>
      <c r="H90" s="281"/>
      <c r="I90" s="282" t="s">
        <v>347</v>
      </c>
      <c r="J90" s="283"/>
      <c r="K90" s="284" t="s">
        <v>643</v>
      </c>
      <c r="L90" s="284"/>
      <c r="M90" s="281"/>
      <c r="N90" s="282" t="s">
        <v>334</v>
      </c>
      <c r="O90" s="283"/>
      <c r="P90" s="284" t="s">
        <v>756</v>
      </c>
      <c r="Q90" s="284"/>
      <c r="R90" s="281"/>
      <c r="S90" s="274" t="s">
        <v>334</v>
      </c>
      <c r="T90" s="283"/>
      <c r="U90" s="354"/>
      <c r="V90" s="355"/>
      <c r="W90" s="352" t="s">
        <v>334</v>
      </c>
      <c r="X90" s="356"/>
      <c r="Y90" s="285" t="s">
        <v>282</v>
      </c>
      <c r="Z90" s="268" t="s">
        <v>275</v>
      </c>
      <c r="AA90" s="268" t="s">
        <v>300</v>
      </c>
      <c r="AB90" s="268" t="s">
        <v>277</v>
      </c>
      <c r="AC90" s="268" t="s">
        <v>266</v>
      </c>
      <c r="AD90" s="268" t="s">
        <v>420</v>
      </c>
      <c r="AE90" s="278">
        <v>87</v>
      </c>
    </row>
    <row r="91" spans="1:31" ht="154.5" customHeight="1">
      <c r="A91" s="268" t="s">
        <v>299</v>
      </c>
      <c r="B91" s="268" t="s">
        <v>299</v>
      </c>
      <c r="C91" s="269" t="s">
        <v>212</v>
      </c>
      <c r="D91" s="286" t="s">
        <v>210</v>
      </c>
      <c r="E91" s="279" t="s">
        <v>213</v>
      </c>
      <c r="F91" s="280">
        <v>43799</v>
      </c>
      <c r="G91" s="281" t="s">
        <v>493</v>
      </c>
      <c r="H91" s="281"/>
      <c r="I91" s="282" t="s">
        <v>347</v>
      </c>
      <c r="J91" s="283"/>
      <c r="K91" s="284" t="s">
        <v>644</v>
      </c>
      <c r="L91" s="284"/>
      <c r="M91" s="281"/>
      <c r="N91" s="282" t="s">
        <v>338</v>
      </c>
      <c r="O91" s="283"/>
      <c r="P91" s="284" t="s">
        <v>757</v>
      </c>
      <c r="Q91" s="284"/>
      <c r="R91" s="281"/>
      <c r="S91" s="282" t="s">
        <v>338</v>
      </c>
      <c r="T91" s="283" t="s">
        <v>728</v>
      </c>
      <c r="U91" s="354"/>
      <c r="V91" s="355"/>
      <c r="W91" s="352" t="s">
        <v>338</v>
      </c>
      <c r="X91" s="356"/>
      <c r="Y91" s="277" t="s">
        <v>283</v>
      </c>
      <c r="Z91" s="268" t="s">
        <v>275</v>
      </c>
      <c r="AA91" s="268" t="s">
        <v>300</v>
      </c>
      <c r="AB91" s="268" t="s">
        <v>277</v>
      </c>
      <c r="AC91" s="268" t="s">
        <v>266</v>
      </c>
      <c r="AD91" s="268" t="s">
        <v>420</v>
      </c>
      <c r="AE91" s="278">
        <v>88</v>
      </c>
    </row>
    <row r="92" spans="1:31" ht="99.95" customHeight="1">
      <c r="A92" s="268" t="s">
        <v>301</v>
      </c>
      <c r="B92" s="268" t="s">
        <v>301</v>
      </c>
      <c r="C92" s="269" t="s">
        <v>214</v>
      </c>
      <c r="D92" s="270" t="s">
        <v>215</v>
      </c>
      <c r="E92" s="296" t="s">
        <v>216</v>
      </c>
      <c r="F92" s="302"/>
      <c r="G92" s="303" t="s">
        <v>505</v>
      </c>
      <c r="H92" s="303"/>
      <c r="I92" s="304" t="s">
        <v>347</v>
      </c>
      <c r="J92" s="305"/>
      <c r="K92" s="306" t="s">
        <v>614</v>
      </c>
      <c r="L92" s="306"/>
      <c r="M92" s="303"/>
      <c r="N92" s="304" t="s">
        <v>343</v>
      </c>
      <c r="O92" s="305"/>
      <c r="P92" s="306" t="s">
        <v>701</v>
      </c>
      <c r="Q92" s="306"/>
      <c r="R92" s="303"/>
      <c r="S92" s="304" t="s">
        <v>343</v>
      </c>
      <c r="T92" s="305"/>
      <c r="U92" s="369">
        <v>0</v>
      </c>
      <c r="V92" s="370">
        <v>0</v>
      </c>
      <c r="W92" s="352" t="s">
        <v>334</v>
      </c>
      <c r="X92" s="366"/>
      <c r="Y92" s="307" t="s">
        <v>284</v>
      </c>
      <c r="Z92" s="268" t="s">
        <v>273</v>
      </c>
      <c r="AA92" s="268" t="s">
        <v>267</v>
      </c>
      <c r="AB92" s="268" t="s">
        <v>277</v>
      </c>
      <c r="AC92" s="268" t="s">
        <v>267</v>
      </c>
      <c r="AD92" s="268" t="s">
        <v>367</v>
      </c>
      <c r="AE92" s="278">
        <v>89</v>
      </c>
    </row>
    <row r="93" spans="1:31" ht="99.95" customHeight="1">
      <c r="A93" s="268" t="s">
        <v>301</v>
      </c>
      <c r="B93" s="268" t="s">
        <v>301</v>
      </c>
      <c r="C93" s="269" t="s">
        <v>217</v>
      </c>
      <c r="D93" s="270" t="s">
        <v>218</v>
      </c>
      <c r="E93" s="296" t="s">
        <v>216</v>
      </c>
      <c r="F93" s="302"/>
      <c r="G93" s="303" t="s">
        <v>505</v>
      </c>
      <c r="H93" s="303"/>
      <c r="I93" s="304" t="s">
        <v>347</v>
      </c>
      <c r="J93" s="305"/>
      <c r="K93" s="306" t="s">
        <v>614</v>
      </c>
      <c r="L93" s="306"/>
      <c r="M93" s="303"/>
      <c r="N93" s="304" t="s">
        <v>343</v>
      </c>
      <c r="O93" s="305"/>
      <c r="P93" s="306" t="s">
        <v>701</v>
      </c>
      <c r="Q93" s="306"/>
      <c r="R93" s="303"/>
      <c r="S93" s="304" t="s">
        <v>343</v>
      </c>
      <c r="T93" s="305"/>
      <c r="U93" s="369">
        <v>0</v>
      </c>
      <c r="V93" s="370">
        <v>0</v>
      </c>
      <c r="W93" s="352" t="s">
        <v>334</v>
      </c>
      <c r="X93" s="366"/>
      <c r="Y93" s="293" t="s">
        <v>284</v>
      </c>
      <c r="Z93" s="268" t="s">
        <v>273</v>
      </c>
      <c r="AA93" s="268" t="s">
        <v>267</v>
      </c>
      <c r="AB93" s="268" t="s">
        <v>277</v>
      </c>
      <c r="AC93" s="268" t="s">
        <v>267</v>
      </c>
      <c r="AD93" s="268" t="s">
        <v>367</v>
      </c>
      <c r="AE93" s="278">
        <v>90</v>
      </c>
    </row>
    <row r="94" spans="1:31" ht="99.95" customHeight="1">
      <c r="A94" s="268" t="s">
        <v>301</v>
      </c>
      <c r="B94" s="268" t="s">
        <v>301</v>
      </c>
      <c r="C94" s="269" t="s">
        <v>219</v>
      </c>
      <c r="D94" s="270" t="s">
        <v>220</v>
      </c>
      <c r="E94" s="296" t="s">
        <v>216</v>
      </c>
      <c r="F94" s="302"/>
      <c r="G94" s="303" t="s">
        <v>505</v>
      </c>
      <c r="H94" s="303"/>
      <c r="I94" s="304" t="s">
        <v>347</v>
      </c>
      <c r="J94" s="305"/>
      <c r="K94" s="306" t="s">
        <v>614</v>
      </c>
      <c r="L94" s="306"/>
      <c r="M94" s="303"/>
      <c r="N94" s="304" t="s">
        <v>343</v>
      </c>
      <c r="O94" s="305"/>
      <c r="P94" s="306" t="s">
        <v>701</v>
      </c>
      <c r="Q94" s="306"/>
      <c r="R94" s="303"/>
      <c r="S94" s="304" t="s">
        <v>343</v>
      </c>
      <c r="T94" s="305"/>
      <c r="U94" s="369">
        <v>0</v>
      </c>
      <c r="V94" s="370">
        <v>0</v>
      </c>
      <c r="W94" s="352" t="s">
        <v>334</v>
      </c>
      <c r="X94" s="366"/>
      <c r="Y94" s="293" t="s">
        <v>284</v>
      </c>
      <c r="Z94" s="268" t="s">
        <v>273</v>
      </c>
      <c r="AA94" s="268" t="s">
        <v>267</v>
      </c>
      <c r="AB94" s="268" t="s">
        <v>277</v>
      </c>
      <c r="AC94" s="268" t="s">
        <v>267</v>
      </c>
      <c r="AD94" s="268" t="s">
        <v>367</v>
      </c>
      <c r="AE94" s="278">
        <v>91</v>
      </c>
    </row>
    <row r="95" spans="1:31" ht="99.95" customHeight="1">
      <c r="A95" s="268" t="s">
        <v>301</v>
      </c>
      <c r="B95" s="268" t="s">
        <v>301</v>
      </c>
      <c r="C95" s="269" t="s">
        <v>221</v>
      </c>
      <c r="D95" s="270" t="s">
        <v>222</v>
      </c>
      <c r="E95" s="296" t="s">
        <v>216</v>
      </c>
      <c r="F95" s="302"/>
      <c r="G95" s="303" t="s">
        <v>505</v>
      </c>
      <c r="H95" s="303"/>
      <c r="I95" s="304" t="s">
        <v>347</v>
      </c>
      <c r="J95" s="305"/>
      <c r="K95" s="306" t="s">
        <v>614</v>
      </c>
      <c r="L95" s="306"/>
      <c r="M95" s="303"/>
      <c r="N95" s="304" t="s">
        <v>343</v>
      </c>
      <c r="O95" s="305"/>
      <c r="P95" s="306" t="s">
        <v>701</v>
      </c>
      <c r="Q95" s="306"/>
      <c r="R95" s="303"/>
      <c r="S95" s="304" t="s">
        <v>343</v>
      </c>
      <c r="T95" s="305"/>
      <c r="U95" s="369">
        <v>0</v>
      </c>
      <c r="V95" s="370">
        <v>0</v>
      </c>
      <c r="W95" s="352" t="s">
        <v>334</v>
      </c>
      <c r="X95" s="366"/>
      <c r="Y95" s="293" t="s">
        <v>284</v>
      </c>
      <c r="Z95" s="268" t="s">
        <v>273</v>
      </c>
      <c r="AA95" s="268" t="s">
        <v>267</v>
      </c>
      <c r="AB95" s="268" t="s">
        <v>277</v>
      </c>
      <c r="AC95" s="268" t="s">
        <v>267</v>
      </c>
      <c r="AD95" s="268" t="s">
        <v>367</v>
      </c>
      <c r="AE95" s="278">
        <v>92</v>
      </c>
    </row>
    <row r="96" spans="1:31" ht="99.95" customHeight="1">
      <c r="A96" s="268" t="s">
        <v>301</v>
      </c>
      <c r="B96" s="268" t="s">
        <v>301</v>
      </c>
      <c r="C96" s="269" t="s">
        <v>223</v>
      </c>
      <c r="D96" s="270" t="s">
        <v>224</v>
      </c>
      <c r="E96" s="279" t="s">
        <v>262</v>
      </c>
      <c r="F96" s="308"/>
      <c r="G96" s="303" t="s">
        <v>506</v>
      </c>
      <c r="H96" s="303"/>
      <c r="I96" s="304" t="s">
        <v>343</v>
      </c>
      <c r="J96" s="305"/>
      <c r="K96" s="306" t="s">
        <v>615</v>
      </c>
      <c r="L96" s="306" t="s">
        <v>616</v>
      </c>
      <c r="M96" s="303"/>
      <c r="N96" s="304" t="s">
        <v>343</v>
      </c>
      <c r="O96" s="305"/>
      <c r="P96" s="306" t="s">
        <v>713</v>
      </c>
      <c r="Q96" s="306" t="s">
        <v>715</v>
      </c>
      <c r="R96" s="303"/>
      <c r="S96" s="304" t="s">
        <v>343</v>
      </c>
      <c r="T96" s="305"/>
      <c r="U96" s="364" t="s">
        <v>802</v>
      </c>
      <c r="V96" s="365" t="s">
        <v>804</v>
      </c>
      <c r="W96" s="352" t="s">
        <v>335</v>
      </c>
      <c r="X96" s="366"/>
      <c r="Y96" s="293" t="s">
        <v>284</v>
      </c>
      <c r="Z96" s="268" t="s">
        <v>273</v>
      </c>
      <c r="AA96" s="268" t="s">
        <v>267</v>
      </c>
      <c r="AB96" s="268" t="s">
        <v>277</v>
      </c>
      <c r="AC96" s="268" t="s">
        <v>267</v>
      </c>
      <c r="AD96" s="268" t="s">
        <v>367</v>
      </c>
      <c r="AE96" s="278">
        <v>93</v>
      </c>
    </row>
    <row r="97" spans="1:31" ht="99.95" customHeight="1">
      <c r="A97" s="268" t="s">
        <v>301</v>
      </c>
      <c r="B97" s="268" t="s">
        <v>301</v>
      </c>
      <c r="C97" s="269" t="s">
        <v>225</v>
      </c>
      <c r="D97" s="270" t="s">
        <v>226</v>
      </c>
      <c r="E97" s="279" t="s">
        <v>263</v>
      </c>
      <c r="F97" s="308"/>
      <c r="G97" s="303" t="s">
        <v>507</v>
      </c>
      <c r="H97" s="303"/>
      <c r="I97" s="304" t="s">
        <v>343</v>
      </c>
      <c r="J97" s="305"/>
      <c r="K97" s="306" t="s">
        <v>617</v>
      </c>
      <c r="L97" s="306" t="s">
        <v>618</v>
      </c>
      <c r="M97" s="303"/>
      <c r="N97" s="304" t="s">
        <v>343</v>
      </c>
      <c r="O97" s="305"/>
      <c r="P97" s="306" t="s">
        <v>714</v>
      </c>
      <c r="Q97" s="306" t="s">
        <v>716</v>
      </c>
      <c r="R97" s="303"/>
      <c r="S97" s="304" t="s">
        <v>343</v>
      </c>
      <c r="T97" s="305"/>
      <c r="U97" s="364" t="s">
        <v>803</v>
      </c>
      <c r="V97" s="365" t="s">
        <v>805</v>
      </c>
      <c r="W97" s="352" t="s">
        <v>335</v>
      </c>
      <c r="X97" s="366"/>
      <c r="Y97" s="293" t="s">
        <v>284</v>
      </c>
      <c r="Z97" s="268" t="s">
        <v>273</v>
      </c>
      <c r="AA97" s="268" t="s">
        <v>267</v>
      </c>
      <c r="AB97" s="268" t="s">
        <v>277</v>
      </c>
      <c r="AC97" s="268" t="s">
        <v>267</v>
      </c>
      <c r="AD97" s="268" t="s">
        <v>367</v>
      </c>
      <c r="AE97" s="278">
        <v>94</v>
      </c>
    </row>
    <row r="98" spans="1:31" ht="99.95" customHeight="1">
      <c r="A98" s="268" t="s">
        <v>315</v>
      </c>
      <c r="B98" s="268" t="s">
        <v>315</v>
      </c>
      <c r="C98" s="269" t="s">
        <v>227</v>
      </c>
      <c r="D98" s="286" t="s">
        <v>228</v>
      </c>
      <c r="E98" s="279" t="s">
        <v>229</v>
      </c>
      <c r="F98" s="302"/>
      <c r="G98" s="303" t="s">
        <v>521</v>
      </c>
      <c r="H98" s="303" t="s">
        <v>516</v>
      </c>
      <c r="I98" s="304" t="s">
        <v>343</v>
      </c>
      <c r="J98" s="305" t="s">
        <v>675</v>
      </c>
      <c r="K98" s="306" t="s">
        <v>630</v>
      </c>
      <c r="L98" s="306" t="s">
        <v>631</v>
      </c>
      <c r="M98" s="303" t="s">
        <v>631</v>
      </c>
      <c r="N98" s="304" t="s">
        <v>343</v>
      </c>
      <c r="O98" s="305"/>
      <c r="P98" s="306" t="s">
        <v>731</v>
      </c>
      <c r="Q98" s="306" t="s">
        <v>730</v>
      </c>
      <c r="R98" s="303" t="s">
        <v>516</v>
      </c>
      <c r="S98" s="304" t="s">
        <v>343</v>
      </c>
      <c r="T98" s="305"/>
      <c r="U98" s="364" t="s">
        <v>808</v>
      </c>
      <c r="V98" s="365">
        <v>1.25</v>
      </c>
      <c r="W98" s="352" t="s">
        <v>334</v>
      </c>
      <c r="X98" s="366"/>
      <c r="Y98" s="293" t="s">
        <v>284</v>
      </c>
      <c r="Z98" s="268" t="s">
        <v>273</v>
      </c>
      <c r="AA98" s="268" t="s">
        <v>314</v>
      </c>
      <c r="AB98" s="268" t="s">
        <v>277</v>
      </c>
      <c r="AC98" s="268" t="s">
        <v>268</v>
      </c>
      <c r="AD98" s="268" t="s">
        <v>367</v>
      </c>
      <c r="AE98" s="278">
        <v>95</v>
      </c>
    </row>
    <row r="99" spans="1:31" ht="225">
      <c r="A99" s="268" t="s">
        <v>315</v>
      </c>
      <c r="B99" s="268" t="s">
        <v>315</v>
      </c>
      <c r="C99" s="269" t="s">
        <v>230</v>
      </c>
      <c r="D99" s="286" t="s">
        <v>231</v>
      </c>
      <c r="E99" s="279" t="s">
        <v>232</v>
      </c>
      <c r="F99" s="302"/>
      <c r="G99" s="303" t="s">
        <v>576</v>
      </c>
      <c r="H99" s="303" t="s">
        <v>515</v>
      </c>
      <c r="I99" s="304" t="s">
        <v>344</v>
      </c>
      <c r="J99" s="305" t="s">
        <v>676</v>
      </c>
      <c r="K99" s="306" t="s">
        <v>677</v>
      </c>
      <c r="L99" s="306" t="s">
        <v>628</v>
      </c>
      <c r="M99" s="303" t="s">
        <v>515</v>
      </c>
      <c r="N99" s="304" t="s">
        <v>343</v>
      </c>
      <c r="O99" s="303" t="s">
        <v>629</v>
      </c>
      <c r="P99" s="306" t="s">
        <v>766</v>
      </c>
      <c r="Q99" s="306" t="s">
        <v>732</v>
      </c>
      <c r="R99" s="303" t="s">
        <v>515</v>
      </c>
      <c r="S99" s="304" t="s">
        <v>343</v>
      </c>
      <c r="T99" s="305"/>
      <c r="U99" s="364" t="s">
        <v>809</v>
      </c>
      <c r="V99" s="365">
        <v>5.9</v>
      </c>
      <c r="W99" s="352" t="s">
        <v>334</v>
      </c>
      <c r="X99" s="366"/>
      <c r="Y99" s="293" t="s">
        <v>284</v>
      </c>
      <c r="Z99" s="268" t="s">
        <v>273</v>
      </c>
      <c r="AA99" s="268" t="s">
        <v>314</v>
      </c>
      <c r="AB99" s="268" t="s">
        <v>277</v>
      </c>
      <c r="AC99" s="268" t="s">
        <v>268</v>
      </c>
      <c r="AD99" s="268" t="s">
        <v>367</v>
      </c>
      <c r="AE99" s="278">
        <v>96</v>
      </c>
    </row>
    <row r="100" spans="1:31" ht="99.95" customHeight="1">
      <c r="A100" s="268" t="s">
        <v>315</v>
      </c>
      <c r="B100" s="268" t="s">
        <v>315</v>
      </c>
      <c r="C100" s="269" t="s">
        <v>233</v>
      </c>
      <c r="D100" s="286" t="s">
        <v>234</v>
      </c>
      <c r="E100" s="271" t="s">
        <v>235</v>
      </c>
      <c r="F100" s="280">
        <v>43677</v>
      </c>
      <c r="G100" s="281" t="s">
        <v>517</v>
      </c>
      <c r="H100" s="281"/>
      <c r="I100" s="282" t="s">
        <v>343</v>
      </c>
      <c r="J100" s="283"/>
      <c r="K100" s="284" t="s">
        <v>627</v>
      </c>
      <c r="L100" s="284"/>
      <c r="M100" s="281"/>
      <c r="N100" s="282" t="s">
        <v>334</v>
      </c>
      <c r="O100" s="283"/>
      <c r="P100" s="284"/>
      <c r="Q100" s="284"/>
      <c r="R100" s="281"/>
      <c r="S100" s="274" t="s">
        <v>334</v>
      </c>
      <c r="T100" s="283"/>
      <c r="U100" s="354"/>
      <c r="V100" s="355"/>
      <c r="W100" s="352" t="s">
        <v>334</v>
      </c>
      <c r="X100" s="356"/>
      <c r="Y100" s="285" t="s">
        <v>282</v>
      </c>
      <c r="Z100" s="268" t="s">
        <v>273</v>
      </c>
      <c r="AA100" s="268" t="s">
        <v>314</v>
      </c>
      <c r="AB100" s="268" t="s">
        <v>277</v>
      </c>
      <c r="AC100" s="268" t="s">
        <v>268</v>
      </c>
      <c r="AD100" s="268" t="s">
        <v>367</v>
      </c>
      <c r="AE100" s="278">
        <v>97</v>
      </c>
    </row>
    <row r="101" spans="1:31" ht="99.95" customHeight="1">
      <c r="A101" s="268" t="s">
        <v>315</v>
      </c>
      <c r="B101" s="268" t="s">
        <v>315</v>
      </c>
      <c r="C101" s="269" t="s">
        <v>236</v>
      </c>
      <c r="D101" s="286" t="s">
        <v>228</v>
      </c>
      <c r="E101" s="271" t="s">
        <v>237</v>
      </c>
      <c r="F101" s="280">
        <v>43646</v>
      </c>
      <c r="G101" s="281" t="s">
        <v>519</v>
      </c>
      <c r="H101" s="281"/>
      <c r="I101" s="282" t="s">
        <v>334</v>
      </c>
      <c r="J101" s="283" t="s">
        <v>520</v>
      </c>
      <c r="K101" s="284"/>
      <c r="L101" s="284"/>
      <c r="M101" s="281"/>
      <c r="N101" s="274" t="s">
        <v>334</v>
      </c>
      <c r="O101" s="283"/>
      <c r="P101" s="284"/>
      <c r="Q101" s="284"/>
      <c r="R101" s="281"/>
      <c r="S101" s="274" t="s">
        <v>334</v>
      </c>
      <c r="T101" s="283"/>
      <c r="U101" s="354"/>
      <c r="V101" s="355"/>
      <c r="W101" s="352" t="s">
        <v>334</v>
      </c>
      <c r="X101" s="356"/>
      <c r="Y101" s="277" t="s">
        <v>281</v>
      </c>
      <c r="Z101" s="268" t="s">
        <v>273</v>
      </c>
      <c r="AA101" s="268" t="s">
        <v>314</v>
      </c>
      <c r="AB101" s="268" t="s">
        <v>277</v>
      </c>
      <c r="AC101" s="268" t="s">
        <v>268</v>
      </c>
      <c r="AD101" s="268" t="s">
        <v>367</v>
      </c>
      <c r="AE101" s="278">
        <v>98</v>
      </c>
    </row>
    <row r="102" spans="1:31" ht="99.95" customHeight="1">
      <c r="A102" s="268" t="s">
        <v>315</v>
      </c>
      <c r="B102" s="268" t="s">
        <v>315</v>
      </c>
      <c r="C102" s="269" t="s">
        <v>238</v>
      </c>
      <c r="D102" s="286" t="s">
        <v>239</v>
      </c>
      <c r="E102" s="271" t="s">
        <v>240</v>
      </c>
      <c r="F102" s="280">
        <v>43585</v>
      </c>
      <c r="G102" s="281" t="s">
        <v>518</v>
      </c>
      <c r="H102" s="281"/>
      <c r="I102" s="282" t="s">
        <v>334</v>
      </c>
      <c r="J102" s="283" t="s">
        <v>522</v>
      </c>
      <c r="K102" s="284"/>
      <c r="L102" s="284"/>
      <c r="M102" s="281"/>
      <c r="N102" s="274" t="s">
        <v>334</v>
      </c>
      <c r="O102" s="283"/>
      <c r="P102" s="284"/>
      <c r="Q102" s="284"/>
      <c r="R102" s="281"/>
      <c r="S102" s="274" t="s">
        <v>334</v>
      </c>
      <c r="T102" s="283"/>
      <c r="U102" s="354"/>
      <c r="V102" s="355"/>
      <c r="W102" s="352" t="s">
        <v>334</v>
      </c>
      <c r="X102" s="356"/>
      <c r="Y102" s="277" t="s">
        <v>281</v>
      </c>
      <c r="Z102" s="268" t="s">
        <v>273</v>
      </c>
      <c r="AA102" s="268" t="s">
        <v>314</v>
      </c>
      <c r="AB102" s="268" t="s">
        <v>277</v>
      </c>
      <c r="AC102" s="268" t="s">
        <v>268</v>
      </c>
      <c r="AD102" s="268" t="s">
        <v>367</v>
      </c>
      <c r="AE102" s="278">
        <v>99</v>
      </c>
    </row>
    <row r="103" spans="1:31" ht="99.95" customHeight="1">
      <c r="A103" s="268" t="s">
        <v>323</v>
      </c>
      <c r="B103" s="268" t="s">
        <v>323</v>
      </c>
      <c r="C103" s="269" t="s">
        <v>241</v>
      </c>
      <c r="D103" s="286" t="s">
        <v>242</v>
      </c>
      <c r="E103" s="279" t="s">
        <v>678</v>
      </c>
      <c r="F103" s="272">
        <v>43769</v>
      </c>
      <c r="G103" s="281" t="s">
        <v>556</v>
      </c>
      <c r="H103" s="281"/>
      <c r="I103" s="282" t="s">
        <v>343</v>
      </c>
      <c r="J103" s="283" t="s">
        <v>555</v>
      </c>
      <c r="K103" s="284" t="s">
        <v>664</v>
      </c>
      <c r="L103" s="284"/>
      <c r="M103" s="281"/>
      <c r="N103" s="282" t="s">
        <v>343</v>
      </c>
      <c r="O103" s="283"/>
      <c r="P103" s="284" t="s">
        <v>747</v>
      </c>
      <c r="Q103" s="284"/>
      <c r="R103" s="281"/>
      <c r="S103" s="282" t="s">
        <v>334</v>
      </c>
      <c r="T103" s="283"/>
      <c r="U103" s="354"/>
      <c r="V103" s="355"/>
      <c r="W103" s="352" t="s">
        <v>334</v>
      </c>
      <c r="X103" s="356"/>
      <c r="Y103" s="277" t="s">
        <v>283</v>
      </c>
      <c r="Z103" s="268" t="s">
        <v>275</v>
      </c>
      <c r="AA103" s="268" t="s">
        <v>308</v>
      </c>
      <c r="AB103" s="268" t="s">
        <v>277</v>
      </c>
      <c r="AC103" s="268" t="s">
        <v>270</v>
      </c>
      <c r="AD103" s="268" t="s">
        <v>366</v>
      </c>
      <c r="AE103" s="278">
        <v>100</v>
      </c>
    </row>
    <row r="104" spans="1:31" ht="99.95" customHeight="1">
      <c r="A104" s="268" t="s">
        <v>310</v>
      </c>
      <c r="B104" s="268" t="s">
        <v>310</v>
      </c>
      <c r="C104" s="269" t="s">
        <v>243</v>
      </c>
      <c r="D104" s="286" t="s">
        <v>242</v>
      </c>
      <c r="E104" s="279" t="s">
        <v>316</v>
      </c>
      <c r="F104" s="272">
        <v>43921</v>
      </c>
      <c r="G104" s="281" t="s">
        <v>529</v>
      </c>
      <c r="H104" s="281"/>
      <c r="I104" s="282" t="s">
        <v>343</v>
      </c>
      <c r="J104" s="283" t="s">
        <v>679</v>
      </c>
      <c r="K104" s="284" t="s">
        <v>634</v>
      </c>
      <c r="L104" s="284"/>
      <c r="M104" s="281"/>
      <c r="N104" s="282" t="s">
        <v>343</v>
      </c>
      <c r="O104" s="283"/>
      <c r="P104" s="284" t="s">
        <v>767</v>
      </c>
      <c r="Q104" s="284"/>
      <c r="R104" s="281"/>
      <c r="S104" s="282" t="s">
        <v>343</v>
      </c>
      <c r="T104" s="283"/>
      <c r="U104" s="354" t="s">
        <v>787</v>
      </c>
      <c r="V104" s="355"/>
      <c r="W104" s="352" t="s">
        <v>334</v>
      </c>
      <c r="X104" s="356"/>
      <c r="Y104" s="285" t="s">
        <v>280</v>
      </c>
      <c r="Z104" s="268" t="s">
        <v>275</v>
      </c>
      <c r="AA104" s="268" t="s">
        <v>309</v>
      </c>
      <c r="AB104" s="268" t="s">
        <v>277</v>
      </c>
      <c r="AC104" s="268" t="s">
        <v>270</v>
      </c>
      <c r="AD104" s="268" t="s">
        <v>366</v>
      </c>
      <c r="AE104" s="278">
        <v>101</v>
      </c>
    </row>
    <row r="105" spans="1:31" ht="99.95" customHeight="1">
      <c r="A105" s="268" t="s">
        <v>310</v>
      </c>
      <c r="B105" s="268" t="s">
        <v>310</v>
      </c>
      <c r="C105" s="269" t="s">
        <v>244</v>
      </c>
      <c r="D105" s="286" t="s">
        <v>242</v>
      </c>
      <c r="E105" s="279" t="s">
        <v>245</v>
      </c>
      <c r="F105" s="272">
        <v>43921</v>
      </c>
      <c r="G105" s="281" t="s">
        <v>527</v>
      </c>
      <c r="H105" s="281"/>
      <c r="I105" s="282" t="s">
        <v>343</v>
      </c>
      <c r="J105" s="283" t="s">
        <v>528</v>
      </c>
      <c r="K105" s="284" t="s">
        <v>665</v>
      </c>
      <c r="L105" s="284"/>
      <c r="M105" s="281"/>
      <c r="N105" s="282" t="s">
        <v>343</v>
      </c>
      <c r="O105" s="283"/>
      <c r="P105" s="284" t="s">
        <v>748</v>
      </c>
      <c r="Q105" s="284"/>
      <c r="R105" s="281"/>
      <c r="S105" s="282" t="s">
        <v>343</v>
      </c>
      <c r="T105" s="283"/>
      <c r="U105" s="354" t="s">
        <v>786</v>
      </c>
      <c r="V105" s="355"/>
      <c r="W105" s="352" t="s">
        <v>334</v>
      </c>
      <c r="X105" s="356"/>
      <c r="Y105" s="285" t="s">
        <v>280</v>
      </c>
      <c r="Z105" s="268" t="s">
        <v>275</v>
      </c>
      <c r="AA105" s="268" t="s">
        <v>309</v>
      </c>
      <c r="AB105" s="268" t="s">
        <v>277</v>
      </c>
      <c r="AC105" s="268" t="s">
        <v>270</v>
      </c>
      <c r="AD105" s="268" t="s">
        <v>366</v>
      </c>
      <c r="AE105" s="278">
        <v>102</v>
      </c>
    </row>
    <row r="106" spans="1:31" ht="142.5" customHeight="1">
      <c r="A106" s="268" t="s">
        <v>312</v>
      </c>
      <c r="B106" s="268" t="s">
        <v>312</v>
      </c>
      <c r="C106" s="269" t="s">
        <v>246</v>
      </c>
      <c r="D106" s="270" t="s">
        <v>247</v>
      </c>
      <c r="E106" s="271" t="s">
        <v>248</v>
      </c>
      <c r="F106" s="280">
        <v>43830</v>
      </c>
      <c r="G106" s="281" t="s">
        <v>486</v>
      </c>
      <c r="H106" s="281"/>
      <c r="I106" s="282" t="s">
        <v>343</v>
      </c>
      <c r="J106" s="283"/>
      <c r="K106" s="284" t="s">
        <v>597</v>
      </c>
      <c r="L106" s="284"/>
      <c r="M106" s="281"/>
      <c r="N106" s="282" t="s">
        <v>343</v>
      </c>
      <c r="O106" s="283" t="s">
        <v>598</v>
      </c>
      <c r="P106" s="284" t="s">
        <v>719</v>
      </c>
      <c r="Q106" s="284"/>
      <c r="R106" s="281"/>
      <c r="S106" s="282" t="s">
        <v>338</v>
      </c>
      <c r="T106" s="283"/>
      <c r="U106" s="354" t="s">
        <v>823</v>
      </c>
      <c r="V106" s="355"/>
      <c r="W106" s="352" t="s">
        <v>338</v>
      </c>
      <c r="X106" s="356"/>
      <c r="Y106" s="277" t="s">
        <v>283</v>
      </c>
      <c r="Z106" s="268" t="s">
        <v>274</v>
      </c>
      <c r="AA106" s="268" t="s">
        <v>311</v>
      </c>
      <c r="AB106" s="268" t="s">
        <v>277</v>
      </c>
      <c r="AC106" s="268" t="s">
        <v>271</v>
      </c>
      <c r="AD106" s="268" t="s">
        <v>363</v>
      </c>
      <c r="AE106" s="278">
        <v>103</v>
      </c>
    </row>
    <row r="107" spans="1:31" ht="99.95" customHeight="1">
      <c r="A107" s="268" t="s">
        <v>312</v>
      </c>
      <c r="B107" s="268" t="s">
        <v>312</v>
      </c>
      <c r="C107" s="269" t="s">
        <v>249</v>
      </c>
      <c r="D107" s="270" t="s">
        <v>250</v>
      </c>
      <c r="E107" s="271" t="s">
        <v>251</v>
      </c>
      <c r="F107" s="280">
        <v>43830</v>
      </c>
      <c r="G107" s="281" t="s">
        <v>680</v>
      </c>
      <c r="H107" s="281"/>
      <c r="I107" s="282" t="s">
        <v>343</v>
      </c>
      <c r="J107" s="283"/>
      <c r="K107" s="284" t="s">
        <v>599</v>
      </c>
      <c r="L107" s="284"/>
      <c r="M107" s="281"/>
      <c r="N107" s="282" t="s">
        <v>343</v>
      </c>
      <c r="O107" s="283" t="s">
        <v>600</v>
      </c>
      <c r="P107" s="284" t="s">
        <v>720</v>
      </c>
      <c r="Q107" s="284"/>
      <c r="R107" s="281"/>
      <c r="S107" s="282" t="s">
        <v>334</v>
      </c>
      <c r="T107" s="283"/>
      <c r="U107" s="354"/>
      <c r="V107" s="355"/>
      <c r="W107" s="352" t="s">
        <v>334</v>
      </c>
      <c r="X107" s="356"/>
      <c r="Y107" s="277" t="s">
        <v>283</v>
      </c>
      <c r="Z107" s="268" t="s">
        <v>274</v>
      </c>
      <c r="AA107" s="268" t="s">
        <v>311</v>
      </c>
      <c r="AB107" s="268" t="s">
        <v>277</v>
      </c>
      <c r="AC107" s="268" t="s">
        <v>271</v>
      </c>
      <c r="AD107" s="268" t="s">
        <v>363</v>
      </c>
      <c r="AE107" s="278">
        <v>104</v>
      </c>
    </row>
    <row r="108" spans="1:31" ht="99.95" customHeight="1">
      <c r="A108" s="268" t="s">
        <v>312</v>
      </c>
      <c r="B108" s="268" t="s">
        <v>312</v>
      </c>
      <c r="C108" s="269" t="s">
        <v>252</v>
      </c>
      <c r="D108" s="270" t="s">
        <v>253</v>
      </c>
      <c r="E108" s="271" t="s">
        <v>254</v>
      </c>
      <c r="F108" s="272">
        <v>43921</v>
      </c>
      <c r="G108" s="281" t="s">
        <v>487</v>
      </c>
      <c r="H108" s="281"/>
      <c r="I108" s="282" t="s">
        <v>343</v>
      </c>
      <c r="J108" s="283"/>
      <c r="K108" s="284" t="s">
        <v>601</v>
      </c>
      <c r="L108" s="284"/>
      <c r="M108" s="281"/>
      <c r="N108" s="282" t="s">
        <v>343</v>
      </c>
      <c r="O108" s="283"/>
      <c r="P108" s="284"/>
      <c r="Q108" s="284"/>
      <c r="R108" s="281"/>
      <c r="S108" s="282" t="s">
        <v>347</v>
      </c>
      <c r="T108" s="283"/>
      <c r="U108" s="354" t="s">
        <v>777</v>
      </c>
      <c r="V108" s="355"/>
      <c r="W108" s="352" t="s">
        <v>334</v>
      </c>
      <c r="X108" s="356"/>
      <c r="Y108" s="285" t="s">
        <v>280</v>
      </c>
      <c r="Z108" s="268" t="s">
        <v>274</v>
      </c>
      <c r="AA108" s="268" t="s">
        <v>311</v>
      </c>
      <c r="AB108" s="268" t="s">
        <v>277</v>
      </c>
      <c r="AC108" s="268" t="s">
        <v>271</v>
      </c>
      <c r="AD108" s="268" t="s">
        <v>363</v>
      </c>
      <c r="AE108" s="278">
        <v>105</v>
      </c>
    </row>
    <row r="109" spans="1:31" ht="99.95" customHeight="1">
      <c r="A109" s="268" t="s">
        <v>312</v>
      </c>
      <c r="B109" s="268" t="s">
        <v>312</v>
      </c>
      <c r="C109" s="269" t="s">
        <v>255</v>
      </c>
      <c r="D109" s="270" t="s">
        <v>253</v>
      </c>
      <c r="E109" s="271" t="s">
        <v>256</v>
      </c>
      <c r="F109" s="272">
        <v>43921</v>
      </c>
      <c r="G109" s="281"/>
      <c r="H109" s="281"/>
      <c r="I109" s="282" t="s">
        <v>347</v>
      </c>
      <c r="J109" s="283"/>
      <c r="K109" s="284" t="s">
        <v>602</v>
      </c>
      <c r="L109" s="284"/>
      <c r="M109" s="281"/>
      <c r="N109" s="282" t="s">
        <v>343</v>
      </c>
      <c r="O109" s="283" t="s">
        <v>603</v>
      </c>
      <c r="P109" s="284"/>
      <c r="Q109" s="284"/>
      <c r="R109" s="281"/>
      <c r="S109" s="282" t="s">
        <v>347</v>
      </c>
      <c r="T109" s="283"/>
      <c r="U109" s="354" t="s">
        <v>824</v>
      </c>
      <c r="V109" s="355"/>
      <c r="W109" s="352" t="s">
        <v>334</v>
      </c>
      <c r="X109" s="356"/>
      <c r="Y109" s="285" t="s">
        <v>280</v>
      </c>
      <c r="Z109" s="268" t="s">
        <v>274</v>
      </c>
      <c r="AA109" s="268" t="s">
        <v>311</v>
      </c>
      <c r="AB109" s="268" t="s">
        <v>277</v>
      </c>
      <c r="AC109" s="268" t="s">
        <v>271</v>
      </c>
      <c r="AD109" s="268" t="s">
        <v>363</v>
      </c>
      <c r="AE109" s="278">
        <v>106</v>
      </c>
    </row>
    <row r="110" spans="1:31" ht="99.95" customHeight="1">
      <c r="A110" s="268" t="s">
        <v>299</v>
      </c>
      <c r="B110" s="268" t="s">
        <v>299</v>
      </c>
      <c r="C110" s="269" t="s">
        <v>257</v>
      </c>
      <c r="D110" s="270" t="s">
        <v>258</v>
      </c>
      <c r="E110" s="271" t="s">
        <v>259</v>
      </c>
      <c r="F110" s="272">
        <v>43921</v>
      </c>
      <c r="G110" s="281" t="s">
        <v>494</v>
      </c>
      <c r="H110" s="281"/>
      <c r="I110" s="282" t="s">
        <v>347</v>
      </c>
      <c r="J110" s="283"/>
      <c r="K110" s="284"/>
      <c r="L110" s="284"/>
      <c r="M110" s="281"/>
      <c r="N110" s="282" t="s">
        <v>347</v>
      </c>
      <c r="O110" s="283"/>
      <c r="P110" s="284"/>
      <c r="Q110" s="284"/>
      <c r="R110" s="281"/>
      <c r="S110" s="282" t="s">
        <v>343</v>
      </c>
      <c r="T110" s="283" t="s">
        <v>729</v>
      </c>
      <c r="U110" s="354" t="s">
        <v>807</v>
      </c>
      <c r="V110" s="355"/>
      <c r="W110" s="352" t="s">
        <v>334</v>
      </c>
      <c r="X110" s="356"/>
      <c r="Y110" s="285" t="s">
        <v>280</v>
      </c>
      <c r="Z110" s="268" t="s">
        <v>275</v>
      </c>
      <c r="AA110" s="268" t="s">
        <v>300</v>
      </c>
      <c r="AB110" s="268" t="s">
        <v>277</v>
      </c>
      <c r="AC110" s="268" t="s">
        <v>271</v>
      </c>
      <c r="AD110" s="268" t="s">
        <v>420</v>
      </c>
      <c r="AE110" s="278">
        <v>107</v>
      </c>
    </row>
    <row r="111" spans="1:31" ht="137.25" customHeight="1">
      <c r="A111" s="268" t="s">
        <v>312</v>
      </c>
      <c r="B111" s="268" t="s">
        <v>312</v>
      </c>
      <c r="C111" s="269" t="s">
        <v>260</v>
      </c>
      <c r="D111" s="270" t="s">
        <v>258</v>
      </c>
      <c r="E111" s="271" t="s">
        <v>261</v>
      </c>
      <c r="F111" s="272">
        <v>43921</v>
      </c>
      <c r="G111" s="281" t="s">
        <v>488</v>
      </c>
      <c r="H111" s="281"/>
      <c r="I111" s="282" t="s">
        <v>343</v>
      </c>
      <c r="J111" s="283"/>
      <c r="K111" s="284" t="s">
        <v>604</v>
      </c>
      <c r="L111" s="284"/>
      <c r="M111" s="281"/>
      <c r="N111" s="282" t="s">
        <v>343</v>
      </c>
      <c r="O111" s="283" t="s">
        <v>605</v>
      </c>
      <c r="P111" s="284" t="s">
        <v>721</v>
      </c>
      <c r="Q111" s="284"/>
      <c r="R111" s="281"/>
      <c r="S111" s="282" t="s">
        <v>343</v>
      </c>
      <c r="T111" s="283"/>
      <c r="U111" s="354" t="s">
        <v>778</v>
      </c>
      <c r="V111" s="355"/>
      <c r="W111" s="352" t="s">
        <v>334</v>
      </c>
      <c r="X111" s="356"/>
      <c r="Y111" s="285" t="s">
        <v>280</v>
      </c>
      <c r="Z111" s="268" t="s">
        <v>274</v>
      </c>
      <c r="AA111" s="268" t="s">
        <v>311</v>
      </c>
      <c r="AB111" s="268" t="s">
        <v>277</v>
      </c>
      <c r="AC111" s="268" t="s">
        <v>271</v>
      </c>
      <c r="AD111" s="268" t="s">
        <v>363</v>
      </c>
      <c r="AE111" s="278">
        <v>108</v>
      </c>
    </row>
    <row r="112" spans="1:31">
      <c r="G112" s="309"/>
      <c r="H112" s="309"/>
      <c r="I112" s="309"/>
      <c r="J112" s="309"/>
      <c r="K112" s="309"/>
      <c r="L112" s="309"/>
      <c r="M112" s="309"/>
      <c r="N112" s="309"/>
      <c r="O112" s="309"/>
      <c r="P112" s="309"/>
      <c r="Q112" s="309"/>
      <c r="R112" s="309"/>
      <c r="S112" s="309"/>
      <c r="T112" s="309"/>
      <c r="U112" s="367"/>
      <c r="V112" s="367"/>
      <c r="W112" s="367"/>
      <c r="X112" s="367"/>
    </row>
    <row r="146" spans="1:2">
      <c r="A146" s="1" t="s">
        <v>333</v>
      </c>
      <c r="B146" s="1" t="s">
        <v>333</v>
      </c>
    </row>
    <row r="147" spans="1:2">
      <c r="A147" s="1" t="s">
        <v>334</v>
      </c>
      <c r="B147" s="1" t="s">
        <v>334</v>
      </c>
    </row>
    <row r="148" spans="1:2">
      <c r="A148" s="1" t="s">
        <v>335</v>
      </c>
      <c r="B148" s="1" t="s">
        <v>335</v>
      </c>
    </row>
    <row r="149" spans="1:2">
      <c r="A149" s="1" t="s">
        <v>336</v>
      </c>
      <c r="B149" s="1" t="s">
        <v>336</v>
      </c>
    </row>
    <row r="150" spans="1:2">
      <c r="A150" s="1" t="s">
        <v>337</v>
      </c>
      <c r="B150" s="1" t="s">
        <v>337</v>
      </c>
    </row>
    <row r="151" spans="1:2">
      <c r="A151" s="1" t="s">
        <v>338</v>
      </c>
      <c r="B151" s="1" t="s">
        <v>338</v>
      </c>
    </row>
    <row r="152" spans="1:2">
      <c r="A152" s="1" t="s">
        <v>339</v>
      </c>
      <c r="B152" s="1" t="s">
        <v>339</v>
      </c>
    </row>
    <row r="153" spans="1:2">
      <c r="A153" s="1" t="s">
        <v>340</v>
      </c>
      <c r="B153" s="1" t="s">
        <v>340</v>
      </c>
    </row>
    <row r="154" spans="1:2">
      <c r="A154" s="1" t="s">
        <v>341</v>
      </c>
      <c r="B154" s="1" t="s">
        <v>341</v>
      </c>
    </row>
    <row r="155" spans="1:2">
      <c r="A155" s="1" t="s">
        <v>342</v>
      </c>
      <c r="B155" s="1" t="s">
        <v>342</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334</v>
      </c>
      <c r="B164" s="5" t="s">
        <v>334</v>
      </c>
    </row>
    <row r="165" spans="1:2">
      <c r="A165" s="5" t="s">
        <v>343</v>
      </c>
      <c r="B165" s="5" t="s">
        <v>343</v>
      </c>
    </row>
    <row r="166" spans="1:2">
      <c r="A166" s="5" t="s">
        <v>344</v>
      </c>
      <c r="B166" s="5" t="s">
        <v>344</v>
      </c>
    </row>
    <row r="167" spans="1:2">
      <c r="A167" s="5" t="s">
        <v>338</v>
      </c>
      <c r="B167" s="5" t="s">
        <v>338</v>
      </c>
    </row>
    <row r="168" spans="1:2">
      <c r="A168" s="5" t="s">
        <v>345</v>
      </c>
      <c r="B168" s="5" t="s">
        <v>345</v>
      </c>
    </row>
    <row r="169" spans="1:2">
      <c r="A169" s="6" t="s">
        <v>342</v>
      </c>
      <c r="B169" s="6" t="s">
        <v>342</v>
      </c>
    </row>
    <row r="170" spans="1:2">
      <c r="A170" s="5" t="s">
        <v>347</v>
      </c>
      <c r="B170" s="5" t="s">
        <v>347</v>
      </c>
    </row>
    <row r="171" spans="1:2">
      <c r="A171" s="5" t="s">
        <v>346</v>
      </c>
      <c r="B171" s="5" t="s">
        <v>346</v>
      </c>
    </row>
    <row r="172" spans="1:2">
      <c r="A172" s="4" t="s">
        <v>341</v>
      </c>
      <c r="B172" s="4" t="s">
        <v>341</v>
      </c>
    </row>
  </sheetData>
  <sheetProtection selectLockedCells="1" autoFilter="0" pivotTables="0"/>
  <autoFilter ref="A2:AE111"/>
  <mergeCells count="4">
    <mergeCell ref="G1:J1"/>
    <mergeCell ref="K1:O1"/>
    <mergeCell ref="P1:T1"/>
    <mergeCell ref="U1:X1"/>
  </mergeCells>
  <conditionalFormatting sqref="I3:I38 I40 I43 I45 I50:I111 I47:I48">
    <cfRule type="containsText" dxfId="4652" priority="728" operator="containsText" text="Deferred">
      <formula>NOT(ISERROR(SEARCH("Deferred",I3)))</formula>
    </cfRule>
    <cfRule type="containsText" dxfId="4651" priority="730" operator="containsText" text="Update Not Provided">
      <formula>NOT(ISERROR(SEARCH("Update Not Provided",I3)))</formula>
    </cfRule>
    <cfRule type="containsText" dxfId="4650" priority="731" operator="containsText" text="Not Yet Due">
      <formula>NOT(ISERROR(SEARCH("Not Yet Due",I3)))</formula>
    </cfRule>
    <cfRule type="containsText" dxfId="4649" priority="732" operator="containsText" text="Deleted">
      <formula>NOT(ISERROR(SEARCH("Deleted",I3)))</formula>
    </cfRule>
    <cfRule type="containsText" dxfId="4648" priority="733" operator="containsText" text="Completed Behind Schedule">
      <formula>NOT(ISERROR(SEARCH("Completed Behind Schedule",I3)))</formula>
    </cfRule>
    <cfRule type="containsText" dxfId="4647" priority="734" operator="containsText" text="Off Target">
      <formula>NOT(ISERROR(SEARCH("Off Target",I3)))</formula>
    </cfRule>
    <cfRule type="containsText" dxfId="4646" priority="735" operator="containsText" text="In Danger of Falling Behind Target">
      <formula>NOT(ISERROR(SEARCH("In Danger of Falling Behind Target",I3)))</formula>
    </cfRule>
    <cfRule type="containsText" dxfId="4645" priority="736" operator="containsText" text="Fully Achieved">
      <formula>NOT(ISERROR(SEARCH("Fully Achieved",I3)))</formula>
    </cfRule>
    <cfRule type="containsText" dxfId="4644" priority="737" operator="containsText" text="On track to be achieved">
      <formula>NOT(ISERROR(SEARCH("On track to be achieved",I3)))</formula>
    </cfRule>
  </conditionalFormatting>
  <conditionalFormatting sqref="W3:W4 W40 W43 W51:W57 W47:W48 W6 W8:W9 W11:W12 W16:W18 W20 W22:W23 W28:W30 W32 W35 W38 W60 W69 W78:W79 W81:W82 W84:W86 W88 W91:W99 W104:W106 W108:W111 W71:W73">
    <cfRule type="containsText" dxfId="4643" priority="673" operator="containsText" text="Deleted">
      <formula>NOT(ISERROR(SEARCH("Deleted",W3)))</formula>
    </cfRule>
    <cfRule type="containsText" dxfId="4642" priority="674" operator="containsText" text="Deferred">
      <formula>NOT(ISERROR(SEARCH("Deferred",W3)))</formula>
    </cfRule>
    <cfRule type="containsText" dxfId="4641" priority="675" operator="containsText" text="Completion date within reasonable tolerance">
      <formula>NOT(ISERROR(SEARCH("Completion date within reasonable tolerance",W3)))</formula>
    </cfRule>
    <cfRule type="containsText" dxfId="4640" priority="676" operator="containsText" text="completed significantly after target deadline">
      <formula>NOT(ISERROR(SEARCH("completed significantly after target deadline",W3)))</formula>
    </cfRule>
    <cfRule type="containsText" dxfId="4639" priority="677" operator="containsText" text="Off target">
      <formula>NOT(ISERROR(SEARCH("Off target",W3)))</formula>
    </cfRule>
    <cfRule type="containsText" dxfId="4638" priority="678" operator="containsText" text="Target partially met">
      <formula>NOT(ISERROR(SEARCH("Target partially met",W3)))</formula>
    </cfRule>
    <cfRule type="containsText" dxfId="4637" priority="679" operator="containsText" text="Numerical outturn within 10% tolerance">
      <formula>NOT(ISERROR(SEARCH("Numerical outturn within 10% tolerance",W3)))</formula>
    </cfRule>
    <cfRule type="containsText" dxfId="4636" priority="680" operator="containsText" text="Numerical outturn within 5% Tolerance">
      <formula>NOT(ISERROR(SEARCH("Numerical outturn within 5% Tolerance",W3)))</formula>
    </cfRule>
    <cfRule type="containsText" dxfId="4635" priority="681" operator="containsText" text="Fully Achieved">
      <formula>NOT(ISERROR(SEARCH("Fully Achieved",W3)))</formula>
    </cfRule>
    <cfRule type="containsText" dxfId="4634" priority="682" operator="containsText" text="Update Not Provided">
      <formula>NOT(ISERROR(SEARCH("Update Not Provided",W3)))</formula>
    </cfRule>
    <cfRule type="containsText" dxfId="4633" priority="701" operator="containsText" text="Deferred">
      <formula>NOT(ISERROR(SEARCH("Deferred",W3)))</formula>
    </cfRule>
    <cfRule type="containsText" dxfId="4632" priority="702" operator="containsText" text="Update Not Provided">
      <formula>NOT(ISERROR(SEARCH("Update Not Provided",W3)))</formula>
    </cfRule>
    <cfRule type="containsText" dxfId="4631" priority="703" operator="containsText" text="Not Yet Due">
      <formula>NOT(ISERROR(SEARCH("Not Yet Due",W3)))</formula>
    </cfRule>
    <cfRule type="containsText" dxfId="4630" priority="704" operator="containsText" text="Deleted">
      <formula>NOT(ISERROR(SEARCH("Deleted",W3)))</formula>
    </cfRule>
    <cfRule type="containsText" dxfId="4629" priority="705" operator="containsText" text="Completed Behind Schedule">
      <formula>NOT(ISERROR(SEARCH("Completed Behind Schedule",W3)))</formula>
    </cfRule>
    <cfRule type="containsText" dxfId="4628" priority="706" operator="containsText" text="Off Target">
      <formula>NOT(ISERROR(SEARCH("Off Target",W3)))</formula>
    </cfRule>
    <cfRule type="containsText" dxfId="4627" priority="707" operator="containsText" text="In Danger of Falling Behind Target">
      <formula>NOT(ISERROR(SEARCH("In Danger of Falling Behind Target",W3)))</formula>
    </cfRule>
    <cfRule type="containsText" dxfId="4626" priority="708" operator="containsText" text="Fully Achieved">
      <formula>NOT(ISERROR(SEARCH("Fully Achieved",W3)))</formula>
    </cfRule>
    <cfRule type="containsText" dxfId="4625" priority="709" operator="containsText" text="On track to be achieved">
      <formula>NOT(ISERROR(SEARCH("On track to be achieved",W3)))</formula>
    </cfRule>
  </conditionalFormatting>
  <conditionalFormatting sqref="N40 N43 N45 N47:N48 N3:N38 N50:N111">
    <cfRule type="containsText" dxfId="4624" priority="692" operator="containsText" text="Deferred">
      <formula>NOT(ISERROR(SEARCH("Deferred",N3)))</formula>
    </cfRule>
    <cfRule type="containsText" dxfId="4623" priority="693" operator="containsText" text="Update Not Provided">
      <formula>NOT(ISERROR(SEARCH("Update Not Provided",N3)))</formula>
    </cfRule>
    <cfRule type="containsText" dxfId="4622" priority="694" operator="containsText" text="Not Yet Due">
      <formula>NOT(ISERROR(SEARCH("Not Yet Due",N3)))</formula>
    </cfRule>
    <cfRule type="containsText" dxfId="4621" priority="695" operator="containsText" text="Deleted">
      <formula>NOT(ISERROR(SEARCH("Deleted",N3)))</formula>
    </cfRule>
    <cfRule type="containsText" dxfId="4620" priority="696" operator="containsText" text="Completed Behind Schedule">
      <formula>NOT(ISERROR(SEARCH("Completed Behind Schedule",N3)))</formula>
    </cfRule>
    <cfRule type="containsText" dxfId="4619" priority="697" operator="containsText" text="Off Target">
      <formula>NOT(ISERROR(SEARCH("Off Target",N3)))</formula>
    </cfRule>
    <cfRule type="containsText" dxfId="4618" priority="698" operator="containsText" text="In Danger of Falling Behind Target">
      <formula>NOT(ISERROR(SEARCH("In Danger of Falling Behind Target",N3)))</formula>
    </cfRule>
    <cfRule type="containsText" dxfId="4617" priority="699" operator="containsText" text="Fully Achieved">
      <formula>NOT(ISERROR(SEARCH("Fully Achieved",N3)))</formula>
    </cfRule>
    <cfRule type="containsText" dxfId="4616" priority="700" operator="containsText" text="On track to be achieved">
      <formula>NOT(ISERROR(SEARCH("On track to be achieved",N3)))</formula>
    </cfRule>
  </conditionalFormatting>
  <conditionalFormatting sqref="S40 S43 S47:S48 S3:S38 S45 S50:S111">
    <cfRule type="containsText" dxfId="4615" priority="683" operator="containsText" text="Deferred">
      <formula>NOT(ISERROR(SEARCH("Deferred",S3)))</formula>
    </cfRule>
    <cfRule type="containsText" dxfId="4614" priority="684" operator="containsText" text="Update Not Provided">
      <formula>NOT(ISERROR(SEARCH("Update Not Provided",S3)))</formula>
    </cfRule>
    <cfRule type="containsText" dxfId="4613" priority="685" operator="containsText" text="Not Yet Due">
      <formula>NOT(ISERROR(SEARCH("Not Yet Due",S3)))</formula>
    </cfRule>
    <cfRule type="containsText" dxfId="4612" priority="686" operator="containsText" text="Deleted">
      <formula>NOT(ISERROR(SEARCH("Deleted",S3)))</formula>
    </cfRule>
    <cfRule type="containsText" dxfId="4611" priority="687" operator="containsText" text="Completed Behind Schedule">
      <formula>NOT(ISERROR(SEARCH("Completed Behind Schedule",S3)))</formula>
    </cfRule>
    <cfRule type="containsText" dxfId="4610" priority="688" operator="containsText" text="Off Target">
      <formula>NOT(ISERROR(SEARCH("Off Target",S3)))</formula>
    </cfRule>
    <cfRule type="containsText" dxfId="4609" priority="689" operator="containsText" text="In Danger of Falling Behind Target">
      <formula>NOT(ISERROR(SEARCH("In Danger of Falling Behind Target",S3)))</formula>
    </cfRule>
    <cfRule type="containsText" dxfId="4608" priority="690" operator="containsText" text="Fully Achieved">
      <formula>NOT(ISERROR(SEARCH("Fully Achieved",S3)))</formula>
    </cfRule>
    <cfRule type="containsText" dxfId="4607" priority="691" operator="containsText" text="On track to be achieved">
      <formula>NOT(ISERROR(SEARCH("On track to be achieved",S3)))</formula>
    </cfRule>
  </conditionalFormatting>
  <conditionalFormatting sqref="I39">
    <cfRule type="containsText" dxfId="4606" priority="664" operator="containsText" text="Deferred">
      <formula>NOT(ISERROR(SEARCH("Deferred",I39)))</formula>
    </cfRule>
    <cfRule type="containsText" dxfId="4605" priority="665" operator="containsText" text="Update Not Provided">
      <formula>NOT(ISERROR(SEARCH("Update Not Provided",I39)))</formula>
    </cfRule>
    <cfRule type="containsText" dxfId="4604" priority="666" operator="containsText" text="Not Yet Due">
      <formula>NOT(ISERROR(SEARCH("Not Yet Due",I39)))</formula>
    </cfRule>
    <cfRule type="containsText" dxfId="4603" priority="667" operator="containsText" text="Deleted">
      <formula>NOT(ISERROR(SEARCH("Deleted",I39)))</formula>
    </cfRule>
    <cfRule type="containsText" dxfId="4602" priority="668" operator="containsText" text="Completed Behind Schedule">
      <formula>NOT(ISERROR(SEARCH("Completed Behind Schedule",I39)))</formula>
    </cfRule>
    <cfRule type="containsText" dxfId="4601" priority="669" operator="containsText" text="Off Target">
      <formula>NOT(ISERROR(SEARCH("Off Target",I39)))</formula>
    </cfRule>
    <cfRule type="containsText" dxfId="4600" priority="670" operator="containsText" text="In Danger of Falling Behind Target">
      <formula>NOT(ISERROR(SEARCH("In Danger of Falling Behind Target",I39)))</formula>
    </cfRule>
    <cfRule type="containsText" dxfId="4599" priority="671" operator="containsText" text="Fully Achieved">
      <formula>NOT(ISERROR(SEARCH("Fully Achieved",I39)))</formula>
    </cfRule>
    <cfRule type="containsText" dxfId="4598" priority="672" operator="containsText" text="On track to be achieved">
      <formula>NOT(ISERROR(SEARCH("On track to be achieved",I39)))</formula>
    </cfRule>
  </conditionalFormatting>
  <conditionalFormatting sqref="W39">
    <cfRule type="containsText" dxfId="4597" priority="627" operator="containsText" text="Deleted">
      <formula>NOT(ISERROR(SEARCH("Deleted",W39)))</formula>
    </cfRule>
    <cfRule type="containsText" dxfId="4596" priority="628" operator="containsText" text="Deferred">
      <formula>NOT(ISERROR(SEARCH("Deferred",W39)))</formula>
    </cfRule>
    <cfRule type="containsText" dxfId="4595" priority="629" operator="containsText" text="Completion date within reasonable tolerance">
      <formula>NOT(ISERROR(SEARCH("Completion date within reasonable tolerance",W39)))</formula>
    </cfRule>
    <cfRule type="containsText" dxfId="4594" priority="630" operator="containsText" text="completed significantly after target deadline">
      <formula>NOT(ISERROR(SEARCH("completed significantly after target deadline",W39)))</formula>
    </cfRule>
    <cfRule type="containsText" dxfId="4593" priority="631" operator="containsText" text="Off target">
      <formula>NOT(ISERROR(SEARCH("Off target",W39)))</formula>
    </cfRule>
    <cfRule type="containsText" dxfId="4592" priority="632" operator="containsText" text="Target partially met">
      <formula>NOT(ISERROR(SEARCH("Target partially met",W39)))</formula>
    </cfRule>
    <cfRule type="containsText" dxfId="4591" priority="633" operator="containsText" text="Numerical outturn within 10% tolerance">
      <formula>NOT(ISERROR(SEARCH("Numerical outturn within 10% tolerance",W39)))</formula>
    </cfRule>
    <cfRule type="containsText" dxfId="4590" priority="634" operator="containsText" text="Numerical outturn within 5% Tolerance">
      <formula>NOT(ISERROR(SEARCH("Numerical outturn within 5% Tolerance",W39)))</formula>
    </cfRule>
    <cfRule type="containsText" dxfId="4589" priority="635" operator="containsText" text="Fully Achieved">
      <formula>NOT(ISERROR(SEARCH("Fully Achieved",W39)))</formula>
    </cfRule>
    <cfRule type="containsText" dxfId="4588" priority="636" operator="containsText" text="Update Not Provided">
      <formula>NOT(ISERROR(SEARCH("Update Not Provided",W39)))</formula>
    </cfRule>
    <cfRule type="containsText" dxfId="4587" priority="655" operator="containsText" text="Deferred">
      <formula>NOT(ISERROR(SEARCH("Deferred",W39)))</formula>
    </cfRule>
    <cfRule type="containsText" dxfId="4586" priority="656" operator="containsText" text="Update Not Provided">
      <formula>NOT(ISERROR(SEARCH("Update Not Provided",W39)))</formula>
    </cfRule>
    <cfRule type="containsText" dxfId="4585" priority="657" operator="containsText" text="Not Yet Due">
      <formula>NOT(ISERROR(SEARCH("Not Yet Due",W39)))</formula>
    </cfRule>
    <cfRule type="containsText" dxfId="4584" priority="658" operator="containsText" text="Deleted">
      <formula>NOT(ISERROR(SEARCH("Deleted",W39)))</formula>
    </cfRule>
    <cfRule type="containsText" dxfId="4583" priority="659" operator="containsText" text="Completed Behind Schedule">
      <formula>NOT(ISERROR(SEARCH("Completed Behind Schedule",W39)))</formula>
    </cfRule>
    <cfRule type="containsText" dxfId="4582" priority="660" operator="containsText" text="Off Target">
      <formula>NOT(ISERROR(SEARCH("Off Target",W39)))</formula>
    </cfRule>
    <cfRule type="containsText" dxfId="4581" priority="661" operator="containsText" text="In Danger of Falling Behind Target">
      <formula>NOT(ISERROR(SEARCH("In Danger of Falling Behind Target",W39)))</formula>
    </cfRule>
    <cfRule type="containsText" dxfId="4580" priority="662" operator="containsText" text="Fully Achieved">
      <formula>NOT(ISERROR(SEARCH("Fully Achieved",W39)))</formula>
    </cfRule>
    <cfRule type="containsText" dxfId="4579" priority="663" operator="containsText" text="On track to be achieved">
      <formula>NOT(ISERROR(SEARCH("On track to be achieved",W39)))</formula>
    </cfRule>
  </conditionalFormatting>
  <conditionalFormatting sqref="N39">
    <cfRule type="containsText" dxfId="4578" priority="646" operator="containsText" text="Deferred">
      <formula>NOT(ISERROR(SEARCH("Deferred",N39)))</formula>
    </cfRule>
    <cfRule type="containsText" dxfId="4577" priority="647" operator="containsText" text="Update Not Provided">
      <formula>NOT(ISERROR(SEARCH("Update Not Provided",N39)))</formula>
    </cfRule>
    <cfRule type="containsText" dxfId="4576" priority="648" operator="containsText" text="Not Yet Due">
      <formula>NOT(ISERROR(SEARCH("Not Yet Due",N39)))</formula>
    </cfRule>
    <cfRule type="containsText" dxfId="4575" priority="649" operator="containsText" text="Deleted">
      <formula>NOT(ISERROR(SEARCH("Deleted",N39)))</formula>
    </cfRule>
    <cfRule type="containsText" dxfId="4574" priority="650" operator="containsText" text="Completed Behind Schedule">
      <formula>NOT(ISERROR(SEARCH("Completed Behind Schedule",N39)))</formula>
    </cfRule>
    <cfRule type="containsText" dxfId="4573" priority="651" operator="containsText" text="Off Target">
      <formula>NOT(ISERROR(SEARCH("Off Target",N39)))</formula>
    </cfRule>
    <cfRule type="containsText" dxfId="4572" priority="652" operator="containsText" text="In Danger of Falling Behind Target">
      <formula>NOT(ISERROR(SEARCH("In Danger of Falling Behind Target",N39)))</formula>
    </cfRule>
    <cfRule type="containsText" dxfId="4571" priority="653" operator="containsText" text="Fully Achieved">
      <formula>NOT(ISERROR(SEARCH("Fully Achieved",N39)))</formula>
    </cfRule>
    <cfRule type="containsText" dxfId="4570" priority="654" operator="containsText" text="On track to be achieved">
      <formula>NOT(ISERROR(SEARCH("On track to be achieved",N39)))</formula>
    </cfRule>
  </conditionalFormatting>
  <conditionalFormatting sqref="S39">
    <cfRule type="containsText" dxfId="4569" priority="637" operator="containsText" text="Deferred">
      <formula>NOT(ISERROR(SEARCH("Deferred",S39)))</formula>
    </cfRule>
    <cfRule type="containsText" dxfId="4568" priority="638" operator="containsText" text="Update Not Provided">
      <formula>NOT(ISERROR(SEARCH("Update Not Provided",S39)))</formula>
    </cfRule>
    <cfRule type="containsText" dxfId="4567" priority="639" operator="containsText" text="Not Yet Due">
      <formula>NOT(ISERROR(SEARCH("Not Yet Due",S39)))</formula>
    </cfRule>
    <cfRule type="containsText" dxfId="4566" priority="640" operator="containsText" text="Deleted">
      <formula>NOT(ISERROR(SEARCH("Deleted",S39)))</formula>
    </cfRule>
    <cfRule type="containsText" dxfId="4565" priority="641" operator="containsText" text="Completed Behind Schedule">
      <formula>NOT(ISERROR(SEARCH("Completed Behind Schedule",S39)))</formula>
    </cfRule>
    <cfRule type="containsText" dxfId="4564" priority="642" operator="containsText" text="Off Target">
      <formula>NOT(ISERROR(SEARCH("Off Target",S39)))</formula>
    </cfRule>
    <cfRule type="containsText" dxfId="4563" priority="643" operator="containsText" text="In Danger of Falling Behind Target">
      <formula>NOT(ISERROR(SEARCH("In Danger of Falling Behind Target",S39)))</formula>
    </cfRule>
    <cfRule type="containsText" dxfId="4562" priority="644" operator="containsText" text="Fully Achieved">
      <formula>NOT(ISERROR(SEARCH("Fully Achieved",S39)))</formula>
    </cfRule>
    <cfRule type="containsText" dxfId="4561" priority="645" operator="containsText" text="On track to be achieved">
      <formula>NOT(ISERROR(SEARCH("On track to be achieved",S39)))</formula>
    </cfRule>
  </conditionalFormatting>
  <conditionalFormatting sqref="I41">
    <cfRule type="containsText" dxfId="4560" priority="618" operator="containsText" text="Deferred">
      <formula>NOT(ISERROR(SEARCH("Deferred",I41)))</formula>
    </cfRule>
    <cfRule type="containsText" dxfId="4559" priority="619" operator="containsText" text="Update Not Provided">
      <formula>NOT(ISERROR(SEARCH("Update Not Provided",I41)))</formula>
    </cfRule>
    <cfRule type="containsText" dxfId="4558" priority="620" operator="containsText" text="Not Yet Due">
      <formula>NOT(ISERROR(SEARCH("Not Yet Due",I41)))</formula>
    </cfRule>
    <cfRule type="containsText" dxfId="4557" priority="621" operator="containsText" text="Deleted">
      <formula>NOT(ISERROR(SEARCH("Deleted",I41)))</formula>
    </cfRule>
    <cfRule type="containsText" dxfId="4556" priority="622" operator="containsText" text="Completed Behind Schedule">
      <formula>NOT(ISERROR(SEARCH("Completed Behind Schedule",I41)))</formula>
    </cfRule>
    <cfRule type="containsText" dxfId="4555" priority="623" operator="containsText" text="Off Target">
      <formula>NOT(ISERROR(SEARCH("Off Target",I41)))</formula>
    </cfRule>
    <cfRule type="containsText" dxfId="4554" priority="624" operator="containsText" text="In Danger of Falling Behind Target">
      <formula>NOT(ISERROR(SEARCH("In Danger of Falling Behind Target",I41)))</formula>
    </cfRule>
    <cfRule type="containsText" dxfId="4553" priority="625" operator="containsText" text="Fully Achieved">
      <formula>NOT(ISERROR(SEARCH("Fully Achieved",I41)))</formula>
    </cfRule>
    <cfRule type="containsText" dxfId="4552" priority="626" operator="containsText" text="On track to be achieved">
      <formula>NOT(ISERROR(SEARCH("On track to be achieved",I41)))</formula>
    </cfRule>
  </conditionalFormatting>
  <conditionalFormatting sqref="W41">
    <cfRule type="containsText" dxfId="4551" priority="581" operator="containsText" text="Deleted">
      <formula>NOT(ISERROR(SEARCH("Deleted",W41)))</formula>
    </cfRule>
    <cfRule type="containsText" dxfId="4550" priority="582" operator="containsText" text="Deferred">
      <formula>NOT(ISERROR(SEARCH("Deferred",W41)))</formula>
    </cfRule>
    <cfRule type="containsText" dxfId="4549" priority="583" operator="containsText" text="Completion date within reasonable tolerance">
      <formula>NOT(ISERROR(SEARCH("Completion date within reasonable tolerance",W41)))</formula>
    </cfRule>
    <cfRule type="containsText" dxfId="4548" priority="584" operator="containsText" text="completed significantly after target deadline">
      <formula>NOT(ISERROR(SEARCH("completed significantly after target deadline",W41)))</formula>
    </cfRule>
    <cfRule type="containsText" dxfId="4547" priority="585" operator="containsText" text="Off target">
      <formula>NOT(ISERROR(SEARCH("Off target",W41)))</formula>
    </cfRule>
    <cfRule type="containsText" dxfId="4546" priority="586" operator="containsText" text="Target partially met">
      <formula>NOT(ISERROR(SEARCH("Target partially met",W41)))</formula>
    </cfRule>
    <cfRule type="containsText" dxfId="4545" priority="587" operator="containsText" text="Numerical outturn within 10% tolerance">
      <formula>NOT(ISERROR(SEARCH("Numerical outturn within 10% tolerance",W41)))</formula>
    </cfRule>
    <cfRule type="containsText" dxfId="4544" priority="588" operator="containsText" text="Numerical outturn within 5% Tolerance">
      <formula>NOT(ISERROR(SEARCH("Numerical outturn within 5% Tolerance",W41)))</formula>
    </cfRule>
    <cfRule type="containsText" dxfId="4543" priority="589" operator="containsText" text="Fully Achieved">
      <formula>NOT(ISERROR(SEARCH("Fully Achieved",W41)))</formula>
    </cfRule>
    <cfRule type="containsText" dxfId="4542" priority="590" operator="containsText" text="Update Not Provided">
      <formula>NOT(ISERROR(SEARCH("Update Not Provided",W41)))</formula>
    </cfRule>
    <cfRule type="containsText" dxfId="4541" priority="609" operator="containsText" text="Deferred">
      <formula>NOT(ISERROR(SEARCH("Deferred",W41)))</formula>
    </cfRule>
    <cfRule type="containsText" dxfId="4540" priority="610" operator="containsText" text="Update Not Provided">
      <formula>NOT(ISERROR(SEARCH("Update Not Provided",W41)))</formula>
    </cfRule>
    <cfRule type="containsText" dxfId="4539" priority="611" operator="containsText" text="Not Yet Due">
      <formula>NOT(ISERROR(SEARCH("Not Yet Due",W41)))</formula>
    </cfRule>
    <cfRule type="containsText" dxfId="4538" priority="612" operator="containsText" text="Deleted">
      <formula>NOT(ISERROR(SEARCH("Deleted",W41)))</formula>
    </cfRule>
    <cfRule type="containsText" dxfId="4537" priority="613" operator="containsText" text="Completed Behind Schedule">
      <formula>NOT(ISERROR(SEARCH("Completed Behind Schedule",W41)))</formula>
    </cfRule>
    <cfRule type="containsText" dxfId="4536" priority="614" operator="containsText" text="Off Target">
      <formula>NOT(ISERROR(SEARCH("Off Target",W41)))</formula>
    </cfRule>
    <cfRule type="containsText" dxfId="4535" priority="615" operator="containsText" text="In Danger of Falling Behind Target">
      <formula>NOT(ISERROR(SEARCH("In Danger of Falling Behind Target",W41)))</formula>
    </cfRule>
    <cfRule type="containsText" dxfId="4534" priority="616" operator="containsText" text="Fully Achieved">
      <formula>NOT(ISERROR(SEARCH("Fully Achieved",W41)))</formula>
    </cfRule>
    <cfRule type="containsText" dxfId="4533" priority="617" operator="containsText" text="On track to be achieved">
      <formula>NOT(ISERROR(SEARCH("On track to be achieved",W41)))</formula>
    </cfRule>
  </conditionalFormatting>
  <conditionalFormatting sqref="N41">
    <cfRule type="containsText" dxfId="4532" priority="600" operator="containsText" text="Deferred">
      <formula>NOT(ISERROR(SEARCH("Deferred",N41)))</formula>
    </cfRule>
    <cfRule type="containsText" dxfId="4531" priority="601" operator="containsText" text="Update Not Provided">
      <formula>NOT(ISERROR(SEARCH("Update Not Provided",N41)))</formula>
    </cfRule>
    <cfRule type="containsText" dxfId="4530" priority="602" operator="containsText" text="Not Yet Due">
      <formula>NOT(ISERROR(SEARCH("Not Yet Due",N41)))</formula>
    </cfRule>
    <cfRule type="containsText" dxfId="4529" priority="603" operator="containsText" text="Deleted">
      <formula>NOT(ISERROR(SEARCH("Deleted",N41)))</formula>
    </cfRule>
    <cfRule type="containsText" dxfId="4528" priority="604" operator="containsText" text="Completed Behind Schedule">
      <formula>NOT(ISERROR(SEARCH("Completed Behind Schedule",N41)))</formula>
    </cfRule>
    <cfRule type="containsText" dxfId="4527" priority="605" operator="containsText" text="Off Target">
      <formula>NOT(ISERROR(SEARCH("Off Target",N41)))</formula>
    </cfRule>
    <cfRule type="containsText" dxfId="4526" priority="606" operator="containsText" text="In Danger of Falling Behind Target">
      <formula>NOT(ISERROR(SEARCH("In Danger of Falling Behind Target",N41)))</formula>
    </cfRule>
    <cfRule type="containsText" dxfId="4525" priority="607" operator="containsText" text="Fully Achieved">
      <formula>NOT(ISERROR(SEARCH("Fully Achieved",N41)))</formula>
    </cfRule>
    <cfRule type="containsText" dxfId="4524" priority="608" operator="containsText" text="On track to be achieved">
      <formula>NOT(ISERROR(SEARCH("On track to be achieved",N41)))</formula>
    </cfRule>
  </conditionalFormatting>
  <conditionalFormatting sqref="S41">
    <cfRule type="containsText" dxfId="4523" priority="591" operator="containsText" text="Deferred">
      <formula>NOT(ISERROR(SEARCH("Deferred",S41)))</formula>
    </cfRule>
    <cfRule type="containsText" dxfId="4522" priority="592" operator="containsText" text="Update Not Provided">
      <formula>NOT(ISERROR(SEARCH("Update Not Provided",S41)))</formula>
    </cfRule>
    <cfRule type="containsText" dxfId="4521" priority="593" operator="containsText" text="Not Yet Due">
      <formula>NOT(ISERROR(SEARCH("Not Yet Due",S41)))</formula>
    </cfRule>
    <cfRule type="containsText" dxfId="4520" priority="594" operator="containsText" text="Deleted">
      <formula>NOT(ISERROR(SEARCH("Deleted",S41)))</formula>
    </cfRule>
    <cfRule type="containsText" dxfId="4519" priority="595" operator="containsText" text="Completed Behind Schedule">
      <formula>NOT(ISERROR(SEARCH("Completed Behind Schedule",S41)))</formula>
    </cfRule>
    <cfRule type="containsText" dxfId="4518" priority="596" operator="containsText" text="Off Target">
      <formula>NOT(ISERROR(SEARCH("Off Target",S41)))</formula>
    </cfRule>
    <cfRule type="containsText" dxfId="4517" priority="597" operator="containsText" text="In Danger of Falling Behind Target">
      <formula>NOT(ISERROR(SEARCH("In Danger of Falling Behind Target",S41)))</formula>
    </cfRule>
    <cfRule type="containsText" dxfId="4516" priority="598" operator="containsText" text="Fully Achieved">
      <formula>NOT(ISERROR(SEARCH("Fully Achieved",S41)))</formula>
    </cfRule>
    <cfRule type="containsText" dxfId="4515" priority="599" operator="containsText" text="On track to be achieved">
      <formula>NOT(ISERROR(SEARCH("On track to be achieved",S41)))</formula>
    </cfRule>
  </conditionalFormatting>
  <conditionalFormatting sqref="I42">
    <cfRule type="containsText" dxfId="4514" priority="572" operator="containsText" text="Deferred">
      <formula>NOT(ISERROR(SEARCH("Deferred",I42)))</formula>
    </cfRule>
    <cfRule type="containsText" dxfId="4513" priority="573" operator="containsText" text="Update Not Provided">
      <formula>NOT(ISERROR(SEARCH("Update Not Provided",I42)))</formula>
    </cfRule>
    <cfRule type="containsText" dxfId="4512" priority="574" operator="containsText" text="Not Yet Due">
      <formula>NOT(ISERROR(SEARCH("Not Yet Due",I42)))</formula>
    </cfRule>
    <cfRule type="containsText" dxfId="4511" priority="575" operator="containsText" text="Deleted">
      <formula>NOT(ISERROR(SEARCH("Deleted",I42)))</formula>
    </cfRule>
    <cfRule type="containsText" dxfId="4510" priority="576" operator="containsText" text="Completed Behind Schedule">
      <formula>NOT(ISERROR(SEARCH("Completed Behind Schedule",I42)))</formula>
    </cfRule>
    <cfRule type="containsText" dxfId="4509" priority="577" operator="containsText" text="Off Target">
      <formula>NOT(ISERROR(SEARCH("Off Target",I42)))</formula>
    </cfRule>
    <cfRule type="containsText" dxfId="4508" priority="578" operator="containsText" text="In Danger of Falling Behind Target">
      <formula>NOT(ISERROR(SEARCH("In Danger of Falling Behind Target",I42)))</formula>
    </cfRule>
    <cfRule type="containsText" dxfId="4507" priority="579" operator="containsText" text="Fully Achieved">
      <formula>NOT(ISERROR(SEARCH("Fully Achieved",I42)))</formula>
    </cfRule>
    <cfRule type="containsText" dxfId="4506" priority="580" operator="containsText" text="On track to be achieved">
      <formula>NOT(ISERROR(SEARCH("On track to be achieved",I42)))</formula>
    </cfRule>
  </conditionalFormatting>
  <conditionalFormatting sqref="W42">
    <cfRule type="containsText" dxfId="4505" priority="535" operator="containsText" text="Deleted">
      <formula>NOT(ISERROR(SEARCH("Deleted",W42)))</formula>
    </cfRule>
    <cfRule type="containsText" dxfId="4504" priority="536" operator="containsText" text="Deferred">
      <formula>NOT(ISERROR(SEARCH("Deferred",W42)))</formula>
    </cfRule>
    <cfRule type="containsText" dxfId="4503" priority="537" operator="containsText" text="Completion date within reasonable tolerance">
      <formula>NOT(ISERROR(SEARCH("Completion date within reasonable tolerance",W42)))</formula>
    </cfRule>
    <cfRule type="containsText" dxfId="4502" priority="538" operator="containsText" text="completed significantly after target deadline">
      <formula>NOT(ISERROR(SEARCH("completed significantly after target deadline",W42)))</formula>
    </cfRule>
    <cfRule type="containsText" dxfId="4501" priority="539" operator="containsText" text="Off target">
      <formula>NOT(ISERROR(SEARCH("Off target",W42)))</formula>
    </cfRule>
    <cfRule type="containsText" dxfId="4500" priority="540" operator="containsText" text="Target partially met">
      <formula>NOT(ISERROR(SEARCH("Target partially met",W42)))</formula>
    </cfRule>
    <cfRule type="containsText" dxfId="4499" priority="541" operator="containsText" text="Numerical outturn within 10% tolerance">
      <formula>NOT(ISERROR(SEARCH("Numerical outturn within 10% tolerance",W42)))</formula>
    </cfRule>
    <cfRule type="containsText" dxfId="4498" priority="542" operator="containsText" text="Numerical outturn within 5% Tolerance">
      <formula>NOT(ISERROR(SEARCH("Numerical outturn within 5% Tolerance",W42)))</formula>
    </cfRule>
    <cfRule type="containsText" dxfId="4497" priority="543" operator="containsText" text="Fully Achieved">
      <formula>NOT(ISERROR(SEARCH("Fully Achieved",W42)))</formula>
    </cfRule>
    <cfRule type="containsText" dxfId="4496" priority="544" operator="containsText" text="Update Not Provided">
      <formula>NOT(ISERROR(SEARCH("Update Not Provided",W42)))</formula>
    </cfRule>
    <cfRule type="containsText" dxfId="4495" priority="563" operator="containsText" text="Deferred">
      <formula>NOT(ISERROR(SEARCH("Deferred",W42)))</formula>
    </cfRule>
    <cfRule type="containsText" dxfId="4494" priority="564" operator="containsText" text="Update Not Provided">
      <formula>NOT(ISERROR(SEARCH("Update Not Provided",W42)))</formula>
    </cfRule>
    <cfRule type="containsText" dxfId="4493" priority="565" operator="containsText" text="Not Yet Due">
      <formula>NOT(ISERROR(SEARCH("Not Yet Due",W42)))</formula>
    </cfRule>
    <cfRule type="containsText" dxfId="4492" priority="566" operator="containsText" text="Deleted">
      <formula>NOT(ISERROR(SEARCH("Deleted",W42)))</formula>
    </cfRule>
    <cfRule type="containsText" dxfId="4491" priority="567" operator="containsText" text="Completed Behind Schedule">
      <formula>NOT(ISERROR(SEARCH("Completed Behind Schedule",W42)))</formula>
    </cfRule>
    <cfRule type="containsText" dxfId="4490" priority="568" operator="containsText" text="Off Target">
      <formula>NOT(ISERROR(SEARCH("Off Target",W42)))</formula>
    </cfRule>
    <cfRule type="containsText" dxfId="4489" priority="569" operator="containsText" text="In Danger of Falling Behind Target">
      <formula>NOT(ISERROR(SEARCH("In Danger of Falling Behind Target",W42)))</formula>
    </cfRule>
    <cfRule type="containsText" dxfId="4488" priority="570" operator="containsText" text="Fully Achieved">
      <formula>NOT(ISERROR(SEARCH("Fully Achieved",W42)))</formula>
    </cfRule>
    <cfRule type="containsText" dxfId="4487" priority="571" operator="containsText" text="On track to be achieved">
      <formula>NOT(ISERROR(SEARCH("On track to be achieved",W42)))</formula>
    </cfRule>
  </conditionalFormatting>
  <conditionalFormatting sqref="N42">
    <cfRule type="containsText" dxfId="4486" priority="554" operator="containsText" text="Deferred">
      <formula>NOT(ISERROR(SEARCH("Deferred",N42)))</formula>
    </cfRule>
    <cfRule type="containsText" dxfId="4485" priority="555" operator="containsText" text="Update Not Provided">
      <formula>NOT(ISERROR(SEARCH("Update Not Provided",N42)))</formula>
    </cfRule>
    <cfRule type="containsText" dxfId="4484" priority="556" operator="containsText" text="Not Yet Due">
      <formula>NOT(ISERROR(SEARCH("Not Yet Due",N42)))</formula>
    </cfRule>
    <cfRule type="containsText" dxfId="4483" priority="557" operator="containsText" text="Deleted">
      <formula>NOT(ISERROR(SEARCH("Deleted",N42)))</formula>
    </cfRule>
    <cfRule type="containsText" dxfId="4482" priority="558" operator="containsText" text="Completed Behind Schedule">
      <formula>NOT(ISERROR(SEARCH("Completed Behind Schedule",N42)))</formula>
    </cfRule>
    <cfRule type="containsText" dxfId="4481" priority="559" operator="containsText" text="Off Target">
      <formula>NOT(ISERROR(SEARCH("Off Target",N42)))</formula>
    </cfRule>
    <cfRule type="containsText" dxfId="4480" priority="560" operator="containsText" text="In Danger of Falling Behind Target">
      <formula>NOT(ISERROR(SEARCH("In Danger of Falling Behind Target",N42)))</formula>
    </cfRule>
    <cfRule type="containsText" dxfId="4479" priority="561" operator="containsText" text="Fully Achieved">
      <formula>NOT(ISERROR(SEARCH("Fully Achieved",N42)))</formula>
    </cfRule>
    <cfRule type="containsText" dxfId="4478" priority="562" operator="containsText" text="On track to be achieved">
      <formula>NOT(ISERROR(SEARCH("On track to be achieved",N42)))</formula>
    </cfRule>
  </conditionalFormatting>
  <conditionalFormatting sqref="S42">
    <cfRule type="containsText" dxfId="4477" priority="545" operator="containsText" text="Deferred">
      <formula>NOT(ISERROR(SEARCH("Deferred",S42)))</formula>
    </cfRule>
    <cfRule type="containsText" dxfId="4476" priority="546" operator="containsText" text="Update Not Provided">
      <formula>NOT(ISERROR(SEARCH("Update Not Provided",S42)))</formula>
    </cfRule>
    <cfRule type="containsText" dxfId="4475" priority="547" operator="containsText" text="Not Yet Due">
      <formula>NOT(ISERROR(SEARCH("Not Yet Due",S42)))</formula>
    </cfRule>
    <cfRule type="containsText" dxfId="4474" priority="548" operator="containsText" text="Deleted">
      <formula>NOT(ISERROR(SEARCH("Deleted",S42)))</formula>
    </cfRule>
    <cfRule type="containsText" dxfId="4473" priority="549" operator="containsText" text="Completed Behind Schedule">
      <formula>NOT(ISERROR(SEARCH("Completed Behind Schedule",S42)))</formula>
    </cfRule>
    <cfRule type="containsText" dxfId="4472" priority="550" operator="containsText" text="Off Target">
      <formula>NOT(ISERROR(SEARCH("Off Target",S42)))</formula>
    </cfRule>
    <cfRule type="containsText" dxfId="4471" priority="551" operator="containsText" text="In Danger of Falling Behind Target">
      <formula>NOT(ISERROR(SEARCH("In Danger of Falling Behind Target",S42)))</formula>
    </cfRule>
    <cfRule type="containsText" dxfId="4470" priority="552" operator="containsText" text="Fully Achieved">
      <formula>NOT(ISERROR(SEARCH("Fully Achieved",S42)))</formula>
    </cfRule>
    <cfRule type="containsText" dxfId="4469" priority="553" operator="containsText" text="On track to be achieved">
      <formula>NOT(ISERROR(SEARCH("On track to be achieved",S42)))</formula>
    </cfRule>
  </conditionalFormatting>
  <conditionalFormatting sqref="I44">
    <cfRule type="containsText" dxfId="4468" priority="526" operator="containsText" text="Deferred">
      <formula>NOT(ISERROR(SEARCH("Deferred",I44)))</formula>
    </cfRule>
    <cfRule type="containsText" dxfId="4467" priority="527" operator="containsText" text="Update Not Provided">
      <formula>NOT(ISERROR(SEARCH("Update Not Provided",I44)))</formula>
    </cfRule>
    <cfRule type="containsText" dxfId="4466" priority="528" operator="containsText" text="Not Yet Due">
      <formula>NOT(ISERROR(SEARCH("Not Yet Due",I44)))</formula>
    </cfRule>
    <cfRule type="containsText" dxfId="4465" priority="529" operator="containsText" text="Deleted">
      <formula>NOT(ISERROR(SEARCH("Deleted",I44)))</formula>
    </cfRule>
    <cfRule type="containsText" dxfId="4464" priority="530" operator="containsText" text="Completed Behind Schedule">
      <formula>NOT(ISERROR(SEARCH("Completed Behind Schedule",I44)))</formula>
    </cfRule>
    <cfRule type="containsText" dxfId="4463" priority="531" operator="containsText" text="Off Target">
      <formula>NOT(ISERROR(SEARCH("Off Target",I44)))</formula>
    </cfRule>
    <cfRule type="containsText" dxfId="4462" priority="532" operator="containsText" text="In Danger of Falling Behind Target">
      <formula>NOT(ISERROR(SEARCH("In Danger of Falling Behind Target",I44)))</formula>
    </cfRule>
    <cfRule type="containsText" dxfId="4461" priority="533" operator="containsText" text="Fully Achieved">
      <formula>NOT(ISERROR(SEARCH("Fully Achieved",I44)))</formula>
    </cfRule>
    <cfRule type="containsText" dxfId="4460" priority="534" operator="containsText" text="On track to be achieved">
      <formula>NOT(ISERROR(SEARCH("On track to be achieved",I44)))</formula>
    </cfRule>
  </conditionalFormatting>
  <conditionalFormatting sqref="W44">
    <cfRule type="containsText" dxfId="4459" priority="489" operator="containsText" text="Deleted">
      <formula>NOT(ISERROR(SEARCH("Deleted",W44)))</formula>
    </cfRule>
    <cfRule type="containsText" dxfId="4458" priority="490" operator="containsText" text="Deferred">
      <formula>NOT(ISERROR(SEARCH("Deferred",W44)))</formula>
    </cfRule>
    <cfRule type="containsText" dxfId="4457" priority="491" operator="containsText" text="Completion date within reasonable tolerance">
      <formula>NOT(ISERROR(SEARCH("Completion date within reasonable tolerance",W44)))</formula>
    </cfRule>
    <cfRule type="containsText" dxfId="4456" priority="492" operator="containsText" text="completed significantly after target deadline">
      <formula>NOT(ISERROR(SEARCH("completed significantly after target deadline",W44)))</formula>
    </cfRule>
    <cfRule type="containsText" dxfId="4455" priority="493" operator="containsText" text="Off target">
      <formula>NOT(ISERROR(SEARCH("Off target",W44)))</formula>
    </cfRule>
    <cfRule type="containsText" dxfId="4454" priority="494" operator="containsText" text="Target partially met">
      <formula>NOT(ISERROR(SEARCH("Target partially met",W44)))</formula>
    </cfRule>
    <cfRule type="containsText" dxfId="4453" priority="495" operator="containsText" text="Numerical outturn within 10% tolerance">
      <formula>NOT(ISERROR(SEARCH("Numerical outturn within 10% tolerance",W44)))</formula>
    </cfRule>
    <cfRule type="containsText" dxfId="4452" priority="496" operator="containsText" text="Numerical outturn within 5% Tolerance">
      <formula>NOT(ISERROR(SEARCH("Numerical outturn within 5% Tolerance",W44)))</formula>
    </cfRule>
    <cfRule type="containsText" dxfId="4451" priority="497" operator="containsText" text="Fully Achieved">
      <formula>NOT(ISERROR(SEARCH("Fully Achieved",W44)))</formula>
    </cfRule>
    <cfRule type="containsText" dxfId="4450" priority="498" operator="containsText" text="Update Not Provided">
      <formula>NOT(ISERROR(SEARCH("Update Not Provided",W44)))</formula>
    </cfRule>
    <cfRule type="containsText" dxfId="4449" priority="517" operator="containsText" text="Deferred">
      <formula>NOT(ISERROR(SEARCH("Deferred",W44)))</formula>
    </cfRule>
    <cfRule type="containsText" dxfId="4448" priority="518" operator="containsText" text="Update Not Provided">
      <formula>NOT(ISERROR(SEARCH("Update Not Provided",W44)))</formula>
    </cfRule>
    <cfRule type="containsText" dxfId="4447" priority="519" operator="containsText" text="Not Yet Due">
      <formula>NOT(ISERROR(SEARCH("Not Yet Due",W44)))</formula>
    </cfRule>
    <cfRule type="containsText" dxfId="4446" priority="520" operator="containsText" text="Deleted">
      <formula>NOT(ISERROR(SEARCH("Deleted",W44)))</formula>
    </cfRule>
    <cfRule type="containsText" dxfId="4445" priority="521" operator="containsText" text="Completed Behind Schedule">
      <formula>NOT(ISERROR(SEARCH("Completed Behind Schedule",W44)))</formula>
    </cfRule>
    <cfRule type="containsText" dxfId="4444" priority="522" operator="containsText" text="Off Target">
      <formula>NOT(ISERROR(SEARCH("Off Target",W44)))</formula>
    </cfRule>
    <cfRule type="containsText" dxfId="4443" priority="523" operator="containsText" text="In Danger of Falling Behind Target">
      <formula>NOT(ISERROR(SEARCH("In Danger of Falling Behind Target",W44)))</formula>
    </cfRule>
    <cfRule type="containsText" dxfId="4442" priority="524" operator="containsText" text="Fully Achieved">
      <formula>NOT(ISERROR(SEARCH("Fully Achieved",W44)))</formula>
    </cfRule>
    <cfRule type="containsText" dxfId="4441" priority="525" operator="containsText" text="On track to be achieved">
      <formula>NOT(ISERROR(SEARCH("On track to be achieved",W44)))</formula>
    </cfRule>
  </conditionalFormatting>
  <conditionalFormatting sqref="N44">
    <cfRule type="containsText" dxfId="4440" priority="508" operator="containsText" text="Deferred">
      <formula>NOT(ISERROR(SEARCH("Deferred",N44)))</formula>
    </cfRule>
    <cfRule type="containsText" dxfId="4439" priority="509" operator="containsText" text="Update Not Provided">
      <formula>NOT(ISERROR(SEARCH("Update Not Provided",N44)))</formula>
    </cfRule>
    <cfRule type="containsText" dxfId="4438" priority="510" operator="containsText" text="Not Yet Due">
      <formula>NOT(ISERROR(SEARCH("Not Yet Due",N44)))</formula>
    </cfRule>
    <cfRule type="containsText" dxfId="4437" priority="511" operator="containsText" text="Deleted">
      <formula>NOT(ISERROR(SEARCH("Deleted",N44)))</formula>
    </cfRule>
    <cfRule type="containsText" dxfId="4436" priority="512" operator="containsText" text="Completed Behind Schedule">
      <formula>NOT(ISERROR(SEARCH("Completed Behind Schedule",N44)))</formula>
    </cfRule>
    <cfRule type="containsText" dxfId="4435" priority="513" operator="containsText" text="Off Target">
      <formula>NOT(ISERROR(SEARCH("Off Target",N44)))</formula>
    </cfRule>
    <cfRule type="containsText" dxfId="4434" priority="514" operator="containsText" text="In Danger of Falling Behind Target">
      <formula>NOT(ISERROR(SEARCH("In Danger of Falling Behind Target",N44)))</formula>
    </cfRule>
    <cfRule type="containsText" dxfId="4433" priority="515" operator="containsText" text="Fully Achieved">
      <formula>NOT(ISERROR(SEARCH("Fully Achieved",N44)))</formula>
    </cfRule>
    <cfRule type="containsText" dxfId="4432" priority="516" operator="containsText" text="On track to be achieved">
      <formula>NOT(ISERROR(SEARCH("On track to be achieved",N44)))</formula>
    </cfRule>
  </conditionalFormatting>
  <conditionalFormatting sqref="S44">
    <cfRule type="containsText" dxfId="4431" priority="499" operator="containsText" text="Deferred">
      <formula>NOT(ISERROR(SEARCH("Deferred",S44)))</formula>
    </cfRule>
    <cfRule type="containsText" dxfId="4430" priority="500" operator="containsText" text="Update Not Provided">
      <formula>NOT(ISERROR(SEARCH("Update Not Provided",S44)))</formula>
    </cfRule>
    <cfRule type="containsText" dxfId="4429" priority="501" operator="containsText" text="Not Yet Due">
      <formula>NOT(ISERROR(SEARCH("Not Yet Due",S44)))</formula>
    </cfRule>
    <cfRule type="containsText" dxfId="4428" priority="502" operator="containsText" text="Deleted">
      <formula>NOT(ISERROR(SEARCH("Deleted",S44)))</formula>
    </cfRule>
    <cfRule type="containsText" dxfId="4427" priority="503" operator="containsText" text="Completed Behind Schedule">
      <formula>NOT(ISERROR(SEARCH("Completed Behind Schedule",S44)))</formula>
    </cfRule>
    <cfRule type="containsText" dxfId="4426" priority="504" operator="containsText" text="Off Target">
      <formula>NOT(ISERROR(SEARCH("Off Target",S44)))</formula>
    </cfRule>
    <cfRule type="containsText" dxfId="4425" priority="505" operator="containsText" text="In Danger of Falling Behind Target">
      <formula>NOT(ISERROR(SEARCH("In Danger of Falling Behind Target",S44)))</formula>
    </cfRule>
    <cfRule type="containsText" dxfId="4424" priority="506" operator="containsText" text="Fully Achieved">
      <formula>NOT(ISERROR(SEARCH("Fully Achieved",S44)))</formula>
    </cfRule>
    <cfRule type="containsText" dxfId="4423" priority="507" operator="containsText" text="On track to be achieved">
      <formula>NOT(ISERROR(SEARCH("On track to be achieved",S44)))</formula>
    </cfRule>
  </conditionalFormatting>
  <conditionalFormatting sqref="I49">
    <cfRule type="containsText" dxfId="4422" priority="480" operator="containsText" text="Deferred">
      <formula>NOT(ISERROR(SEARCH("Deferred",I49)))</formula>
    </cfRule>
    <cfRule type="containsText" dxfId="4421" priority="481" operator="containsText" text="Update Not Provided">
      <formula>NOT(ISERROR(SEARCH("Update Not Provided",I49)))</formula>
    </cfRule>
    <cfRule type="containsText" dxfId="4420" priority="482" operator="containsText" text="Not Yet Due">
      <formula>NOT(ISERROR(SEARCH("Not Yet Due",I49)))</formula>
    </cfRule>
    <cfRule type="containsText" dxfId="4419" priority="483" operator="containsText" text="Deleted">
      <formula>NOT(ISERROR(SEARCH("Deleted",I49)))</formula>
    </cfRule>
    <cfRule type="containsText" dxfId="4418" priority="484" operator="containsText" text="Completed Behind Schedule">
      <formula>NOT(ISERROR(SEARCH("Completed Behind Schedule",I49)))</formula>
    </cfRule>
    <cfRule type="containsText" dxfId="4417" priority="485" operator="containsText" text="Off Target">
      <formula>NOT(ISERROR(SEARCH("Off Target",I49)))</formula>
    </cfRule>
    <cfRule type="containsText" dxfId="4416" priority="486" operator="containsText" text="In Danger of Falling Behind Target">
      <formula>NOT(ISERROR(SEARCH("In Danger of Falling Behind Target",I49)))</formula>
    </cfRule>
    <cfRule type="containsText" dxfId="4415" priority="487" operator="containsText" text="Fully Achieved">
      <formula>NOT(ISERROR(SEARCH("Fully Achieved",I49)))</formula>
    </cfRule>
    <cfRule type="containsText" dxfId="4414" priority="488" operator="containsText" text="On track to be achieved">
      <formula>NOT(ISERROR(SEARCH("On track to be achieved",I49)))</formula>
    </cfRule>
  </conditionalFormatting>
  <conditionalFormatting sqref="W49">
    <cfRule type="containsText" dxfId="4413" priority="443" operator="containsText" text="Deleted">
      <formula>NOT(ISERROR(SEARCH("Deleted",W49)))</formula>
    </cfRule>
    <cfRule type="containsText" dxfId="4412" priority="444" operator="containsText" text="Deferred">
      <formula>NOT(ISERROR(SEARCH("Deferred",W49)))</formula>
    </cfRule>
    <cfRule type="containsText" dxfId="4411" priority="445" operator="containsText" text="Completion date within reasonable tolerance">
      <formula>NOT(ISERROR(SEARCH("Completion date within reasonable tolerance",W49)))</formula>
    </cfRule>
    <cfRule type="containsText" dxfId="4410" priority="446" operator="containsText" text="completed significantly after target deadline">
      <formula>NOT(ISERROR(SEARCH("completed significantly after target deadline",W49)))</formula>
    </cfRule>
    <cfRule type="containsText" dxfId="4409" priority="447" operator="containsText" text="Off target">
      <formula>NOT(ISERROR(SEARCH("Off target",W49)))</formula>
    </cfRule>
    <cfRule type="containsText" dxfId="4408" priority="448" operator="containsText" text="Target partially met">
      <formula>NOT(ISERROR(SEARCH("Target partially met",W49)))</formula>
    </cfRule>
    <cfRule type="containsText" dxfId="4407" priority="449" operator="containsText" text="Numerical outturn within 10% tolerance">
      <formula>NOT(ISERROR(SEARCH("Numerical outturn within 10% tolerance",W49)))</formula>
    </cfRule>
    <cfRule type="containsText" dxfId="4406" priority="450" operator="containsText" text="Numerical outturn within 5% Tolerance">
      <formula>NOT(ISERROR(SEARCH("Numerical outturn within 5% Tolerance",W49)))</formula>
    </cfRule>
    <cfRule type="containsText" dxfId="4405" priority="451" operator="containsText" text="Fully Achieved">
      <formula>NOT(ISERROR(SEARCH("Fully Achieved",W49)))</formula>
    </cfRule>
    <cfRule type="containsText" dxfId="4404" priority="452" operator="containsText" text="Update Not Provided">
      <formula>NOT(ISERROR(SEARCH("Update Not Provided",W49)))</formula>
    </cfRule>
    <cfRule type="containsText" dxfId="4403" priority="471" operator="containsText" text="Deferred">
      <formula>NOT(ISERROR(SEARCH("Deferred",W49)))</formula>
    </cfRule>
    <cfRule type="containsText" dxfId="4402" priority="472" operator="containsText" text="Update Not Provided">
      <formula>NOT(ISERROR(SEARCH("Update Not Provided",W49)))</formula>
    </cfRule>
    <cfRule type="containsText" dxfId="4401" priority="473" operator="containsText" text="Not Yet Due">
      <formula>NOT(ISERROR(SEARCH("Not Yet Due",W49)))</formula>
    </cfRule>
    <cfRule type="containsText" dxfId="4400" priority="474" operator="containsText" text="Deleted">
      <formula>NOT(ISERROR(SEARCH("Deleted",W49)))</formula>
    </cfRule>
    <cfRule type="containsText" dxfId="4399" priority="475" operator="containsText" text="Completed Behind Schedule">
      <formula>NOT(ISERROR(SEARCH("Completed Behind Schedule",W49)))</formula>
    </cfRule>
    <cfRule type="containsText" dxfId="4398" priority="476" operator="containsText" text="Off Target">
      <formula>NOT(ISERROR(SEARCH("Off Target",W49)))</formula>
    </cfRule>
    <cfRule type="containsText" dxfId="4397" priority="477" operator="containsText" text="In Danger of Falling Behind Target">
      <formula>NOT(ISERROR(SEARCH("In Danger of Falling Behind Target",W49)))</formula>
    </cfRule>
    <cfRule type="containsText" dxfId="4396" priority="478" operator="containsText" text="Fully Achieved">
      <formula>NOT(ISERROR(SEARCH("Fully Achieved",W49)))</formula>
    </cfRule>
    <cfRule type="containsText" dxfId="4395" priority="479" operator="containsText" text="On track to be achieved">
      <formula>NOT(ISERROR(SEARCH("On track to be achieved",W49)))</formula>
    </cfRule>
  </conditionalFormatting>
  <conditionalFormatting sqref="N49">
    <cfRule type="containsText" dxfId="4394" priority="462" operator="containsText" text="Deferred">
      <formula>NOT(ISERROR(SEARCH("Deferred",N49)))</formula>
    </cfRule>
    <cfRule type="containsText" dxfId="4393" priority="463" operator="containsText" text="Update Not Provided">
      <formula>NOT(ISERROR(SEARCH("Update Not Provided",N49)))</formula>
    </cfRule>
    <cfRule type="containsText" dxfId="4392" priority="464" operator="containsText" text="Not Yet Due">
      <formula>NOT(ISERROR(SEARCH("Not Yet Due",N49)))</formula>
    </cfRule>
    <cfRule type="containsText" dxfId="4391" priority="465" operator="containsText" text="Deleted">
      <formula>NOT(ISERROR(SEARCH("Deleted",N49)))</formula>
    </cfRule>
    <cfRule type="containsText" dxfId="4390" priority="466" operator="containsText" text="Completed Behind Schedule">
      <formula>NOT(ISERROR(SEARCH("Completed Behind Schedule",N49)))</formula>
    </cfRule>
    <cfRule type="containsText" dxfId="4389" priority="467" operator="containsText" text="Off Target">
      <formula>NOT(ISERROR(SEARCH("Off Target",N49)))</formula>
    </cfRule>
    <cfRule type="containsText" dxfId="4388" priority="468" operator="containsText" text="In Danger of Falling Behind Target">
      <formula>NOT(ISERROR(SEARCH("In Danger of Falling Behind Target",N49)))</formula>
    </cfRule>
    <cfRule type="containsText" dxfId="4387" priority="469" operator="containsText" text="Fully Achieved">
      <formula>NOT(ISERROR(SEARCH("Fully Achieved",N49)))</formula>
    </cfRule>
    <cfRule type="containsText" dxfId="4386" priority="470" operator="containsText" text="On track to be achieved">
      <formula>NOT(ISERROR(SEARCH("On track to be achieved",N49)))</formula>
    </cfRule>
  </conditionalFormatting>
  <conditionalFormatting sqref="S49">
    <cfRule type="containsText" dxfId="4385" priority="453" operator="containsText" text="Deferred">
      <formula>NOT(ISERROR(SEARCH("Deferred",S49)))</formula>
    </cfRule>
    <cfRule type="containsText" dxfId="4384" priority="454" operator="containsText" text="Update Not Provided">
      <formula>NOT(ISERROR(SEARCH("Update Not Provided",S49)))</formula>
    </cfRule>
    <cfRule type="containsText" dxfId="4383" priority="455" operator="containsText" text="Not Yet Due">
      <formula>NOT(ISERROR(SEARCH("Not Yet Due",S49)))</formula>
    </cfRule>
    <cfRule type="containsText" dxfId="4382" priority="456" operator="containsText" text="Deleted">
      <formula>NOT(ISERROR(SEARCH("Deleted",S49)))</formula>
    </cfRule>
    <cfRule type="containsText" dxfId="4381" priority="457" operator="containsText" text="Completed Behind Schedule">
      <formula>NOT(ISERROR(SEARCH("Completed Behind Schedule",S49)))</formula>
    </cfRule>
    <cfRule type="containsText" dxfId="4380" priority="458" operator="containsText" text="Off Target">
      <formula>NOT(ISERROR(SEARCH("Off Target",S49)))</formula>
    </cfRule>
    <cfRule type="containsText" dxfId="4379" priority="459" operator="containsText" text="In Danger of Falling Behind Target">
      <formula>NOT(ISERROR(SEARCH("In Danger of Falling Behind Target",S49)))</formula>
    </cfRule>
    <cfRule type="containsText" dxfId="4378" priority="460" operator="containsText" text="Fully Achieved">
      <formula>NOT(ISERROR(SEARCH("Fully Achieved",S49)))</formula>
    </cfRule>
    <cfRule type="containsText" dxfId="4377" priority="461" operator="containsText" text="On track to be achieved">
      <formula>NOT(ISERROR(SEARCH("On track to be achieved",S49)))</formula>
    </cfRule>
  </conditionalFormatting>
  <conditionalFormatting sqref="I46">
    <cfRule type="containsText" dxfId="4376" priority="434" operator="containsText" text="Deferred">
      <formula>NOT(ISERROR(SEARCH("Deferred",I46)))</formula>
    </cfRule>
    <cfRule type="containsText" dxfId="4375" priority="435" operator="containsText" text="Update Not Provided">
      <formula>NOT(ISERROR(SEARCH("Update Not Provided",I46)))</formula>
    </cfRule>
    <cfRule type="containsText" dxfId="4374" priority="436" operator="containsText" text="Not Yet Due">
      <formula>NOT(ISERROR(SEARCH("Not Yet Due",I46)))</formula>
    </cfRule>
    <cfRule type="containsText" dxfId="4373" priority="437" operator="containsText" text="Deleted">
      <formula>NOT(ISERROR(SEARCH("Deleted",I46)))</formula>
    </cfRule>
    <cfRule type="containsText" dxfId="4372" priority="438" operator="containsText" text="Completed Behind Schedule">
      <formula>NOT(ISERROR(SEARCH("Completed Behind Schedule",I46)))</formula>
    </cfRule>
    <cfRule type="containsText" dxfId="4371" priority="439" operator="containsText" text="Off Target">
      <formula>NOT(ISERROR(SEARCH("Off Target",I46)))</formula>
    </cfRule>
    <cfRule type="containsText" dxfId="4370" priority="440" operator="containsText" text="In Danger of Falling Behind Target">
      <formula>NOT(ISERROR(SEARCH("In Danger of Falling Behind Target",I46)))</formula>
    </cfRule>
    <cfRule type="containsText" dxfId="4369" priority="441" operator="containsText" text="Fully Achieved">
      <formula>NOT(ISERROR(SEARCH("Fully Achieved",I46)))</formula>
    </cfRule>
    <cfRule type="containsText" dxfId="4368" priority="442" operator="containsText" text="On track to be achieved">
      <formula>NOT(ISERROR(SEARCH("On track to be achieved",I46)))</formula>
    </cfRule>
  </conditionalFormatting>
  <conditionalFormatting sqref="W46">
    <cfRule type="containsText" dxfId="4367" priority="397" operator="containsText" text="Deleted">
      <formula>NOT(ISERROR(SEARCH("Deleted",W46)))</formula>
    </cfRule>
    <cfRule type="containsText" dxfId="4366" priority="398" operator="containsText" text="Deferred">
      <formula>NOT(ISERROR(SEARCH("Deferred",W46)))</formula>
    </cfRule>
    <cfRule type="containsText" dxfId="4365" priority="399" operator="containsText" text="Completion date within reasonable tolerance">
      <formula>NOT(ISERROR(SEARCH("Completion date within reasonable tolerance",W46)))</formula>
    </cfRule>
    <cfRule type="containsText" dxfId="4364" priority="400" operator="containsText" text="completed significantly after target deadline">
      <formula>NOT(ISERROR(SEARCH("completed significantly after target deadline",W46)))</formula>
    </cfRule>
    <cfRule type="containsText" dxfId="4363" priority="401" operator="containsText" text="Off target">
      <formula>NOT(ISERROR(SEARCH("Off target",W46)))</formula>
    </cfRule>
    <cfRule type="containsText" dxfId="4362" priority="402" operator="containsText" text="Target partially met">
      <formula>NOT(ISERROR(SEARCH("Target partially met",W46)))</formula>
    </cfRule>
    <cfRule type="containsText" dxfId="4361" priority="403" operator="containsText" text="Numerical outturn within 10% tolerance">
      <formula>NOT(ISERROR(SEARCH("Numerical outturn within 10% tolerance",W46)))</formula>
    </cfRule>
    <cfRule type="containsText" dxfId="4360" priority="404" operator="containsText" text="Numerical outturn within 5% Tolerance">
      <formula>NOT(ISERROR(SEARCH("Numerical outturn within 5% Tolerance",W46)))</formula>
    </cfRule>
    <cfRule type="containsText" dxfId="4359" priority="405" operator="containsText" text="Fully Achieved">
      <formula>NOT(ISERROR(SEARCH("Fully Achieved",W46)))</formula>
    </cfRule>
    <cfRule type="containsText" dxfId="4358" priority="406" operator="containsText" text="Update Not Provided">
      <formula>NOT(ISERROR(SEARCH("Update Not Provided",W46)))</formula>
    </cfRule>
    <cfRule type="containsText" dxfId="4357" priority="425" operator="containsText" text="Deferred">
      <formula>NOT(ISERROR(SEARCH("Deferred",W46)))</formula>
    </cfRule>
    <cfRule type="containsText" dxfId="4356" priority="426" operator="containsText" text="Update Not Provided">
      <formula>NOT(ISERROR(SEARCH("Update Not Provided",W46)))</formula>
    </cfRule>
    <cfRule type="containsText" dxfId="4355" priority="427" operator="containsText" text="Not Yet Due">
      <formula>NOT(ISERROR(SEARCH("Not Yet Due",W46)))</formula>
    </cfRule>
    <cfRule type="containsText" dxfId="4354" priority="428" operator="containsText" text="Deleted">
      <formula>NOT(ISERROR(SEARCH("Deleted",W46)))</formula>
    </cfRule>
    <cfRule type="containsText" dxfId="4353" priority="429" operator="containsText" text="Completed Behind Schedule">
      <formula>NOT(ISERROR(SEARCH("Completed Behind Schedule",W46)))</formula>
    </cfRule>
    <cfRule type="containsText" dxfId="4352" priority="430" operator="containsText" text="Off Target">
      <formula>NOT(ISERROR(SEARCH("Off Target",W46)))</formula>
    </cfRule>
    <cfRule type="containsText" dxfId="4351" priority="431" operator="containsText" text="In Danger of Falling Behind Target">
      <formula>NOT(ISERROR(SEARCH("In Danger of Falling Behind Target",W46)))</formula>
    </cfRule>
    <cfRule type="containsText" dxfId="4350" priority="432" operator="containsText" text="Fully Achieved">
      <formula>NOT(ISERROR(SEARCH("Fully Achieved",W46)))</formula>
    </cfRule>
    <cfRule type="containsText" dxfId="4349" priority="433" operator="containsText" text="On track to be achieved">
      <formula>NOT(ISERROR(SEARCH("On track to be achieved",W46)))</formula>
    </cfRule>
  </conditionalFormatting>
  <conditionalFormatting sqref="N46">
    <cfRule type="containsText" dxfId="4348" priority="416" operator="containsText" text="Deferred">
      <formula>NOT(ISERROR(SEARCH("Deferred",N46)))</formula>
    </cfRule>
    <cfRule type="containsText" dxfId="4347" priority="417" operator="containsText" text="Update Not Provided">
      <formula>NOT(ISERROR(SEARCH("Update Not Provided",N46)))</formula>
    </cfRule>
    <cfRule type="containsText" dxfId="4346" priority="418" operator="containsText" text="Not Yet Due">
      <formula>NOT(ISERROR(SEARCH("Not Yet Due",N46)))</formula>
    </cfRule>
    <cfRule type="containsText" dxfId="4345" priority="419" operator="containsText" text="Deleted">
      <formula>NOT(ISERROR(SEARCH("Deleted",N46)))</formula>
    </cfRule>
    <cfRule type="containsText" dxfId="4344" priority="420" operator="containsText" text="Completed Behind Schedule">
      <formula>NOT(ISERROR(SEARCH("Completed Behind Schedule",N46)))</formula>
    </cfRule>
    <cfRule type="containsText" dxfId="4343" priority="421" operator="containsText" text="Off Target">
      <formula>NOT(ISERROR(SEARCH("Off Target",N46)))</formula>
    </cfRule>
    <cfRule type="containsText" dxfId="4342" priority="422" operator="containsText" text="In Danger of Falling Behind Target">
      <formula>NOT(ISERROR(SEARCH("In Danger of Falling Behind Target",N46)))</formula>
    </cfRule>
    <cfRule type="containsText" dxfId="4341" priority="423" operator="containsText" text="Fully Achieved">
      <formula>NOT(ISERROR(SEARCH("Fully Achieved",N46)))</formula>
    </cfRule>
    <cfRule type="containsText" dxfId="4340" priority="424" operator="containsText" text="On track to be achieved">
      <formula>NOT(ISERROR(SEARCH("On track to be achieved",N46)))</formula>
    </cfRule>
  </conditionalFormatting>
  <conditionalFormatting sqref="S46">
    <cfRule type="containsText" dxfId="4339" priority="407" operator="containsText" text="Deferred">
      <formula>NOT(ISERROR(SEARCH("Deferred",S46)))</formula>
    </cfRule>
    <cfRule type="containsText" dxfId="4338" priority="408" operator="containsText" text="Update Not Provided">
      <formula>NOT(ISERROR(SEARCH("Update Not Provided",S46)))</formula>
    </cfRule>
    <cfRule type="containsText" dxfId="4337" priority="409" operator="containsText" text="Not Yet Due">
      <formula>NOT(ISERROR(SEARCH("Not Yet Due",S46)))</formula>
    </cfRule>
    <cfRule type="containsText" dxfId="4336" priority="410" operator="containsText" text="Deleted">
      <formula>NOT(ISERROR(SEARCH("Deleted",S46)))</formula>
    </cfRule>
    <cfRule type="containsText" dxfId="4335" priority="411" operator="containsText" text="Completed Behind Schedule">
      <formula>NOT(ISERROR(SEARCH("Completed Behind Schedule",S46)))</formula>
    </cfRule>
    <cfRule type="containsText" dxfId="4334" priority="412" operator="containsText" text="Off Target">
      <formula>NOT(ISERROR(SEARCH("Off Target",S46)))</formula>
    </cfRule>
    <cfRule type="containsText" dxfId="4333" priority="413" operator="containsText" text="In Danger of Falling Behind Target">
      <formula>NOT(ISERROR(SEARCH("In Danger of Falling Behind Target",S46)))</formula>
    </cfRule>
    <cfRule type="containsText" dxfId="4332" priority="414" operator="containsText" text="Fully Achieved">
      <formula>NOT(ISERROR(SEARCH("Fully Achieved",S46)))</formula>
    </cfRule>
    <cfRule type="containsText" dxfId="4331" priority="415" operator="containsText" text="On track to be achieved">
      <formula>NOT(ISERROR(SEARCH("On track to be achieved",S46)))</formula>
    </cfRule>
  </conditionalFormatting>
  <conditionalFormatting sqref="W5">
    <cfRule type="containsText" dxfId="4330" priority="388" operator="containsText" text="Deferred">
      <formula>NOT(ISERROR(SEARCH("Deferred",W5)))</formula>
    </cfRule>
    <cfRule type="containsText" dxfId="4329" priority="389" operator="containsText" text="Update Not Provided">
      <formula>NOT(ISERROR(SEARCH("Update Not Provided",W5)))</formula>
    </cfRule>
    <cfRule type="containsText" dxfId="4328" priority="390" operator="containsText" text="Not Yet Due">
      <formula>NOT(ISERROR(SEARCH("Not Yet Due",W5)))</formula>
    </cfRule>
    <cfRule type="containsText" dxfId="4327" priority="391" operator="containsText" text="Deleted">
      <formula>NOT(ISERROR(SEARCH("Deleted",W5)))</formula>
    </cfRule>
    <cfRule type="containsText" dxfId="4326" priority="392" operator="containsText" text="Completed Behind Schedule">
      <formula>NOT(ISERROR(SEARCH("Completed Behind Schedule",W5)))</formula>
    </cfRule>
    <cfRule type="containsText" dxfId="4325" priority="393" operator="containsText" text="Off Target">
      <formula>NOT(ISERROR(SEARCH("Off Target",W5)))</formula>
    </cfRule>
    <cfRule type="containsText" dxfId="4324" priority="394" operator="containsText" text="In Danger of Falling Behind Target">
      <formula>NOT(ISERROR(SEARCH("In Danger of Falling Behind Target",W5)))</formula>
    </cfRule>
    <cfRule type="containsText" dxfId="4323" priority="395" operator="containsText" text="Fully Achieved">
      <formula>NOT(ISERROR(SEARCH("Fully Achieved",W5)))</formula>
    </cfRule>
    <cfRule type="containsText" dxfId="4322" priority="396" operator="containsText" text="On track to be achieved">
      <formula>NOT(ISERROR(SEARCH("On track to be achieved",W5)))</formula>
    </cfRule>
  </conditionalFormatting>
  <conditionalFormatting sqref="W7">
    <cfRule type="containsText" dxfId="4321" priority="379" operator="containsText" text="Deferred">
      <formula>NOT(ISERROR(SEARCH("Deferred",W7)))</formula>
    </cfRule>
    <cfRule type="containsText" dxfId="4320" priority="380" operator="containsText" text="Update Not Provided">
      <formula>NOT(ISERROR(SEARCH("Update Not Provided",W7)))</formula>
    </cfRule>
    <cfRule type="containsText" dxfId="4319" priority="381" operator="containsText" text="Not Yet Due">
      <formula>NOT(ISERROR(SEARCH("Not Yet Due",W7)))</formula>
    </cfRule>
    <cfRule type="containsText" dxfId="4318" priority="382" operator="containsText" text="Deleted">
      <formula>NOT(ISERROR(SEARCH("Deleted",W7)))</formula>
    </cfRule>
    <cfRule type="containsText" dxfId="4317" priority="383" operator="containsText" text="Completed Behind Schedule">
      <formula>NOT(ISERROR(SEARCH("Completed Behind Schedule",W7)))</formula>
    </cfRule>
    <cfRule type="containsText" dxfId="4316" priority="384" operator="containsText" text="Off Target">
      <formula>NOT(ISERROR(SEARCH("Off Target",W7)))</formula>
    </cfRule>
    <cfRule type="containsText" dxfId="4315" priority="385" operator="containsText" text="In Danger of Falling Behind Target">
      <formula>NOT(ISERROR(SEARCH("In Danger of Falling Behind Target",W7)))</formula>
    </cfRule>
    <cfRule type="containsText" dxfId="4314" priority="386" operator="containsText" text="Fully Achieved">
      <formula>NOT(ISERROR(SEARCH("Fully Achieved",W7)))</formula>
    </cfRule>
    <cfRule type="containsText" dxfId="4313" priority="387" operator="containsText" text="On track to be achieved">
      <formula>NOT(ISERROR(SEARCH("On track to be achieved",W7)))</formula>
    </cfRule>
  </conditionalFormatting>
  <conditionalFormatting sqref="W10">
    <cfRule type="containsText" dxfId="4312" priority="370" operator="containsText" text="Deferred">
      <formula>NOT(ISERROR(SEARCH("Deferred",W10)))</formula>
    </cfRule>
    <cfRule type="containsText" dxfId="4311" priority="371" operator="containsText" text="Update Not Provided">
      <formula>NOT(ISERROR(SEARCH("Update Not Provided",W10)))</formula>
    </cfRule>
    <cfRule type="containsText" dxfId="4310" priority="372" operator="containsText" text="Not Yet Due">
      <formula>NOT(ISERROR(SEARCH("Not Yet Due",W10)))</formula>
    </cfRule>
    <cfRule type="containsText" dxfId="4309" priority="373" operator="containsText" text="Deleted">
      <formula>NOT(ISERROR(SEARCH("Deleted",W10)))</formula>
    </cfRule>
    <cfRule type="containsText" dxfId="4308" priority="374" operator="containsText" text="Completed Behind Schedule">
      <formula>NOT(ISERROR(SEARCH("Completed Behind Schedule",W10)))</formula>
    </cfRule>
    <cfRule type="containsText" dxfId="4307" priority="375" operator="containsText" text="Off Target">
      <formula>NOT(ISERROR(SEARCH("Off Target",W10)))</formula>
    </cfRule>
    <cfRule type="containsText" dxfId="4306" priority="376" operator="containsText" text="In Danger of Falling Behind Target">
      <formula>NOT(ISERROR(SEARCH("In Danger of Falling Behind Target",W10)))</formula>
    </cfRule>
    <cfRule type="containsText" dxfId="4305" priority="377" operator="containsText" text="Fully Achieved">
      <formula>NOT(ISERROR(SEARCH("Fully Achieved",W10)))</formula>
    </cfRule>
    <cfRule type="containsText" dxfId="4304" priority="378" operator="containsText" text="On track to be achieved">
      <formula>NOT(ISERROR(SEARCH("On track to be achieved",W10)))</formula>
    </cfRule>
  </conditionalFormatting>
  <conditionalFormatting sqref="W13">
    <cfRule type="containsText" dxfId="4303" priority="361" operator="containsText" text="Deferred">
      <formula>NOT(ISERROR(SEARCH("Deferred",W13)))</formula>
    </cfRule>
    <cfRule type="containsText" dxfId="4302" priority="362" operator="containsText" text="Update Not Provided">
      <formula>NOT(ISERROR(SEARCH("Update Not Provided",W13)))</formula>
    </cfRule>
    <cfRule type="containsText" dxfId="4301" priority="363" operator="containsText" text="Not Yet Due">
      <formula>NOT(ISERROR(SEARCH("Not Yet Due",W13)))</formula>
    </cfRule>
    <cfRule type="containsText" dxfId="4300" priority="364" operator="containsText" text="Deleted">
      <formula>NOT(ISERROR(SEARCH("Deleted",W13)))</formula>
    </cfRule>
    <cfRule type="containsText" dxfId="4299" priority="365" operator="containsText" text="Completed Behind Schedule">
      <formula>NOT(ISERROR(SEARCH("Completed Behind Schedule",W13)))</formula>
    </cfRule>
    <cfRule type="containsText" dxfId="4298" priority="366" operator="containsText" text="Off Target">
      <formula>NOT(ISERROR(SEARCH("Off Target",W13)))</formula>
    </cfRule>
    <cfRule type="containsText" dxfId="4297" priority="367" operator="containsText" text="In Danger of Falling Behind Target">
      <formula>NOT(ISERROR(SEARCH("In Danger of Falling Behind Target",W13)))</formula>
    </cfRule>
    <cfRule type="containsText" dxfId="4296" priority="368" operator="containsText" text="Fully Achieved">
      <formula>NOT(ISERROR(SEARCH("Fully Achieved",W13)))</formula>
    </cfRule>
    <cfRule type="containsText" dxfId="4295" priority="369" operator="containsText" text="On track to be achieved">
      <formula>NOT(ISERROR(SEARCH("On track to be achieved",W13)))</formula>
    </cfRule>
  </conditionalFormatting>
  <conditionalFormatting sqref="W14">
    <cfRule type="containsText" dxfId="4294" priority="352" operator="containsText" text="Deferred">
      <formula>NOT(ISERROR(SEARCH("Deferred",W14)))</formula>
    </cfRule>
    <cfRule type="containsText" dxfId="4293" priority="353" operator="containsText" text="Update Not Provided">
      <formula>NOT(ISERROR(SEARCH("Update Not Provided",W14)))</formula>
    </cfRule>
    <cfRule type="containsText" dxfId="4292" priority="354" operator="containsText" text="Not Yet Due">
      <formula>NOT(ISERROR(SEARCH("Not Yet Due",W14)))</formula>
    </cfRule>
    <cfRule type="containsText" dxfId="4291" priority="355" operator="containsText" text="Deleted">
      <formula>NOT(ISERROR(SEARCH("Deleted",W14)))</formula>
    </cfRule>
    <cfRule type="containsText" dxfId="4290" priority="356" operator="containsText" text="Completed Behind Schedule">
      <formula>NOT(ISERROR(SEARCH("Completed Behind Schedule",W14)))</formula>
    </cfRule>
    <cfRule type="containsText" dxfId="4289" priority="357" operator="containsText" text="Off Target">
      <formula>NOT(ISERROR(SEARCH("Off Target",W14)))</formula>
    </cfRule>
    <cfRule type="containsText" dxfId="4288" priority="358" operator="containsText" text="In Danger of Falling Behind Target">
      <formula>NOT(ISERROR(SEARCH("In Danger of Falling Behind Target",W14)))</formula>
    </cfRule>
    <cfRule type="containsText" dxfId="4287" priority="359" operator="containsText" text="Fully Achieved">
      <formula>NOT(ISERROR(SEARCH("Fully Achieved",W14)))</formula>
    </cfRule>
    <cfRule type="containsText" dxfId="4286" priority="360" operator="containsText" text="On track to be achieved">
      <formula>NOT(ISERROR(SEARCH("On track to be achieved",W14)))</formula>
    </cfRule>
  </conditionalFormatting>
  <conditionalFormatting sqref="W15">
    <cfRule type="containsText" dxfId="4285" priority="343" operator="containsText" text="Deferred">
      <formula>NOT(ISERROR(SEARCH("Deferred",W15)))</formula>
    </cfRule>
    <cfRule type="containsText" dxfId="4284" priority="344" operator="containsText" text="Update Not Provided">
      <formula>NOT(ISERROR(SEARCH("Update Not Provided",W15)))</formula>
    </cfRule>
    <cfRule type="containsText" dxfId="4283" priority="345" operator="containsText" text="Not Yet Due">
      <formula>NOT(ISERROR(SEARCH("Not Yet Due",W15)))</formula>
    </cfRule>
    <cfRule type="containsText" dxfId="4282" priority="346" operator="containsText" text="Deleted">
      <formula>NOT(ISERROR(SEARCH("Deleted",W15)))</formula>
    </cfRule>
    <cfRule type="containsText" dxfId="4281" priority="347" operator="containsText" text="Completed Behind Schedule">
      <formula>NOT(ISERROR(SEARCH("Completed Behind Schedule",W15)))</formula>
    </cfRule>
    <cfRule type="containsText" dxfId="4280" priority="348" operator="containsText" text="Off Target">
      <formula>NOT(ISERROR(SEARCH("Off Target",W15)))</formula>
    </cfRule>
    <cfRule type="containsText" dxfId="4279" priority="349" operator="containsText" text="In Danger of Falling Behind Target">
      <formula>NOT(ISERROR(SEARCH("In Danger of Falling Behind Target",W15)))</formula>
    </cfRule>
    <cfRule type="containsText" dxfId="4278" priority="350" operator="containsText" text="Fully Achieved">
      <formula>NOT(ISERROR(SEARCH("Fully Achieved",W15)))</formula>
    </cfRule>
    <cfRule type="containsText" dxfId="4277" priority="351" operator="containsText" text="On track to be achieved">
      <formula>NOT(ISERROR(SEARCH("On track to be achieved",W15)))</formula>
    </cfRule>
  </conditionalFormatting>
  <conditionalFormatting sqref="W19">
    <cfRule type="containsText" dxfId="4276" priority="334" operator="containsText" text="Deferred">
      <formula>NOT(ISERROR(SEARCH("Deferred",W19)))</formula>
    </cfRule>
    <cfRule type="containsText" dxfId="4275" priority="335" operator="containsText" text="Update Not Provided">
      <formula>NOT(ISERROR(SEARCH("Update Not Provided",W19)))</formula>
    </cfRule>
    <cfRule type="containsText" dxfId="4274" priority="336" operator="containsText" text="Not Yet Due">
      <formula>NOT(ISERROR(SEARCH("Not Yet Due",W19)))</formula>
    </cfRule>
    <cfRule type="containsText" dxfId="4273" priority="337" operator="containsText" text="Deleted">
      <formula>NOT(ISERROR(SEARCH("Deleted",W19)))</formula>
    </cfRule>
    <cfRule type="containsText" dxfId="4272" priority="338" operator="containsText" text="Completed Behind Schedule">
      <formula>NOT(ISERROR(SEARCH("Completed Behind Schedule",W19)))</formula>
    </cfRule>
    <cfRule type="containsText" dxfId="4271" priority="339" operator="containsText" text="Off Target">
      <formula>NOT(ISERROR(SEARCH("Off Target",W19)))</formula>
    </cfRule>
    <cfRule type="containsText" dxfId="4270" priority="340" operator="containsText" text="In Danger of Falling Behind Target">
      <formula>NOT(ISERROR(SEARCH("In Danger of Falling Behind Target",W19)))</formula>
    </cfRule>
    <cfRule type="containsText" dxfId="4269" priority="341" operator="containsText" text="Fully Achieved">
      <formula>NOT(ISERROR(SEARCH("Fully Achieved",W19)))</formula>
    </cfRule>
    <cfRule type="containsText" dxfId="4268" priority="342" operator="containsText" text="On track to be achieved">
      <formula>NOT(ISERROR(SEARCH("On track to be achieved",W19)))</formula>
    </cfRule>
  </conditionalFormatting>
  <conditionalFormatting sqref="W21">
    <cfRule type="containsText" dxfId="4267" priority="325" operator="containsText" text="Deferred">
      <formula>NOT(ISERROR(SEARCH("Deferred",W21)))</formula>
    </cfRule>
    <cfRule type="containsText" dxfId="4266" priority="326" operator="containsText" text="Update Not Provided">
      <formula>NOT(ISERROR(SEARCH("Update Not Provided",W21)))</formula>
    </cfRule>
    <cfRule type="containsText" dxfId="4265" priority="327" operator="containsText" text="Not Yet Due">
      <formula>NOT(ISERROR(SEARCH("Not Yet Due",W21)))</formula>
    </cfRule>
    <cfRule type="containsText" dxfId="4264" priority="328" operator="containsText" text="Deleted">
      <formula>NOT(ISERROR(SEARCH("Deleted",W21)))</formula>
    </cfRule>
    <cfRule type="containsText" dxfId="4263" priority="329" operator="containsText" text="Completed Behind Schedule">
      <formula>NOT(ISERROR(SEARCH("Completed Behind Schedule",W21)))</formula>
    </cfRule>
    <cfRule type="containsText" dxfId="4262" priority="330" operator="containsText" text="Off Target">
      <formula>NOT(ISERROR(SEARCH("Off Target",W21)))</formula>
    </cfRule>
    <cfRule type="containsText" dxfId="4261" priority="331" operator="containsText" text="In Danger of Falling Behind Target">
      <formula>NOT(ISERROR(SEARCH("In Danger of Falling Behind Target",W21)))</formula>
    </cfRule>
    <cfRule type="containsText" dxfId="4260" priority="332" operator="containsText" text="Fully Achieved">
      <formula>NOT(ISERROR(SEARCH("Fully Achieved",W21)))</formula>
    </cfRule>
    <cfRule type="containsText" dxfId="4259" priority="333" operator="containsText" text="On track to be achieved">
      <formula>NOT(ISERROR(SEARCH("On track to be achieved",W21)))</formula>
    </cfRule>
  </conditionalFormatting>
  <conditionalFormatting sqref="W24">
    <cfRule type="containsText" dxfId="4258" priority="316" operator="containsText" text="Deferred">
      <formula>NOT(ISERROR(SEARCH("Deferred",W24)))</formula>
    </cfRule>
    <cfRule type="containsText" dxfId="4257" priority="317" operator="containsText" text="Update Not Provided">
      <formula>NOT(ISERROR(SEARCH("Update Not Provided",W24)))</formula>
    </cfRule>
    <cfRule type="containsText" dxfId="4256" priority="318" operator="containsText" text="Not Yet Due">
      <formula>NOT(ISERROR(SEARCH("Not Yet Due",W24)))</formula>
    </cfRule>
    <cfRule type="containsText" dxfId="4255" priority="319" operator="containsText" text="Deleted">
      <formula>NOT(ISERROR(SEARCH("Deleted",W24)))</formula>
    </cfRule>
    <cfRule type="containsText" dxfId="4254" priority="320" operator="containsText" text="Completed Behind Schedule">
      <formula>NOT(ISERROR(SEARCH("Completed Behind Schedule",W24)))</formula>
    </cfRule>
    <cfRule type="containsText" dxfId="4253" priority="321" operator="containsText" text="Off Target">
      <formula>NOT(ISERROR(SEARCH("Off Target",W24)))</formula>
    </cfRule>
    <cfRule type="containsText" dxfId="4252" priority="322" operator="containsText" text="In Danger of Falling Behind Target">
      <formula>NOT(ISERROR(SEARCH("In Danger of Falling Behind Target",W24)))</formula>
    </cfRule>
    <cfRule type="containsText" dxfId="4251" priority="323" operator="containsText" text="Fully Achieved">
      <formula>NOT(ISERROR(SEARCH("Fully Achieved",W24)))</formula>
    </cfRule>
    <cfRule type="containsText" dxfId="4250" priority="324" operator="containsText" text="On track to be achieved">
      <formula>NOT(ISERROR(SEARCH("On track to be achieved",W24)))</formula>
    </cfRule>
  </conditionalFormatting>
  <conditionalFormatting sqref="W25">
    <cfRule type="containsText" dxfId="4249" priority="307" operator="containsText" text="Deferred">
      <formula>NOT(ISERROR(SEARCH("Deferred",W25)))</formula>
    </cfRule>
    <cfRule type="containsText" dxfId="4248" priority="308" operator="containsText" text="Update Not Provided">
      <formula>NOT(ISERROR(SEARCH("Update Not Provided",W25)))</formula>
    </cfRule>
    <cfRule type="containsText" dxfId="4247" priority="309" operator="containsText" text="Not Yet Due">
      <formula>NOT(ISERROR(SEARCH("Not Yet Due",W25)))</formula>
    </cfRule>
    <cfRule type="containsText" dxfId="4246" priority="310" operator="containsText" text="Deleted">
      <formula>NOT(ISERROR(SEARCH("Deleted",W25)))</formula>
    </cfRule>
    <cfRule type="containsText" dxfId="4245" priority="311" operator="containsText" text="Completed Behind Schedule">
      <formula>NOT(ISERROR(SEARCH("Completed Behind Schedule",W25)))</formula>
    </cfRule>
    <cfRule type="containsText" dxfId="4244" priority="312" operator="containsText" text="Off Target">
      <formula>NOT(ISERROR(SEARCH("Off Target",W25)))</formula>
    </cfRule>
    <cfRule type="containsText" dxfId="4243" priority="313" operator="containsText" text="In Danger of Falling Behind Target">
      <formula>NOT(ISERROR(SEARCH("In Danger of Falling Behind Target",W25)))</formula>
    </cfRule>
    <cfRule type="containsText" dxfId="4242" priority="314" operator="containsText" text="Fully Achieved">
      <formula>NOT(ISERROR(SEARCH("Fully Achieved",W25)))</formula>
    </cfRule>
    <cfRule type="containsText" dxfId="4241" priority="315" operator="containsText" text="On track to be achieved">
      <formula>NOT(ISERROR(SEARCH("On track to be achieved",W25)))</formula>
    </cfRule>
  </conditionalFormatting>
  <conditionalFormatting sqref="W26">
    <cfRule type="containsText" dxfId="4240" priority="298" operator="containsText" text="Deferred">
      <formula>NOT(ISERROR(SEARCH("Deferred",W26)))</formula>
    </cfRule>
    <cfRule type="containsText" dxfId="4239" priority="299" operator="containsText" text="Update Not Provided">
      <formula>NOT(ISERROR(SEARCH("Update Not Provided",W26)))</formula>
    </cfRule>
    <cfRule type="containsText" dxfId="4238" priority="300" operator="containsText" text="Not Yet Due">
      <formula>NOT(ISERROR(SEARCH("Not Yet Due",W26)))</formula>
    </cfRule>
    <cfRule type="containsText" dxfId="4237" priority="301" operator="containsText" text="Deleted">
      <formula>NOT(ISERROR(SEARCH("Deleted",W26)))</formula>
    </cfRule>
    <cfRule type="containsText" dxfId="4236" priority="302" operator="containsText" text="Completed Behind Schedule">
      <formula>NOT(ISERROR(SEARCH("Completed Behind Schedule",W26)))</formula>
    </cfRule>
    <cfRule type="containsText" dxfId="4235" priority="303" operator="containsText" text="Off Target">
      <formula>NOT(ISERROR(SEARCH("Off Target",W26)))</formula>
    </cfRule>
    <cfRule type="containsText" dxfId="4234" priority="304" operator="containsText" text="In Danger of Falling Behind Target">
      <formula>NOT(ISERROR(SEARCH("In Danger of Falling Behind Target",W26)))</formula>
    </cfRule>
    <cfRule type="containsText" dxfId="4233" priority="305" operator="containsText" text="Fully Achieved">
      <formula>NOT(ISERROR(SEARCH("Fully Achieved",W26)))</formula>
    </cfRule>
    <cfRule type="containsText" dxfId="4232" priority="306" operator="containsText" text="On track to be achieved">
      <formula>NOT(ISERROR(SEARCH("On track to be achieved",W26)))</formula>
    </cfRule>
  </conditionalFormatting>
  <conditionalFormatting sqref="W31">
    <cfRule type="containsText" dxfId="4231" priority="289" operator="containsText" text="Deferred">
      <formula>NOT(ISERROR(SEARCH("Deferred",W31)))</formula>
    </cfRule>
    <cfRule type="containsText" dxfId="4230" priority="290" operator="containsText" text="Update Not Provided">
      <formula>NOT(ISERROR(SEARCH("Update Not Provided",W31)))</formula>
    </cfRule>
    <cfRule type="containsText" dxfId="4229" priority="291" operator="containsText" text="Not Yet Due">
      <formula>NOT(ISERROR(SEARCH("Not Yet Due",W31)))</formula>
    </cfRule>
    <cfRule type="containsText" dxfId="4228" priority="292" operator="containsText" text="Deleted">
      <formula>NOT(ISERROR(SEARCH("Deleted",W31)))</formula>
    </cfRule>
    <cfRule type="containsText" dxfId="4227" priority="293" operator="containsText" text="Completed Behind Schedule">
      <formula>NOT(ISERROR(SEARCH("Completed Behind Schedule",W31)))</formula>
    </cfRule>
    <cfRule type="containsText" dxfId="4226" priority="294" operator="containsText" text="Off Target">
      <formula>NOT(ISERROR(SEARCH("Off Target",W31)))</formula>
    </cfRule>
    <cfRule type="containsText" dxfId="4225" priority="295" operator="containsText" text="In Danger of Falling Behind Target">
      <formula>NOT(ISERROR(SEARCH("In Danger of Falling Behind Target",W31)))</formula>
    </cfRule>
    <cfRule type="containsText" dxfId="4224" priority="296" operator="containsText" text="Fully Achieved">
      <formula>NOT(ISERROR(SEARCH("Fully Achieved",W31)))</formula>
    </cfRule>
    <cfRule type="containsText" dxfId="4223" priority="297" operator="containsText" text="On track to be achieved">
      <formula>NOT(ISERROR(SEARCH("On track to be achieved",W31)))</formula>
    </cfRule>
  </conditionalFormatting>
  <conditionalFormatting sqref="W33">
    <cfRule type="containsText" dxfId="4222" priority="280" operator="containsText" text="Deferred">
      <formula>NOT(ISERROR(SEARCH("Deferred",W33)))</formula>
    </cfRule>
    <cfRule type="containsText" dxfId="4221" priority="281" operator="containsText" text="Update Not Provided">
      <formula>NOT(ISERROR(SEARCH("Update Not Provided",W33)))</formula>
    </cfRule>
    <cfRule type="containsText" dxfId="4220" priority="282" operator="containsText" text="Not Yet Due">
      <formula>NOT(ISERROR(SEARCH("Not Yet Due",W33)))</formula>
    </cfRule>
    <cfRule type="containsText" dxfId="4219" priority="283" operator="containsText" text="Deleted">
      <formula>NOT(ISERROR(SEARCH("Deleted",W33)))</formula>
    </cfRule>
    <cfRule type="containsText" dxfId="4218" priority="284" operator="containsText" text="Completed Behind Schedule">
      <formula>NOT(ISERROR(SEARCH("Completed Behind Schedule",W33)))</formula>
    </cfRule>
    <cfRule type="containsText" dxfId="4217" priority="285" operator="containsText" text="Off Target">
      <formula>NOT(ISERROR(SEARCH("Off Target",W33)))</formula>
    </cfRule>
    <cfRule type="containsText" dxfId="4216" priority="286" operator="containsText" text="In Danger of Falling Behind Target">
      <formula>NOT(ISERROR(SEARCH("In Danger of Falling Behind Target",W33)))</formula>
    </cfRule>
    <cfRule type="containsText" dxfId="4215" priority="287" operator="containsText" text="Fully Achieved">
      <formula>NOT(ISERROR(SEARCH("Fully Achieved",W33)))</formula>
    </cfRule>
    <cfRule type="containsText" dxfId="4214" priority="288" operator="containsText" text="On track to be achieved">
      <formula>NOT(ISERROR(SEARCH("On track to be achieved",W33)))</formula>
    </cfRule>
  </conditionalFormatting>
  <conditionalFormatting sqref="W34">
    <cfRule type="containsText" dxfId="4213" priority="271" operator="containsText" text="Deferred">
      <formula>NOT(ISERROR(SEARCH("Deferred",W34)))</formula>
    </cfRule>
    <cfRule type="containsText" dxfId="4212" priority="272" operator="containsText" text="Update Not Provided">
      <formula>NOT(ISERROR(SEARCH("Update Not Provided",W34)))</formula>
    </cfRule>
    <cfRule type="containsText" dxfId="4211" priority="273" operator="containsText" text="Not Yet Due">
      <formula>NOT(ISERROR(SEARCH("Not Yet Due",W34)))</formula>
    </cfRule>
    <cfRule type="containsText" dxfId="4210" priority="274" operator="containsText" text="Deleted">
      <formula>NOT(ISERROR(SEARCH("Deleted",W34)))</formula>
    </cfRule>
    <cfRule type="containsText" dxfId="4209" priority="275" operator="containsText" text="Completed Behind Schedule">
      <formula>NOT(ISERROR(SEARCH("Completed Behind Schedule",W34)))</formula>
    </cfRule>
    <cfRule type="containsText" dxfId="4208" priority="276" operator="containsText" text="Off Target">
      <formula>NOT(ISERROR(SEARCH("Off Target",W34)))</formula>
    </cfRule>
    <cfRule type="containsText" dxfId="4207" priority="277" operator="containsText" text="In Danger of Falling Behind Target">
      <formula>NOT(ISERROR(SEARCH("In Danger of Falling Behind Target",W34)))</formula>
    </cfRule>
    <cfRule type="containsText" dxfId="4206" priority="278" operator="containsText" text="Fully Achieved">
      <formula>NOT(ISERROR(SEARCH("Fully Achieved",W34)))</formula>
    </cfRule>
    <cfRule type="containsText" dxfId="4205" priority="279" operator="containsText" text="On track to be achieved">
      <formula>NOT(ISERROR(SEARCH("On track to be achieved",W34)))</formula>
    </cfRule>
  </conditionalFormatting>
  <conditionalFormatting sqref="W36">
    <cfRule type="containsText" dxfId="4204" priority="262" operator="containsText" text="Deferred">
      <formula>NOT(ISERROR(SEARCH("Deferred",W36)))</formula>
    </cfRule>
    <cfRule type="containsText" dxfId="4203" priority="263" operator="containsText" text="Update Not Provided">
      <formula>NOT(ISERROR(SEARCH("Update Not Provided",W36)))</formula>
    </cfRule>
    <cfRule type="containsText" dxfId="4202" priority="264" operator="containsText" text="Not Yet Due">
      <formula>NOT(ISERROR(SEARCH("Not Yet Due",W36)))</formula>
    </cfRule>
    <cfRule type="containsText" dxfId="4201" priority="265" operator="containsText" text="Deleted">
      <formula>NOT(ISERROR(SEARCH("Deleted",W36)))</formula>
    </cfRule>
    <cfRule type="containsText" dxfId="4200" priority="266" operator="containsText" text="Completed Behind Schedule">
      <formula>NOT(ISERROR(SEARCH("Completed Behind Schedule",W36)))</formula>
    </cfRule>
    <cfRule type="containsText" dxfId="4199" priority="267" operator="containsText" text="Off Target">
      <formula>NOT(ISERROR(SEARCH("Off Target",W36)))</formula>
    </cfRule>
    <cfRule type="containsText" dxfId="4198" priority="268" operator="containsText" text="In Danger of Falling Behind Target">
      <formula>NOT(ISERROR(SEARCH("In Danger of Falling Behind Target",W36)))</formula>
    </cfRule>
    <cfRule type="containsText" dxfId="4197" priority="269" operator="containsText" text="Fully Achieved">
      <formula>NOT(ISERROR(SEARCH("Fully Achieved",W36)))</formula>
    </cfRule>
    <cfRule type="containsText" dxfId="4196" priority="270" operator="containsText" text="On track to be achieved">
      <formula>NOT(ISERROR(SEARCH("On track to be achieved",W36)))</formula>
    </cfRule>
  </conditionalFormatting>
  <conditionalFormatting sqref="W37">
    <cfRule type="containsText" dxfId="4195" priority="253" operator="containsText" text="Deferred">
      <formula>NOT(ISERROR(SEARCH("Deferred",W37)))</formula>
    </cfRule>
    <cfRule type="containsText" dxfId="4194" priority="254" operator="containsText" text="Update Not Provided">
      <formula>NOT(ISERROR(SEARCH("Update Not Provided",W37)))</formula>
    </cfRule>
    <cfRule type="containsText" dxfId="4193" priority="255" operator="containsText" text="Not Yet Due">
      <formula>NOT(ISERROR(SEARCH("Not Yet Due",W37)))</formula>
    </cfRule>
    <cfRule type="containsText" dxfId="4192" priority="256" operator="containsText" text="Deleted">
      <formula>NOT(ISERROR(SEARCH("Deleted",W37)))</formula>
    </cfRule>
    <cfRule type="containsText" dxfId="4191" priority="257" operator="containsText" text="Completed Behind Schedule">
      <formula>NOT(ISERROR(SEARCH("Completed Behind Schedule",W37)))</formula>
    </cfRule>
    <cfRule type="containsText" dxfId="4190" priority="258" operator="containsText" text="Off Target">
      <formula>NOT(ISERROR(SEARCH("Off Target",W37)))</formula>
    </cfRule>
    <cfRule type="containsText" dxfId="4189" priority="259" operator="containsText" text="In Danger of Falling Behind Target">
      <formula>NOT(ISERROR(SEARCH("In Danger of Falling Behind Target",W37)))</formula>
    </cfRule>
    <cfRule type="containsText" dxfId="4188" priority="260" operator="containsText" text="Fully Achieved">
      <formula>NOT(ISERROR(SEARCH("Fully Achieved",W37)))</formula>
    </cfRule>
    <cfRule type="containsText" dxfId="4187" priority="261" operator="containsText" text="On track to be achieved">
      <formula>NOT(ISERROR(SEARCH("On track to be achieved",W37)))</formula>
    </cfRule>
  </conditionalFormatting>
  <conditionalFormatting sqref="W45">
    <cfRule type="containsText" dxfId="4186" priority="244" operator="containsText" text="Deferred">
      <formula>NOT(ISERROR(SEARCH("Deferred",W45)))</formula>
    </cfRule>
    <cfRule type="containsText" dxfId="4185" priority="245" operator="containsText" text="Update Not Provided">
      <formula>NOT(ISERROR(SEARCH("Update Not Provided",W45)))</formula>
    </cfRule>
    <cfRule type="containsText" dxfId="4184" priority="246" operator="containsText" text="Not Yet Due">
      <formula>NOT(ISERROR(SEARCH("Not Yet Due",W45)))</formula>
    </cfRule>
    <cfRule type="containsText" dxfId="4183" priority="247" operator="containsText" text="Deleted">
      <formula>NOT(ISERROR(SEARCH("Deleted",W45)))</formula>
    </cfRule>
    <cfRule type="containsText" dxfId="4182" priority="248" operator="containsText" text="Completed Behind Schedule">
      <formula>NOT(ISERROR(SEARCH("Completed Behind Schedule",W45)))</formula>
    </cfRule>
    <cfRule type="containsText" dxfId="4181" priority="249" operator="containsText" text="Off Target">
      <formula>NOT(ISERROR(SEARCH("Off Target",W45)))</formula>
    </cfRule>
    <cfRule type="containsText" dxfId="4180" priority="250" operator="containsText" text="In Danger of Falling Behind Target">
      <formula>NOT(ISERROR(SEARCH("In Danger of Falling Behind Target",W45)))</formula>
    </cfRule>
    <cfRule type="containsText" dxfId="4179" priority="251" operator="containsText" text="Fully Achieved">
      <formula>NOT(ISERROR(SEARCH("Fully Achieved",W45)))</formula>
    </cfRule>
    <cfRule type="containsText" dxfId="4178" priority="252" operator="containsText" text="On track to be achieved">
      <formula>NOT(ISERROR(SEARCH("On track to be achieved",W45)))</formula>
    </cfRule>
  </conditionalFormatting>
  <conditionalFormatting sqref="W50">
    <cfRule type="containsText" dxfId="4177" priority="235" operator="containsText" text="Deferred">
      <formula>NOT(ISERROR(SEARCH("Deferred",W50)))</formula>
    </cfRule>
    <cfRule type="containsText" dxfId="4176" priority="236" operator="containsText" text="Update Not Provided">
      <formula>NOT(ISERROR(SEARCH("Update Not Provided",W50)))</formula>
    </cfRule>
    <cfRule type="containsText" dxfId="4175" priority="237" operator="containsText" text="Not Yet Due">
      <formula>NOT(ISERROR(SEARCH("Not Yet Due",W50)))</formula>
    </cfRule>
    <cfRule type="containsText" dxfId="4174" priority="238" operator="containsText" text="Deleted">
      <formula>NOT(ISERROR(SEARCH("Deleted",W50)))</formula>
    </cfRule>
    <cfRule type="containsText" dxfId="4173" priority="239" operator="containsText" text="Completed Behind Schedule">
      <formula>NOT(ISERROR(SEARCH("Completed Behind Schedule",W50)))</formula>
    </cfRule>
    <cfRule type="containsText" dxfId="4172" priority="240" operator="containsText" text="Off Target">
      <formula>NOT(ISERROR(SEARCH("Off Target",W50)))</formula>
    </cfRule>
    <cfRule type="containsText" dxfId="4171" priority="241" operator="containsText" text="In Danger of Falling Behind Target">
      <formula>NOT(ISERROR(SEARCH("In Danger of Falling Behind Target",W50)))</formula>
    </cfRule>
    <cfRule type="containsText" dxfId="4170" priority="242" operator="containsText" text="Fully Achieved">
      <formula>NOT(ISERROR(SEARCH("Fully Achieved",W50)))</formula>
    </cfRule>
    <cfRule type="containsText" dxfId="4169" priority="243" operator="containsText" text="On track to be achieved">
      <formula>NOT(ISERROR(SEARCH("On track to be achieved",W50)))</formula>
    </cfRule>
  </conditionalFormatting>
  <conditionalFormatting sqref="W58">
    <cfRule type="containsText" dxfId="4168" priority="226" operator="containsText" text="Deferred">
      <formula>NOT(ISERROR(SEARCH("Deferred",W58)))</formula>
    </cfRule>
    <cfRule type="containsText" dxfId="4167" priority="227" operator="containsText" text="Update Not Provided">
      <formula>NOT(ISERROR(SEARCH("Update Not Provided",W58)))</formula>
    </cfRule>
    <cfRule type="containsText" dxfId="4166" priority="228" operator="containsText" text="Not Yet Due">
      <formula>NOT(ISERROR(SEARCH("Not Yet Due",W58)))</formula>
    </cfRule>
    <cfRule type="containsText" dxfId="4165" priority="229" operator="containsText" text="Deleted">
      <formula>NOT(ISERROR(SEARCH("Deleted",W58)))</formula>
    </cfRule>
    <cfRule type="containsText" dxfId="4164" priority="230" operator="containsText" text="Completed Behind Schedule">
      <formula>NOT(ISERROR(SEARCH("Completed Behind Schedule",W58)))</formula>
    </cfRule>
    <cfRule type="containsText" dxfId="4163" priority="231" operator="containsText" text="Off Target">
      <formula>NOT(ISERROR(SEARCH("Off Target",W58)))</formula>
    </cfRule>
    <cfRule type="containsText" dxfId="4162" priority="232" operator="containsText" text="In Danger of Falling Behind Target">
      <formula>NOT(ISERROR(SEARCH("In Danger of Falling Behind Target",W58)))</formula>
    </cfRule>
    <cfRule type="containsText" dxfId="4161" priority="233" operator="containsText" text="Fully Achieved">
      <formula>NOT(ISERROR(SEARCH("Fully Achieved",W58)))</formula>
    </cfRule>
    <cfRule type="containsText" dxfId="4160" priority="234" operator="containsText" text="On track to be achieved">
      <formula>NOT(ISERROR(SEARCH("On track to be achieved",W58)))</formula>
    </cfRule>
  </conditionalFormatting>
  <conditionalFormatting sqref="W59">
    <cfRule type="containsText" dxfId="4159" priority="217" operator="containsText" text="Deferred">
      <formula>NOT(ISERROR(SEARCH("Deferred",W59)))</formula>
    </cfRule>
    <cfRule type="containsText" dxfId="4158" priority="218" operator="containsText" text="Update Not Provided">
      <formula>NOT(ISERROR(SEARCH("Update Not Provided",W59)))</formula>
    </cfRule>
    <cfRule type="containsText" dxfId="4157" priority="219" operator="containsText" text="Not Yet Due">
      <formula>NOT(ISERROR(SEARCH("Not Yet Due",W59)))</formula>
    </cfRule>
    <cfRule type="containsText" dxfId="4156" priority="220" operator="containsText" text="Deleted">
      <formula>NOT(ISERROR(SEARCH("Deleted",W59)))</formula>
    </cfRule>
    <cfRule type="containsText" dxfId="4155" priority="221" operator="containsText" text="Completed Behind Schedule">
      <formula>NOT(ISERROR(SEARCH("Completed Behind Schedule",W59)))</formula>
    </cfRule>
    <cfRule type="containsText" dxfId="4154" priority="222" operator="containsText" text="Off Target">
      <formula>NOT(ISERROR(SEARCH("Off Target",W59)))</formula>
    </cfRule>
    <cfRule type="containsText" dxfId="4153" priority="223" operator="containsText" text="In Danger of Falling Behind Target">
      <formula>NOT(ISERROR(SEARCH("In Danger of Falling Behind Target",W59)))</formula>
    </cfRule>
    <cfRule type="containsText" dxfId="4152" priority="224" operator="containsText" text="Fully Achieved">
      <formula>NOT(ISERROR(SEARCH("Fully Achieved",W59)))</formula>
    </cfRule>
    <cfRule type="containsText" dxfId="4151" priority="225" operator="containsText" text="On track to be achieved">
      <formula>NOT(ISERROR(SEARCH("On track to be achieved",W59)))</formula>
    </cfRule>
  </conditionalFormatting>
  <conditionalFormatting sqref="W61">
    <cfRule type="containsText" dxfId="4150" priority="208" operator="containsText" text="Deferred">
      <formula>NOT(ISERROR(SEARCH("Deferred",W61)))</formula>
    </cfRule>
    <cfRule type="containsText" dxfId="4149" priority="209" operator="containsText" text="Update Not Provided">
      <formula>NOT(ISERROR(SEARCH("Update Not Provided",W61)))</formula>
    </cfRule>
    <cfRule type="containsText" dxfId="4148" priority="210" operator="containsText" text="Not Yet Due">
      <formula>NOT(ISERROR(SEARCH("Not Yet Due",W61)))</formula>
    </cfRule>
    <cfRule type="containsText" dxfId="4147" priority="211" operator="containsText" text="Deleted">
      <formula>NOT(ISERROR(SEARCH("Deleted",W61)))</formula>
    </cfRule>
    <cfRule type="containsText" dxfId="4146" priority="212" operator="containsText" text="Completed Behind Schedule">
      <formula>NOT(ISERROR(SEARCH("Completed Behind Schedule",W61)))</formula>
    </cfRule>
    <cfRule type="containsText" dxfId="4145" priority="213" operator="containsText" text="Off Target">
      <formula>NOT(ISERROR(SEARCH("Off Target",W61)))</formula>
    </cfRule>
    <cfRule type="containsText" dxfId="4144" priority="214" operator="containsText" text="In Danger of Falling Behind Target">
      <formula>NOT(ISERROR(SEARCH("In Danger of Falling Behind Target",W61)))</formula>
    </cfRule>
    <cfRule type="containsText" dxfId="4143" priority="215" operator="containsText" text="Fully Achieved">
      <formula>NOT(ISERROR(SEARCH("Fully Achieved",W61)))</formula>
    </cfRule>
    <cfRule type="containsText" dxfId="4142" priority="216" operator="containsText" text="On track to be achieved">
      <formula>NOT(ISERROR(SEARCH("On track to be achieved",W61)))</formula>
    </cfRule>
  </conditionalFormatting>
  <conditionalFormatting sqref="W62">
    <cfRule type="containsText" dxfId="4141" priority="199" operator="containsText" text="Deferred">
      <formula>NOT(ISERROR(SEARCH("Deferred",W62)))</formula>
    </cfRule>
    <cfRule type="containsText" dxfId="4140" priority="200" operator="containsText" text="Update Not Provided">
      <formula>NOT(ISERROR(SEARCH("Update Not Provided",W62)))</formula>
    </cfRule>
    <cfRule type="containsText" dxfId="4139" priority="201" operator="containsText" text="Not Yet Due">
      <formula>NOT(ISERROR(SEARCH("Not Yet Due",W62)))</formula>
    </cfRule>
    <cfRule type="containsText" dxfId="4138" priority="202" operator="containsText" text="Deleted">
      <formula>NOT(ISERROR(SEARCH("Deleted",W62)))</formula>
    </cfRule>
    <cfRule type="containsText" dxfId="4137" priority="203" operator="containsText" text="Completed Behind Schedule">
      <formula>NOT(ISERROR(SEARCH("Completed Behind Schedule",W62)))</formula>
    </cfRule>
    <cfRule type="containsText" dxfId="4136" priority="204" operator="containsText" text="Off Target">
      <formula>NOT(ISERROR(SEARCH("Off Target",W62)))</formula>
    </cfRule>
    <cfRule type="containsText" dxfId="4135" priority="205" operator="containsText" text="In Danger of Falling Behind Target">
      <formula>NOT(ISERROR(SEARCH("In Danger of Falling Behind Target",W62)))</formula>
    </cfRule>
    <cfRule type="containsText" dxfId="4134" priority="206" operator="containsText" text="Fully Achieved">
      <formula>NOT(ISERROR(SEARCH("Fully Achieved",W62)))</formula>
    </cfRule>
    <cfRule type="containsText" dxfId="4133" priority="207" operator="containsText" text="On track to be achieved">
      <formula>NOT(ISERROR(SEARCH("On track to be achieved",W62)))</formula>
    </cfRule>
  </conditionalFormatting>
  <conditionalFormatting sqref="W63">
    <cfRule type="containsText" dxfId="4132" priority="190" operator="containsText" text="Deferred">
      <formula>NOT(ISERROR(SEARCH("Deferred",W63)))</formula>
    </cfRule>
    <cfRule type="containsText" dxfId="4131" priority="191" operator="containsText" text="Update Not Provided">
      <formula>NOT(ISERROR(SEARCH("Update Not Provided",W63)))</formula>
    </cfRule>
    <cfRule type="containsText" dxfId="4130" priority="192" operator="containsText" text="Not Yet Due">
      <formula>NOT(ISERROR(SEARCH("Not Yet Due",W63)))</formula>
    </cfRule>
    <cfRule type="containsText" dxfId="4129" priority="193" operator="containsText" text="Deleted">
      <formula>NOT(ISERROR(SEARCH("Deleted",W63)))</formula>
    </cfRule>
    <cfRule type="containsText" dxfId="4128" priority="194" operator="containsText" text="Completed Behind Schedule">
      <formula>NOT(ISERROR(SEARCH("Completed Behind Schedule",W63)))</formula>
    </cfRule>
    <cfRule type="containsText" dxfId="4127" priority="195" operator="containsText" text="Off Target">
      <formula>NOT(ISERROR(SEARCH("Off Target",W63)))</formula>
    </cfRule>
    <cfRule type="containsText" dxfId="4126" priority="196" operator="containsText" text="In Danger of Falling Behind Target">
      <formula>NOT(ISERROR(SEARCH("In Danger of Falling Behind Target",W63)))</formula>
    </cfRule>
    <cfRule type="containsText" dxfId="4125" priority="197" operator="containsText" text="Fully Achieved">
      <formula>NOT(ISERROR(SEARCH("Fully Achieved",W63)))</formula>
    </cfRule>
    <cfRule type="containsText" dxfId="4124" priority="198" operator="containsText" text="On track to be achieved">
      <formula>NOT(ISERROR(SEARCH("On track to be achieved",W63)))</formula>
    </cfRule>
  </conditionalFormatting>
  <conditionalFormatting sqref="W64">
    <cfRule type="containsText" dxfId="4123" priority="181" operator="containsText" text="Deferred">
      <formula>NOT(ISERROR(SEARCH("Deferred",W64)))</formula>
    </cfRule>
    <cfRule type="containsText" dxfId="4122" priority="182" operator="containsText" text="Update Not Provided">
      <formula>NOT(ISERROR(SEARCH("Update Not Provided",W64)))</formula>
    </cfRule>
    <cfRule type="containsText" dxfId="4121" priority="183" operator="containsText" text="Not Yet Due">
      <formula>NOT(ISERROR(SEARCH("Not Yet Due",W64)))</formula>
    </cfRule>
    <cfRule type="containsText" dxfId="4120" priority="184" operator="containsText" text="Deleted">
      <formula>NOT(ISERROR(SEARCH("Deleted",W64)))</formula>
    </cfRule>
    <cfRule type="containsText" dxfId="4119" priority="185" operator="containsText" text="Completed Behind Schedule">
      <formula>NOT(ISERROR(SEARCH("Completed Behind Schedule",W64)))</formula>
    </cfRule>
    <cfRule type="containsText" dxfId="4118" priority="186" operator="containsText" text="Off Target">
      <formula>NOT(ISERROR(SEARCH("Off Target",W64)))</formula>
    </cfRule>
    <cfRule type="containsText" dxfId="4117" priority="187" operator="containsText" text="In Danger of Falling Behind Target">
      <formula>NOT(ISERROR(SEARCH("In Danger of Falling Behind Target",W64)))</formula>
    </cfRule>
    <cfRule type="containsText" dxfId="4116" priority="188" operator="containsText" text="Fully Achieved">
      <formula>NOT(ISERROR(SEARCH("Fully Achieved",W64)))</formula>
    </cfRule>
    <cfRule type="containsText" dxfId="4115" priority="189" operator="containsText" text="On track to be achieved">
      <formula>NOT(ISERROR(SEARCH("On track to be achieved",W64)))</formula>
    </cfRule>
  </conditionalFormatting>
  <conditionalFormatting sqref="W66">
    <cfRule type="containsText" dxfId="4114" priority="172" operator="containsText" text="Deferred">
      <formula>NOT(ISERROR(SEARCH("Deferred",W66)))</formula>
    </cfRule>
    <cfRule type="containsText" dxfId="4113" priority="173" operator="containsText" text="Update Not Provided">
      <formula>NOT(ISERROR(SEARCH("Update Not Provided",W66)))</formula>
    </cfRule>
    <cfRule type="containsText" dxfId="4112" priority="174" operator="containsText" text="Not Yet Due">
      <formula>NOT(ISERROR(SEARCH("Not Yet Due",W66)))</formula>
    </cfRule>
    <cfRule type="containsText" dxfId="4111" priority="175" operator="containsText" text="Deleted">
      <formula>NOT(ISERROR(SEARCH("Deleted",W66)))</formula>
    </cfRule>
    <cfRule type="containsText" dxfId="4110" priority="176" operator="containsText" text="Completed Behind Schedule">
      <formula>NOT(ISERROR(SEARCH("Completed Behind Schedule",W66)))</formula>
    </cfRule>
    <cfRule type="containsText" dxfId="4109" priority="177" operator="containsText" text="Off Target">
      <formula>NOT(ISERROR(SEARCH("Off Target",W66)))</formula>
    </cfRule>
    <cfRule type="containsText" dxfId="4108" priority="178" operator="containsText" text="In Danger of Falling Behind Target">
      <formula>NOT(ISERROR(SEARCH("In Danger of Falling Behind Target",W66)))</formula>
    </cfRule>
    <cfRule type="containsText" dxfId="4107" priority="179" operator="containsText" text="Fully Achieved">
      <formula>NOT(ISERROR(SEARCH("Fully Achieved",W66)))</formula>
    </cfRule>
    <cfRule type="containsText" dxfId="4106" priority="180" operator="containsText" text="On track to be achieved">
      <formula>NOT(ISERROR(SEARCH("On track to be achieved",W66)))</formula>
    </cfRule>
  </conditionalFormatting>
  <conditionalFormatting sqref="W67">
    <cfRule type="containsText" dxfId="4105" priority="163" operator="containsText" text="Deferred">
      <formula>NOT(ISERROR(SEARCH("Deferred",W67)))</formula>
    </cfRule>
    <cfRule type="containsText" dxfId="4104" priority="164" operator="containsText" text="Update Not Provided">
      <formula>NOT(ISERROR(SEARCH("Update Not Provided",W67)))</formula>
    </cfRule>
    <cfRule type="containsText" dxfId="4103" priority="165" operator="containsText" text="Not Yet Due">
      <formula>NOT(ISERROR(SEARCH("Not Yet Due",W67)))</formula>
    </cfRule>
    <cfRule type="containsText" dxfId="4102" priority="166" operator="containsText" text="Deleted">
      <formula>NOT(ISERROR(SEARCH("Deleted",W67)))</formula>
    </cfRule>
    <cfRule type="containsText" dxfId="4101" priority="167" operator="containsText" text="Completed Behind Schedule">
      <formula>NOT(ISERROR(SEARCH("Completed Behind Schedule",W67)))</formula>
    </cfRule>
    <cfRule type="containsText" dxfId="4100" priority="168" operator="containsText" text="Off Target">
      <formula>NOT(ISERROR(SEARCH("Off Target",W67)))</formula>
    </cfRule>
    <cfRule type="containsText" dxfId="4099" priority="169" operator="containsText" text="In Danger of Falling Behind Target">
      <formula>NOT(ISERROR(SEARCH("In Danger of Falling Behind Target",W67)))</formula>
    </cfRule>
    <cfRule type="containsText" dxfId="4098" priority="170" operator="containsText" text="Fully Achieved">
      <formula>NOT(ISERROR(SEARCH("Fully Achieved",W67)))</formula>
    </cfRule>
    <cfRule type="containsText" dxfId="4097" priority="171" operator="containsText" text="On track to be achieved">
      <formula>NOT(ISERROR(SEARCH("On track to be achieved",W67)))</formula>
    </cfRule>
  </conditionalFormatting>
  <conditionalFormatting sqref="W68">
    <cfRule type="containsText" dxfId="4096" priority="154" operator="containsText" text="Deferred">
      <formula>NOT(ISERROR(SEARCH("Deferred",W68)))</formula>
    </cfRule>
    <cfRule type="containsText" dxfId="4095" priority="155" operator="containsText" text="Update Not Provided">
      <formula>NOT(ISERROR(SEARCH("Update Not Provided",W68)))</formula>
    </cfRule>
    <cfRule type="containsText" dxfId="4094" priority="156" operator="containsText" text="Not Yet Due">
      <formula>NOT(ISERROR(SEARCH("Not Yet Due",W68)))</formula>
    </cfRule>
    <cfRule type="containsText" dxfId="4093" priority="157" operator="containsText" text="Deleted">
      <formula>NOT(ISERROR(SEARCH("Deleted",W68)))</formula>
    </cfRule>
    <cfRule type="containsText" dxfId="4092" priority="158" operator="containsText" text="Completed Behind Schedule">
      <formula>NOT(ISERROR(SEARCH("Completed Behind Schedule",W68)))</formula>
    </cfRule>
    <cfRule type="containsText" dxfId="4091" priority="159" operator="containsText" text="Off Target">
      <formula>NOT(ISERROR(SEARCH("Off Target",W68)))</formula>
    </cfRule>
    <cfRule type="containsText" dxfId="4090" priority="160" operator="containsText" text="In Danger of Falling Behind Target">
      <formula>NOT(ISERROR(SEARCH("In Danger of Falling Behind Target",W68)))</formula>
    </cfRule>
    <cfRule type="containsText" dxfId="4089" priority="161" operator="containsText" text="Fully Achieved">
      <formula>NOT(ISERROR(SEARCH("Fully Achieved",W68)))</formula>
    </cfRule>
    <cfRule type="containsText" dxfId="4088" priority="162" operator="containsText" text="On track to be achieved">
      <formula>NOT(ISERROR(SEARCH("On track to be achieved",W68)))</formula>
    </cfRule>
  </conditionalFormatting>
  <conditionalFormatting sqref="W75">
    <cfRule type="containsText" dxfId="4087" priority="145" operator="containsText" text="Deferred">
      <formula>NOT(ISERROR(SEARCH("Deferred",W75)))</formula>
    </cfRule>
    <cfRule type="containsText" dxfId="4086" priority="146" operator="containsText" text="Update Not Provided">
      <formula>NOT(ISERROR(SEARCH("Update Not Provided",W75)))</formula>
    </cfRule>
    <cfRule type="containsText" dxfId="4085" priority="147" operator="containsText" text="Not Yet Due">
      <formula>NOT(ISERROR(SEARCH("Not Yet Due",W75)))</formula>
    </cfRule>
    <cfRule type="containsText" dxfId="4084" priority="148" operator="containsText" text="Deleted">
      <formula>NOT(ISERROR(SEARCH("Deleted",W75)))</formula>
    </cfRule>
    <cfRule type="containsText" dxfId="4083" priority="149" operator="containsText" text="Completed Behind Schedule">
      <formula>NOT(ISERROR(SEARCH("Completed Behind Schedule",W75)))</formula>
    </cfRule>
    <cfRule type="containsText" dxfId="4082" priority="150" operator="containsText" text="Off Target">
      <formula>NOT(ISERROR(SEARCH("Off Target",W75)))</formula>
    </cfRule>
    <cfRule type="containsText" dxfId="4081" priority="151" operator="containsText" text="In Danger of Falling Behind Target">
      <formula>NOT(ISERROR(SEARCH("In Danger of Falling Behind Target",W75)))</formula>
    </cfRule>
    <cfRule type="containsText" dxfId="4080" priority="152" operator="containsText" text="Fully Achieved">
      <formula>NOT(ISERROR(SEARCH("Fully Achieved",W75)))</formula>
    </cfRule>
    <cfRule type="containsText" dxfId="4079" priority="153" operator="containsText" text="On track to be achieved">
      <formula>NOT(ISERROR(SEARCH("On track to be achieved",W75)))</formula>
    </cfRule>
  </conditionalFormatting>
  <conditionalFormatting sqref="W76">
    <cfRule type="containsText" dxfId="4078" priority="136" operator="containsText" text="Deferred">
      <formula>NOT(ISERROR(SEARCH("Deferred",W76)))</formula>
    </cfRule>
    <cfRule type="containsText" dxfId="4077" priority="137" operator="containsText" text="Update Not Provided">
      <formula>NOT(ISERROR(SEARCH("Update Not Provided",W76)))</formula>
    </cfRule>
    <cfRule type="containsText" dxfId="4076" priority="138" operator="containsText" text="Not Yet Due">
      <formula>NOT(ISERROR(SEARCH("Not Yet Due",W76)))</formula>
    </cfRule>
    <cfRule type="containsText" dxfId="4075" priority="139" operator="containsText" text="Deleted">
      <formula>NOT(ISERROR(SEARCH("Deleted",W76)))</formula>
    </cfRule>
    <cfRule type="containsText" dxfId="4074" priority="140" operator="containsText" text="Completed Behind Schedule">
      <formula>NOT(ISERROR(SEARCH("Completed Behind Schedule",W76)))</formula>
    </cfRule>
    <cfRule type="containsText" dxfId="4073" priority="141" operator="containsText" text="Off Target">
      <formula>NOT(ISERROR(SEARCH("Off Target",W76)))</formula>
    </cfRule>
    <cfRule type="containsText" dxfId="4072" priority="142" operator="containsText" text="In Danger of Falling Behind Target">
      <formula>NOT(ISERROR(SEARCH("In Danger of Falling Behind Target",W76)))</formula>
    </cfRule>
    <cfRule type="containsText" dxfId="4071" priority="143" operator="containsText" text="Fully Achieved">
      <formula>NOT(ISERROR(SEARCH("Fully Achieved",W76)))</formula>
    </cfRule>
    <cfRule type="containsText" dxfId="4070" priority="144" operator="containsText" text="On track to be achieved">
      <formula>NOT(ISERROR(SEARCH("On track to be achieved",W76)))</formula>
    </cfRule>
  </conditionalFormatting>
  <conditionalFormatting sqref="W77">
    <cfRule type="containsText" dxfId="4069" priority="127" operator="containsText" text="Deferred">
      <formula>NOT(ISERROR(SEARCH("Deferred",W77)))</formula>
    </cfRule>
    <cfRule type="containsText" dxfId="4068" priority="128" operator="containsText" text="Update Not Provided">
      <formula>NOT(ISERROR(SEARCH("Update Not Provided",W77)))</formula>
    </cfRule>
    <cfRule type="containsText" dxfId="4067" priority="129" operator="containsText" text="Not Yet Due">
      <formula>NOT(ISERROR(SEARCH("Not Yet Due",W77)))</formula>
    </cfRule>
    <cfRule type="containsText" dxfId="4066" priority="130" operator="containsText" text="Deleted">
      <formula>NOT(ISERROR(SEARCH("Deleted",W77)))</formula>
    </cfRule>
    <cfRule type="containsText" dxfId="4065" priority="131" operator="containsText" text="Completed Behind Schedule">
      <formula>NOT(ISERROR(SEARCH("Completed Behind Schedule",W77)))</formula>
    </cfRule>
    <cfRule type="containsText" dxfId="4064" priority="132" operator="containsText" text="Off Target">
      <formula>NOT(ISERROR(SEARCH("Off Target",W77)))</formula>
    </cfRule>
    <cfRule type="containsText" dxfId="4063" priority="133" operator="containsText" text="In Danger of Falling Behind Target">
      <formula>NOT(ISERROR(SEARCH("In Danger of Falling Behind Target",W77)))</formula>
    </cfRule>
    <cfRule type="containsText" dxfId="4062" priority="134" operator="containsText" text="Fully Achieved">
      <formula>NOT(ISERROR(SEARCH("Fully Achieved",W77)))</formula>
    </cfRule>
    <cfRule type="containsText" dxfId="4061" priority="135" operator="containsText" text="On track to be achieved">
      <formula>NOT(ISERROR(SEARCH("On track to be achieved",W77)))</formula>
    </cfRule>
  </conditionalFormatting>
  <conditionalFormatting sqref="W80">
    <cfRule type="containsText" dxfId="4060" priority="118" operator="containsText" text="Deferred">
      <formula>NOT(ISERROR(SEARCH("Deferred",W80)))</formula>
    </cfRule>
    <cfRule type="containsText" dxfId="4059" priority="119" operator="containsText" text="Update Not Provided">
      <formula>NOT(ISERROR(SEARCH("Update Not Provided",W80)))</formula>
    </cfRule>
    <cfRule type="containsText" dxfId="4058" priority="120" operator="containsText" text="Not Yet Due">
      <formula>NOT(ISERROR(SEARCH("Not Yet Due",W80)))</formula>
    </cfRule>
    <cfRule type="containsText" dxfId="4057" priority="121" operator="containsText" text="Deleted">
      <formula>NOT(ISERROR(SEARCH("Deleted",W80)))</formula>
    </cfRule>
    <cfRule type="containsText" dxfId="4056" priority="122" operator="containsText" text="Completed Behind Schedule">
      <formula>NOT(ISERROR(SEARCH("Completed Behind Schedule",W80)))</formula>
    </cfRule>
    <cfRule type="containsText" dxfId="4055" priority="123" operator="containsText" text="Off Target">
      <formula>NOT(ISERROR(SEARCH("Off Target",W80)))</formula>
    </cfRule>
    <cfRule type="containsText" dxfId="4054" priority="124" operator="containsText" text="In Danger of Falling Behind Target">
      <formula>NOT(ISERROR(SEARCH("In Danger of Falling Behind Target",W80)))</formula>
    </cfRule>
    <cfRule type="containsText" dxfId="4053" priority="125" operator="containsText" text="Fully Achieved">
      <formula>NOT(ISERROR(SEARCH("Fully Achieved",W80)))</formula>
    </cfRule>
    <cfRule type="containsText" dxfId="4052" priority="126" operator="containsText" text="On track to be achieved">
      <formula>NOT(ISERROR(SEARCH("On track to be achieved",W80)))</formula>
    </cfRule>
  </conditionalFormatting>
  <conditionalFormatting sqref="W83">
    <cfRule type="containsText" dxfId="4051" priority="109" operator="containsText" text="Deferred">
      <formula>NOT(ISERROR(SEARCH("Deferred",W83)))</formula>
    </cfRule>
    <cfRule type="containsText" dxfId="4050" priority="110" operator="containsText" text="Update Not Provided">
      <formula>NOT(ISERROR(SEARCH("Update Not Provided",W83)))</formula>
    </cfRule>
    <cfRule type="containsText" dxfId="4049" priority="111" operator="containsText" text="Not Yet Due">
      <formula>NOT(ISERROR(SEARCH("Not Yet Due",W83)))</formula>
    </cfRule>
    <cfRule type="containsText" dxfId="4048" priority="112" operator="containsText" text="Deleted">
      <formula>NOT(ISERROR(SEARCH("Deleted",W83)))</formula>
    </cfRule>
    <cfRule type="containsText" dxfId="4047" priority="113" operator="containsText" text="Completed Behind Schedule">
      <formula>NOT(ISERROR(SEARCH("Completed Behind Schedule",W83)))</formula>
    </cfRule>
    <cfRule type="containsText" dxfId="4046" priority="114" operator="containsText" text="Off Target">
      <formula>NOT(ISERROR(SEARCH("Off Target",W83)))</formula>
    </cfRule>
    <cfRule type="containsText" dxfId="4045" priority="115" operator="containsText" text="In Danger of Falling Behind Target">
      <formula>NOT(ISERROR(SEARCH("In Danger of Falling Behind Target",W83)))</formula>
    </cfRule>
    <cfRule type="containsText" dxfId="4044" priority="116" operator="containsText" text="Fully Achieved">
      <formula>NOT(ISERROR(SEARCH("Fully Achieved",W83)))</formula>
    </cfRule>
    <cfRule type="containsText" dxfId="4043" priority="117" operator="containsText" text="On track to be achieved">
      <formula>NOT(ISERROR(SEARCH("On track to be achieved",W83)))</formula>
    </cfRule>
  </conditionalFormatting>
  <conditionalFormatting sqref="W87">
    <cfRule type="containsText" dxfId="4042" priority="100" operator="containsText" text="Deferred">
      <formula>NOT(ISERROR(SEARCH("Deferred",W87)))</formula>
    </cfRule>
    <cfRule type="containsText" dxfId="4041" priority="101" operator="containsText" text="Update Not Provided">
      <formula>NOT(ISERROR(SEARCH("Update Not Provided",W87)))</formula>
    </cfRule>
    <cfRule type="containsText" dxfId="4040" priority="102" operator="containsText" text="Not Yet Due">
      <formula>NOT(ISERROR(SEARCH("Not Yet Due",W87)))</formula>
    </cfRule>
    <cfRule type="containsText" dxfId="4039" priority="103" operator="containsText" text="Deleted">
      <formula>NOT(ISERROR(SEARCH("Deleted",W87)))</formula>
    </cfRule>
    <cfRule type="containsText" dxfId="4038" priority="104" operator="containsText" text="Completed Behind Schedule">
      <formula>NOT(ISERROR(SEARCH("Completed Behind Schedule",W87)))</formula>
    </cfRule>
    <cfRule type="containsText" dxfId="4037" priority="105" operator="containsText" text="Off Target">
      <formula>NOT(ISERROR(SEARCH("Off Target",W87)))</formula>
    </cfRule>
    <cfRule type="containsText" dxfId="4036" priority="106" operator="containsText" text="In Danger of Falling Behind Target">
      <formula>NOT(ISERROR(SEARCH("In Danger of Falling Behind Target",W87)))</formula>
    </cfRule>
    <cfRule type="containsText" dxfId="4035" priority="107" operator="containsText" text="Fully Achieved">
      <formula>NOT(ISERROR(SEARCH("Fully Achieved",W87)))</formula>
    </cfRule>
    <cfRule type="containsText" dxfId="4034" priority="108" operator="containsText" text="On track to be achieved">
      <formula>NOT(ISERROR(SEARCH("On track to be achieved",W87)))</formula>
    </cfRule>
  </conditionalFormatting>
  <conditionalFormatting sqref="W89">
    <cfRule type="containsText" dxfId="4033" priority="91" operator="containsText" text="Deferred">
      <formula>NOT(ISERROR(SEARCH("Deferred",W89)))</formula>
    </cfRule>
    <cfRule type="containsText" dxfId="4032" priority="92" operator="containsText" text="Update Not Provided">
      <formula>NOT(ISERROR(SEARCH("Update Not Provided",W89)))</formula>
    </cfRule>
    <cfRule type="containsText" dxfId="4031" priority="93" operator="containsText" text="Not Yet Due">
      <formula>NOT(ISERROR(SEARCH("Not Yet Due",W89)))</formula>
    </cfRule>
    <cfRule type="containsText" dxfId="4030" priority="94" operator="containsText" text="Deleted">
      <formula>NOT(ISERROR(SEARCH("Deleted",W89)))</formula>
    </cfRule>
    <cfRule type="containsText" dxfId="4029" priority="95" operator="containsText" text="Completed Behind Schedule">
      <formula>NOT(ISERROR(SEARCH("Completed Behind Schedule",W89)))</formula>
    </cfRule>
    <cfRule type="containsText" dxfId="4028" priority="96" operator="containsText" text="Off Target">
      <formula>NOT(ISERROR(SEARCH("Off Target",W89)))</formula>
    </cfRule>
    <cfRule type="containsText" dxfId="4027" priority="97" operator="containsText" text="In Danger of Falling Behind Target">
      <formula>NOT(ISERROR(SEARCH("In Danger of Falling Behind Target",W89)))</formula>
    </cfRule>
    <cfRule type="containsText" dxfId="4026" priority="98" operator="containsText" text="Fully Achieved">
      <formula>NOT(ISERROR(SEARCH("Fully Achieved",W89)))</formula>
    </cfRule>
    <cfRule type="containsText" dxfId="4025" priority="99" operator="containsText" text="On track to be achieved">
      <formula>NOT(ISERROR(SEARCH("On track to be achieved",W89)))</formula>
    </cfRule>
  </conditionalFormatting>
  <conditionalFormatting sqref="W90">
    <cfRule type="containsText" dxfId="4024" priority="82" operator="containsText" text="Deferred">
      <formula>NOT(ISERROR(SEARCH("Deferred",W90)))</formula>
    </cfRule>
    <cfRule type="containsText" dxfId="4023" priority="83" operator="containsText" text="Update Not Provided">
      <formula>NOT(ISERROR(SEARCH("Update Not Provided",W90)))</formula>
    </cfRule>
    <cfRule type="containsText" dxfId="4022" priority="84" operator="containsText" text="Not Yet Due">
      <formula>NOT(ISERROR(SEARCH("Not Yet Due",W90)))</formula>
    </cfRule>
    <cfRule type="containsText" dxfId="4021" priority="85" operator="containsText" text="Deleted">
      <formula>NOT(ISERROR(SEARCH("Deleted",W90)))</formula>
    </cfRule>
    <cfRule type="containsText" dxfId="4020" priority="86" operator="containsText" text="Completed Behind Schedule">
      <formula>NOT(ISERROR(SEARCH("Completed Behind Schedule",W90)))</formula>
    </cfRule>
    <cfRule type="containsText" dxfId="4019" priority="87" operator="containsText" text="Off Target">
      <formula>NOT(ISERROR(SEARCH("Off Target",W90)))</formula>
    </cfRule>
    <cfRule type="containsText" dxfId="4018" priority="88" operator="containsText" text="In Danger of Falling Behind Target">
      <formula>NOT(ISERROR(SEARCH("In Danger of Falling Behind Target",W90)))</formula>
    </cfRule>
    <cfRule type="containsText" dxfId="4017" priority="89" operator="containsText" text="Fully Achieved">
      <formula>NOT(ISERROR(SEARCH("Fully Achieved",W90)))</formula>
    </cfRule>
    <cfRule type="containsText" dxfId="4016" priority="90" operator="containsText" text="On track to be achieved">
      <formula>NOT(ISERROR(SEARCH("On track to be achieved",W90)))</formula>
    </cfRule>
  </conditionalFormatting>
  <conditionalFormatting sqref="W100">
    <cfRule type="containsText" dxfId="4015" priority="73" operator="containsText" text="Deferred">
      <formula>NOT(ISERROR(SEARCH("Deferred",W100)))</formula>
    </cfRule>
    <cfRule type="containsText" dxfId="4014" priority="74" operator="containsText" text="Update Not Provided">
      <formula>NOT(ISERROR(SEARCH("Update Not Provided",W100)))</formula>
    </cfRule>
    <cfRule type="containsText" dxfId="4013" priority="75" operator="containsText" text="Not Yet Due">
      <formula>NOT(ISERROR(SEARCH("Not Yet Due",W100)))</formula>
    </cfRule>
    <cfRule type="containsText" dxfId="4012" priority="76" operator="containsText" text="Deleted">
      <formula>NOT(ISERROR(SEARCH("Deleted",W100)))</formula>
    </cfRule>
    <cfRule type="containsText" dxfId="4011" priority="77" operator="containsText" text="Completed Behind Schedule">
      <formula>NOT(ISERROR(SEARCH("Completed Behind Schedule",W100)))</formula>
    </cfRule>
    <cfRule type="containsText" dxfId="4010" priority="78" operator="containsText" text="Off Target">
      <formula>NOT(ISERROR(SEARCH("Off Target",W100)))</formula>
    </cfRule>
    <cfRule type="containsText" dxfId="4009" priority="79" operator="containsText" text="In Danger of Falling Behind Target">
      <formula>NOT(ISERROR(SEARCH("In Danger of Falling Behind Target",W100)))</formula>
    </cfRule>
    <cfRule type="containsText" dxfId="4008" priority="80" operator="containsText" text="Fully Achieved">
      <formula>NOT(ISERROR(SEARCH("Fully Achieved",W100)))</formula>
    </cfRule>
    <cfRule type="containsText" dxfId="4007" priority="81" operator="containsText" text="On track to be achieved">
      <formula>NOT(ISERROR(SEARCH("On track to be achieved",W100)))</formula>
    </cfRule>
  </conditionalFormatting>
  <conditionalFormatting sqref="W101">
    <cfRule type="containsText" dxfId="4006" priority="64" operator="containsText" text="Deferred">
      <formula>NOT(ISERROR(SEARCH("Deferred",W101)))</formula>
    </cfRule>
    <cfRule type="containsText" dxfId="4005" priority="65" operator="containsText" text="Update Not Provided">
      <formula>NOT(ISERROR(SEARCH("Update Not Provided",W101)))</formula>
    </cfRule>
    <cfRule type="containsText" dxfId="4004" priority="66" operator="containsText" text="Not Yet Due">
      <formula>NOT(ISERROR(SEARCH("Not Yet Due",W101)))</formula>
    </cfRule>
    <cfRule type="containsText" dxfId="4003" priority="67" operator="containsText" text="Deleted">
      <formula>NOT(ISERROR(SEARCH("Deleted",W101)))</formula>
    </cfRule>
    <cfRule type="containsText" dxfId="4002" priority="68" operator="containsText" text="Completed Behind Schedule">
      <formula>NOT(ISERROR(SEARCH("Completed Behind Schedule",W101)))</formula>
    </cfRule>
    <cfRule type="containsText" dxfId="4001" priority="69" operator="containsText" text="Off Target">
      <formula>NOT(ISERROR(SEARCH("Off Target",W101)))</formula>
    </cfRule>
    <cfRule type="containsText" dxfId="4000" priority="70" operator="containsText" text="In Danger of Falling Behind Target">
      <formula>NOT(ISERROR(SEARCH("In Danger of Falling Behind Target",W101)))</formula>
    </cfRule>
    <cfRule type="containsText" dxfId="3999" priority="71" operator="containsText" text="Fully Achieved">
      <formula>NOT(ISERROR(SEARCH("Fully Achieved",W101)))</formula>
    </cfRule>
    <cfRule type="containsText" dxfId="3998" priority="72" operator="containsText" text="On track to be achieved">
      <formula>NOT(ISERROR(SEARCH("On track to be achieved",W101)))</formula>
    </cfRule>
  </conditionalFormatting>
  <conditionalFormatting sqref="W102">
    <cfRule type="containsText" dxfId="3997" priority="55" operator="containsText" text="Deferred">
      <formula>NOT(ISERROR(SEARCH("Deferred",W102)))</formula>
    </cfRule>
    <cfRule type="containsText" dxfId="3996" priority="56" operator="containsText" text="Update Not Provided">
      <formula>NOT(ISERROR(SEARCH("Update Not Provided",W102)))</formula>
    </cfRule>
    <cfRule type="containsText" dxfId="3995" priority="57" operator="containsText" text="Not Yet Due">
      <formula>NOT(ISERROR(SEARCH("Not Yet Due",W102)))</formula>
    </cfRule>
    <cfRule type="containsText" dxfId="3994" priority="58" operator="containsText" text="Deleted">
      <formula>NOT(ISERROR(SEARCH("Deleted",W102)))</formula>
    </cfRule>
    <cfRule type="containsText" dxfId="3993" priority="59" operator="containsText" text="Completed Behind Schedule">
      <formula>NOT(ISERROR(SEARCH("Completed Behind Schedule",W102)))</formula>
    </cfRule>
    <cfRule type="containsText" dxfId="3992" priority="60" operator="containsText" text="Off Target">
      <formula>NOT(ISERROR(SEARCH("Off Target",W102)))</formula>
    </cfRule>
    <cfRule type="containsText" dxfId="3991" priority="61" operator="containsText" text="In Danger of Falling Behind Target">
      <formula>NOT(ISERROR(SEARCH("In Danger of Falling Behind Target",W102)))</formula>
    </cfRule>
    <cfRule type="containsText" dxfId="3990" priority="62" operator="containsText" text="Fully Achieved">
      <formula>NOT(ISERROR(SEARCH("Fully Achieved",W102)))</formula>
    </cfRule>
    <cfRule type="containsText" dxfId="3989" priority="63" operator="containsText" text="On track to be achieved">
      <formula>NOT(ISERROR(SEARCH("On track to be achieved",W102)))</formula>
    </cfRule>
  </conditionalFormatting>
  <conditionalFormatting sqref="W103">
    <cfRule type="containsText" dxfId="3988" priority="46" operator="containsText" text="Deferred">
      <formula>NOT(ISERROR(SEARCH("Deferred",W103)))</formula>
    </cfRule>
    <cfRule type="containsText" dxfId="3987" priority="47" operator="containsText" text="Update Not Provided">
      <formula>NOT(ISERROR(SEARCH("Update Not Provided",W103)))</formula>
    </cfRule>
    <cfRule type="containsText" dxfId="3986" priority="48" operator="containsText" text="Not Yet Due">
      <formula>NOT(ISERROR(SEARCH("Not Yet Due",W103)))</formula>
    </cfRule>
    <cfRule type="containsText" dxfId="3985" priority="49" operator="containsText" text="Deleted">
      <formula>NOT(ISERROR(SEARCH("Deleted",W103)))</formula>
    </cfRule>
    <cfRule type="containsText" dxfId="3984" priority="50" operator="containsText" text="Completed Behind Schedule">
      <formula>NOT(ISERROR(SEARCH("Completed Behind Schedule",W103)))</formula>
    </cfRule>
    <cfRule type="containsText" dxfId="3983" priority="51" operator="containsText" text="Off Target">
      <formula>NOT(ISERROR(SEARCH("Off Target",W103)))</formula>
    </cfRule>
    <cfRule type="containsText" dxfId="3982" priority="52" operator="containsText" text="In Danger of Falling Behind Target">
      <formula>NOT(ISERROR(SEARCH("In Danger of Falling Behind Target",W103)))</formula>
    </cfRule>
    <cfRule type="containsText" dxfId="3981" priority="53" operator="containsText" text="Fully Achieved">
      <formula>NOT(ISERROR(SEARCH("Fully Achieved",W103)))</formula>
    </cfRule>
    <cfRule type="containsText" dxfId="3980" priority="54" operator="containsText" text="On track to be achieved">
      <formula>NOT(ISERROR(SEARCH("On track to be achieved",W103)))</formula>
    </cfRule>
  </conditionalFormatting>
  <conditionalFormatting sqref="W107">
    <cfRule type="containsText" dxfId="3979" priority="37" operator="containsText" text="Deferred">
      <formula>NOT(ISERROR(SEARCH("Deferred",W107)))</formula>
    </cfRule>
    <cfRule type="containsText" dxfId="3978" priority="38" operator="containsText" text="Update Not Provided">
      <formula>NOT(ISERROR(SEARCH("Update Not Provided",W107)))</formula>
    </cfRule>
    <cfRule type="containsText" dxfId="3977" priority="39" operator="containsText" text="Not Yet Due">
      <formula>NOT(ISERROR(SEARCH("Not Yet Due",W107)))</formula>
    </cfRule>
    <cfRule type="containsText" dxfId="3976" priority="40" operator="containsText" text="Deleted">
      <formula>NOT(ISERROR(SEARCH("Deleted",W107)))</formula>
    </cfRule>
    <cfRule type="containsText" dxfId="3975" priority="41" operator="containsText" text="Completed Behind Schedule">
      <formula>NOT(ISERROR(SEARCH("Completed Behind Schedule",W107)))</formula>
    </cfRule>
    <cfRule type="containsText" dxfId="3974" priority="42" operator="containsText" text="Off Target">
      <formula>NOT(ISERROR(SEARCH("Off Target",W107)))</formula>
    </cfRule>
    <cfRule type="containsText" dxfId="3973" priority="43" operator="containsText" text="In Danger of Falling Behind Target">
      <formula>NOT(ISERROR(SEARCH("In Danger of Falling Behind Target",W107)))</formula>
    </cfRule>
    <cfRule type="containsText" dxfId="3972" priority="44" operator="containsText" text="Fully Achieved">
      <formula>NOT(ISERROR(SEARCH("Fully Achieved",W107)))</formula>
    </cfRule>
    <cfRule type="containsText" dxfId="3971" priority="45" operator="containsText" text="On track to be achieved">
      <formula>NOT(ISERROR(SEARCH("On track to be achieved",W107)))</formula>
    </cfRule>
  </conditionalFormatting>
  <conditionalFormatting sqref="W74">
    <cfRule type="containsText" dxfId="3970" priority="28" operator="containsText" text="Deferred">
      <formula>NOT(ISERROR(SEARCH("Deferred",W74)))</formula>
    </cfRule>
    <cfRule type="containsText" dxfId="3969" priority="29" operator="containsText" text="Update Not Provided">
      <formula>NOT(ISERROR(SEARCH("Update Not Provided",W74)))</formula>
    </cfRule>
    <cfRule type="containsText" dxfId="3968" priority="30" operator="containsText" text="Not Yet Due">
      <formula>NOT(ISERROR(SEARCH("Not Yet Due",W74)))</formula>
    </cfRule>
    <cfRule type="containsText" dxfId="3967" priority="31" operator="containsText" text="Deleted">
      <formula>NOT(ISERROR(SEARCH("Deleted",W74)))</formula>
    </cfRule>
    <cfRule type="containsText" dxfId="3966" priority="32" operator="containsText" text="Completed Behind Schedule">
      <formula>NOT(ISERROR(SEARCH("Completed Behind Schedule",W74)))</formula>
    </cfRule>
    <cfRule type="containsText" dxfId="3965" priority="33" operator="containsText" text="Off Target">
      <formula>NOT(ISERROR(SEARCH("Off Target",W74)))</formula>
    </cfRule>
    <cfRule type="containsText" dxfId="3964" priority="34" operator="containsText" text="In Danger of Falling Behind Target">
      <formula>NOT(ISERROR(SEARCH("In Danger of Falling Behind Target",W74)))</formula>
    </cfRule>
    <cfRule type="containsText" dxfId="3963" priority="35" operator="containsText" text="Fully Achieved">
      <formula>NOT(ISERROR(SEARCH("Fully Achieved",W74)))</formula>
    </cfRule>
    <cfRule type="containsText" dxfId="3962" priority="36" operator="containsText" text="On track to be achieved">
      <formula>NOT(ISERROR(SEARCH("On track to be achieved",W74)))</formula>
    </cfRule>
  </conditionalFormatting>
  <conditionalFormatting sqref="W70">
    <cfRule type="containsText" dxfId="3961" priority="19" operator="containsText" text="Deferred">
      <formula>NOT(ISERROR(SEARCH("Deferred",W70)))</formula>
    </cfRule>
    <cfRule type="containsText" dxfId="3960" priority="20" operator="containsText" text="Update Not Provided">
      <formula>NOT(ISERROR(SEARCH("Update Not Provided",W70)))</formula>
    </cfRule>
    <cfRule type="containsText" dxfId="3959" priority="21" operator="containsText" text="Not Yet Due">
      <formula>NOT(ISERROR(SEARCH("Not Yet Due",W70)))</formula>
    </cfRule>
    <cfRule type="containsText" dxfId="3958" priority="22" operator="containsText" text="Deleted">
      <formula>NOT(ISERROR(SEARCH("Deleted",W70)))</formula>
    </cfRule>
    <cfRule type="containsText" dxfId="3957" priority="23" operator="containsText" text="Completed Behind Schedule">
      <formula>NOT(ISERROR(SEARCH("Completed Behind Schedule",W70)))</formula>
    </cfRule>
    <cfRule type="containsText" dxfId="3956" priority="24" operator="containsText" text="Off Target">
      <formula>NOT(ISERROR(SEARCH("Off Target",W70)))</formula>
    </cfRule>
    <cfRule type="containsText" dxfId="3955" priority="25" operator="containsText" text="In Danger of Falling Behind Target">
      <formula>NOT(ISERROR(SEARCH("In Danger of Falling Behind Target",W70)))</formula>
    </cfRule>
    <cfRule type="containsText" dxfId="3954" priority="26" operator="containsText" text="Fully Achieved">
      <formula>NOT(ISERROR(SEARCH("Fully Achieved",W70)))</formula>
    </cfRule>
    <cfRule type="containsText" dxfId="3953" priority="27" operator="containsText" text="On track to be achieved">
      <formula>NOT(ISERROR(SEARCH("On track to be achieved",W70)))</formula>
    </cfRule>
  </conditionalFormatting>
  <conditionalFormatting sqref="W65">
    <cfRule type="containsText" dxfId="3952" priority="10" operator="containsText" text="Deferred">
      <formula>NOT(ISERROR(SEARCH("Deferred",W65)))</formula>
    </cfRule>
    <cfRule type="containsText" dxfId="3951" priority="11" operator="containsText" text="Update Not Provided">
      <formula>NOT(ISERROR(SEARCH("Update Not Provided",W65)))</formula>
    </cfRule>
    <cfRule type="containsText" dxfId="3950" priority="12" operator="containsText" text="Not Yet Due">
      <formula>NOT(ISERROR(SEARCH("Not Yet Due",W65)))</formula>
    </cfRule>
    <cfRule type="containsText" dxfId="3949" priority="13" operator="containsText" text="Deleted">
      <formula>NOT(ISERROR(SEARCH("Deleted",W65)))</formula>
    </cfRule>
    <cfRule type="containsText" dxfId="3948" priority="14" operator="containsText" text="Completed Behind Schedule">
      <formula>NOT(ISERROR(SEARCH("Completed Behind Schedule",W65)))</formula>
    </cfRule>
    <cfRule type="containsText" dxfId="3947" priority="15" operator="containsText" text="Off Target">
      <formula>NOT(ISERROR(SEARCH("Off Target",W65)))</formula>
    </cfRule>
    <cfRule type="containsText" dxfId="3946" priority="16" operator="containsText" text="In Danger of Falling Behind Target">
      <formula>NOT(ISERROR(SEARCH("In Danger of Falling Behind Target",W65)))</formula>
    </cfRule>
    <cfRule type="containsText" dxfId="3945" priority="17" operator="containsText" text="Fully Achieved">
      <formula>NOT(ISERROR(SEARCH("Fully Achieved",W65)))</formula>
    </cfRule>
    <cfRule type="containsText" dxfId="3944" priority="18" operator="containsText" text="On track to be achieved">
      <formula>NOT(ISERROR(SEARCH("On track to be achieved",W65)))</formula>
    </cfRule>
  </conditionalFormatting>
  <conditionalFormatting sqref="W27">
    <cfRule type="containsText" dxfId="3943" priority="1" operator="containsText" text="Deferred">
      <formula>NOT(ISERROR(SEARCH("Deferred",W27)))</formula>
    </cfRule>
    <cfRule type="containsText" dxfId="3942" priority="2" operator="containsText" text="Update Not Provided">
      <formula>NOT(ISERROR(SEARCH("Update Not Provided",W27)))</formula>
    </cfRule>
    <cfRule type="containsText" dxfId="3941" priority="3" operator="containsText" text="Not Yet Due">
      <formula>NOT(ISERROR(SEARCH("Not Yet Due",W27)))</formula>
    </cfRule>
    <cfRule type="containsText" dxfId="3940" priority="4" operator="containsText" text="Deleted">
      <formula>NOT(ISERROR(SEARCH("Deleted",W27)))</formula>
    </cfRule>
    <cfRule type="containsText" dxfId="3939" priority="5" operator="containsText" text="Completed Behind Schedule">
      <formula>NOT(ISERROR(SEARCH("Completed Behind Schedule",W27)))</formula>
    </cfRule>
    <cfRule type="containsText" dxfId="3938" priority="6" operator="containsText" text="Off Target">
      <formula>NOT(ISERROR(SEARCH("Off Target",W27)))</formula>
    </cfRule>
    <cfRule type="containsText" dxfId="3937" priority="7" operator="containsText" text="In Danger of Falling Behind Target">
      <formula>NOT(ISERROR(SEARCH("In Danger of Falling Behind Target",W27)))</formula>
    </cfRule>
    <cfRule type="containsText" dxfId="3936" priority="8" operator="containsText" text="Fully Achieved">
      <formula>NOT(ISERROR(SEARCH("Fully Achieved",W27)))</formula>
    </cfRule>
    <cfRule type="containsText" dxfId="3935" priority="9" operator="containsText" text="On track to be achieved">
      <formula>NOT(ISERROR(SEARCH("On track to be achieved",W27)))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I3:I111 N3:N111 S3:S111 W5 W7 W10 W13:W15 W19 W21 W24:W27 W31 W33:W34 W36:W37 W45 W50 W58:W59 W61:W68 W74:W77 W80 W83 W87 W89:W90 W100:W103 W107 W70">
      <formula1>$A$164:$A$172</formula1>
    </dataValidation>
    <dataValidation type="list" allowBlank="1" showInputMessage="1" showErrorMessage="1" promptTitle="Is target on track?" prompt="Please choose an option from the drop down list that best describes the current situation for this target." sqref="W3:W4 W6 W8:W9 W11:W12 W16:W18 W20 W22:W23 W69 W32 W35 W38:W44 W46:W49 W51:W57 W60 W71:W73 W108:W111 W78:W79 W81:W82 W84:W86 W88 W91:W99 W104:W106 W28:W30">
      <formula1>$A$146:$A$155</formula1>
    </dataValidation>
  </dataValidations>
  <hyperlinks>
    <hyperlink ref="O36" r:id="rId1"/>
  </hyperlinks>
  <pageMargins left="0.23622047244094491" right="0.23622047244094491" top="0.74803149606299213" bottom="0.74803149606299213" header="0.31496062992125984" footer="0.31496062992125984"/>
  <pageSetup paperSize="8" orientation="portrait" r:id="rId2"/>
  <colBreaks count="1" manualBreakCount="1">
    <brk id="10"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419</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Priority'!C6+'2a. % By Priority'!C7</f>
        <v>80</v>
      </c>
      <c r="D5" s="127">
        <f>'2a. % By Priority'!G6</f>
        <v>0.96385542168674698</v>
      </c>
      <c r="E5" s="128">
        <f>'2a. % By Priority'!C9</f>
        <v>2</v>
      </c>
      <c r="F5" s="118">
        <f>'2a. % By Priority'!G9</f>
        <v>2.4096385542168676E-2</v>
      </c>
      <c r="G5" s="138">
        <f>'2a. % By Priority'!C13+'2a. % By Priority'!C14</f>
        <v>1</v>
      </c>
      <c r="H5" s="139">
        <f>'2a. % By Priority'!G13</f>
        <v>1.2048192771084338E-2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Priority'!C28+'2a. % By Priority'!C29</f>
        <v>50</v>
      </c>
      <c r="D7" s="127">
        <f>'2a. % By Priority'!G28</f>
        <v>0.96153846153846156</v>
      </c>
      <c r="E7" s="134">
        <f>'2a. % By Priority'!C31</f>
        <v>1</v>
      </c>
      <c r="F7" s="118">
        <f>'2a. % By Priority'!G31</f>
        <v>1.9230769230769232E-2</v>
      </c>
      <c r="G7" s="138">
        <f>'2a. % By Priority'!C35+'2a. % By Priority'!C36</f>
        <v>1</v>
      </c>
      <c r="H7" s="139">
        <f>'2a. % By Priority'!G35</f>
        <v>1.9230769230769232E-2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Priority'!C50+'2a. % By Priority'!C51</f>
        <v>14</v>
      </c>
      <c r="D8" s="127">
        <f>'2a. % By Priority'!G50</f>
        <v>0.93333333333333335</v>
      </c>
      <c r="E8" s="134">
        <f>'2a. % By Priority'!C53</f>
        <v>1</v>
      </c>
      <c r="F8" s="118">
        <f>'2a. % By Priority'!G53</f>
        <v>6.6666666666666666E-2</v>
      </c>
      <c r="G8" s="138">
        <f>'2a. % By Priority'!C57+'2a. % By Priority'!C58</f>
        <v>0</v>
      </c>
      <c r="H8" s="139">
        <f>'2a. % By Priority'!G57</f>
        <v>0</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Priority'!C72+'2a. % By Priority'!C73</f>
        <v>16</v>
      </c>
      <c r="D9" s="127">
        <f>'2a. % By Priority'!G72</f>
        <v>1</v>
      </c>
      <c r="E9" s="134">
        <f>'2a. % By Priority'!C75</f>
        <v>0</v>
      </c>
      <c r="F9" s="118">
        <f>'2a. % By Priority'!G75</f>
        <v>0</v>
      </c>
      <c r="G9" s="138">
        <f>'2a. % By Priority'!C79+'2a. % By Priority'!C80</f>
        <v>0</v>
      </c>
      <c r="H9" s="139">
        <f>'2a. % By Priority'!G79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Portfolio'!C6+'3a. % by Portfolio'!C7</f>
        <v>11</v>
      </c>
      <c r="D11" s="171">
        <f>'3a. % by Portfolio'!G6</f>
        <v>1</v>
      </c>
      <c r="E11" s="172">
        <f>'3a. % by Portfolio'!C9</f>
        <v>0</v>
      </c>
      <c r="F11" s="173">
        <f>'3a. % by Portfolio'!G9</f>
        <v>0</v>
      </c>
      <c r="G11" s="174">
        <f>'3a. % by Portfolio'!C13+'3a. % by Portfolio'!C14</f>
        <v>0</v>
      </c>
      <c r="H11" s="175">
        <f>'3a. % by Portfolio'!G13</f>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Portfolio'!C29+'3a. % by Portfolio'!C30</f>
        <v>20</v>
      </c>
      <c r="D12" s="171">
        <f>'3a. % by Portfolio'!G29</f>
        <v>0.90909090909090906</v>
      </c>
      <c r="E12" s="176">
        <f>'3a. % by Portfolio'!C32</f>
        <v>2</v>
      </c>
      <c r="F12" s="173">
        <f>'3a. % by Portfolio'!G32</f>
        <v>9.0909090909090912E-2</v>
      </c>
      <c r="G12" s="174">
        <f>'3a. % by Portfolio'!C13+'3a. % by Portfolio'!C14</f>
        <v>0</v>
      </c>
      <c r="H12" s="175">
        <f>'3a. % by Portfolio'!G36</f>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Portfolio'!C51+'3a. % by Portfolio'!C52</f>
        <v>12</v>
      </c>
      <c r="D13" s="171">
        <f>'3a. % by Portfolio'!G51</f>
        <v>1</v>
      </c>
      <c r="E13" s="176">
        <f>'3a. % by Portfolio'!C54</f>
        <v>0</v>
      </c>
      <c r="F13" s="173">
        <f>'3a. % by Portfolio'!G54</f>
        <v>0</v>
      </c>
      <c r="G13" s="174">
        <f>'3a. % by Portfolio'!C58+'3a. % by Portfolio'!C59</f>
        <v>0</v>
      </c>
      <c r="H13" s="175">
        <f>'3a. % by Portfolio'!G58</f>
        <v>0</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Portfolio'!C73+'3a. % by Portfolio'!C74</f>
        <v>25</v>
      </c>
      <c r="D14" s="171">
        <f>'3a. % by Portfolio'!G73</f>
        <v>0.96153846153846145</v>
      </c>
      <c r="E14" s="176">
        <f>'3a. % by Portfolio'!C76</f>
        <v>0</v>
      </c>
      <c r="F14" s="173">
        <f>'3a. % by Portfolio'!G76</f>
        <v>0</v>
      </c>
      <c r="G14" s="174">
        <f>'3a. % by Portfolio'!C80+'3a. % by Portfolio'!C81</f>
        <v>1</v>
      </c>
      <c r="H14" s="175">
        <f>'3a. % by Portfolio'!G80</f>
        <v>3.8461538461538464E-2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Portfolio'!C95+'3a. % by Portfolio'!C96</f>
        <v>12</v>
      </c>
      <c r="D15" s="171">
        <f>'3a. % by Portfolio'!G95</f>
        <v>1</v>
      </c>
      <c r="E15" s="176">
        <f>'3a. % by Portfolio'!C98</f>
        <v>0</v>
      </c>
      <c r="F15" s="173">
        <f>'3a. % by Portfolio'!G98</f>
        <v>0</v>
      </c>
      <c r="G15" s="174">
        <f>'3a. % by Portfolio'!C102+'3a. % by Portfolio'!C103</f>
        <v>0</v>
      </c>
      <c r="H15" s="175">
        <f>'3a. % by Portfolio'!G102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582</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Priority'!J6+'2a. % By Priority'!J7</f>
        <v>95</v>
      </c>
      <c r="D5" s="127">
        <f>'2a. % By Priority'!N6</f>
        <v>0.95959595959595956</v>
      </c>
      <c r="E5" s="128">
        <f>'2a. % By Priority'!J9</f>
        <v>2</v>
      </c>
      <c r="F5" s="118">
        <f>'2a. % By Priority'!N9</f>
        <v>2.0202020202020204E-2</v>
      </c>
      <c r="G5" s="138">
        <f>'2a. % By Priority'!J13+'2a. % By Priority'!J14</f>
        <v>2</v>
      </c>
      <c r="H5" s="139">
        <f>'2a. % By Priority'!N13</f>
        <v>2.0202020202020204E-2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Priority'!J28+'2a. % By Priority'!J29</f>
        <v>57</v>
      </c>
      <c r="D7" s="127">
        <f>'2a. % By Priority'!N28</f>
        <v>0.95</v>
      </c>
      <c r="E7" s="134">
        <f>'2a. % By Priority'!J31</f>
        <v>2</v>
      </c>
      <c r="F7" s="118">
        <f>'2a. % By Priority'!N31</f>
        <v>3.3333333333333333E-2</v>
      </c>
      <c r="G7" s="138">
        <f>'2a. % By Priority'!J35+'2a. % By Priority'!J36</f>
        <v>1</v>
      </c>
      <c r="H7" s="139">
        <f>'2a. % By Priority'!N35</f>
        <v>1.6666666666666666E-2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Priority'!J50+'2a. % By Priority'!J51</f>
        <v>21</v>
      </c>
      <c r="D8" s="127">
        <f>'2a. % By Priority'!N50</f>
        <v>0.95454545454545459</v>
      </c>
      <c r="E8" s="134">
        <f>'2a. % By Priority'!J53</f>
        <v>0</v>
      </c>
      <c r="F8" s="118">
        <f>'2a. % By Priority'!N53</f>
        <v>0</v>
      </c>
      <c r="G8" s="138">
        <f>'2a. % By Priority'!J57+'2a. % By Priority'!J58</f>
        <v>1</v>
      </c>
      <c r="H8" s="139">
        <f>'2a. % By Priority'!N57</f>
        <v>4.5454545454545456E-2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Priority'!J72+'2a. % By Priority'!J73</f>
        <v>17</v>
      </c>
      <c r="D9" s="127">
        <f>'2a. % By Priority'!N72</f>
        <v>1</v>
      </c>
      <c r="E9" s="134">
        <f>'2a. % By Priority'!J75</f>
        <v>0</v>
      </c>
      <c r="F9" s="118">
        <f>'2a. % By Priority'!N75</f>
        <v>0</v>
      </c>
      <c r="G9" s="138">
        <f>'2a. % By Priority'!J79+'2a. % By Priority'!J80</f>
        <v>0</v>
      </c>
      <c r="H9" s="139">
        <f>'2a. % By Priority'!N79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Portfolio'!J6+'3a. % by Portfolio'!J7</f>
        <v>14</v>
      </c>
      <c r="D11" s="171">
        <f>'3a. % by Portfolio'!N6</f>
        <v>0.93333333333333335</v>
      </c>
      <c r="E11" s="172">
        <f>'3a. % by Portfolio'!J9</f>
        <v>1</v>
      </c>
      <c r="F11" s="173">
        <f>'3a. % by Portfolio'!N9</f>
        <v>6.6666666666666666E-2</v>
      </c>
      <c r="G11" s="174">
        <f>'3a. % by Portfolio'!J13+'3a. % by Portfolio'!J14</f>
        <v>0</v>
      </c>
      <c r="H11" s="175">
        <f>'3a. % by Portfolio'!N13</f>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Portfolio'!J29+'3a. % by Portfolio'!J30</f>
        <v>29</v>
      </c>
      <c r="D12" s="171">
        <f>'3a. % by Portfolio'!N29</f>
        <v>0.96666666666666656</v>
      </c>
      <c r="E12" s="176">
        <f>'3a. % by Portfolio'!J32</f>
        <v>1</v>
      </c>
      <c r="F12" s="173">
        <f>'3a. % by Portfolio'!N32</f>
        <v>3.3333333333333333E-2</v>
      </c>
      <c r="G12" s="174">
        <f>'3a. % by Portfolio'!J13+'3a. % by Portfolio'!J14</f>
        <v>0</v>
      </c>
      <c r="H12" s="175">
        <f>'3a. % by Portfolio'!N36</f>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Portfolio'!J51+'3a. % by Portfolio'!J52</f>
        <v>13</v>
      </c>
      <c r="D13" s="171">
        <f>'3a. % by Portfolio'!N51</f>
        <v>0.9285714285714286</v>
      </c>
      <c r="E13" s="176">
        <f>'3a. % by Portfolio'!J54</f>
        <v>0</v>
      </c>
      <c r="F13" s="173">
        <f>'3a. % by Portfolio'!N54</f>
        <v>0</v>
      </c>
      <c r="G13" s="174">
        <f>'3a. % by Portfolio'!J58+'3a. % by Portfolio'!J59</f>
        <v>1</v>
      </c>
      <c r="H13" s="175">
        <f>'3a. % by Portfolio'!N58</f>
        <v>7.1428571428571425E-2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Portfolio'!J73+'3a. % by Portfolio'!J74</f>
        <v>26</v>
      </c>
      <c r="D14" s="171">
        <f>'3a. % by Portfolio'!N73</f>
        <v>0.96296296296296291</v>
      </c>
      <c r="E14" s="176">
        <f>'3a. % by Portfolio'!J76</f>
        <v>0</v>
      </c>
      <c r="F14" s="173">
        <f>'3a. % by Portfolio'!N76</f>
        <v>0</v>
      </c>
      <c r="G14" s="174">
        <f>'3a. % by Portfolio'!J80+'3a. % by Portfolio'!J81</f>
        <v>1</v>
      </c>
      <c r="H14" s="175">
        <f>'3a. % by Portfolio'!N80</f>
        <v>3.7037037037037035E-2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Portfolio'!J95+'3a. % by Portfolio'!J96</f>
        <v>13</v>
      </c>
      <c r="D15" s="171">
        <f>'3a. % by Portfolio'!N95</f>
        <v>1</v>
      </c>
      <c r="E15" s="176">
        <f>'3a. % by Portfolio'!J98</f>
        <v>0</v>
      </c>
      <c r="F15" s="173">
        <f>'3a. % by Portfolio'!N98</f>
        <v>0</v>
      </c>
      <c r="G15" s="174">
        <f>'3a. % by Portfolio'!J102+'3a. % by Portfolio'!J103</f>
        <v>0</v>
      </c>
      <c r="H15" s="175">
        <f>'3a. % by Portfolio'!N102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688</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Priority'!Q6+'2a. % By Priority'!Q7</f>
        <v>94</v>
      </c>
      <c r="D5" s="127">
        <f>'2a. % By Priority'!U6</f>
        <v>0.94000000000000006</v>
      </c>
      <c r="E5" s="128">
        <f>'2a. % By Priority'!Q9</f>
        <v>1</v>
      </c>
      <c r="F5" s="118">
        <f>'2a. % By Priority'!U9</f>
        <v>0.01</v>
      </c>
      <c r="G5" s="138">
        <f>'2a. % By Priority'!Q13+'2a. % By Priority'!Q14</f>
        <v>5</v>
      </c>
      <c r="H5" s="139">
        <f>'2a. % By Priority'!U13</f>
        <v>0.05</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Priority'!Q28+'2a. % By Priority'!Q29</f>
        <v>59</v>
      </c>
      <c r="D7" s="127">
        <f>'2a. % By Priority'!U28</f>
        <v>0.95161290322580649</v>
      </c>
      <c r="E7" s="134">
        <f>'2a. % By Priority'!Q31</f>
        <v>0</v>
      </c>
      <c r="F7" s="118">
        <f>'2a. % By Priority'!U31</f>
        <v>0</v>
      </c>
      <c r="G7" s="138">
        <f>'2a. % By Priority'!Q35+'2a. % By Priority'!Q36</f>
        <v>3</v>
      </c>
      <c r="H7" s="139">
        <f>'2a. % By Priority'!U35</f>
        <v>4.8387096774193547E-2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Priority'!Q50+'2a. % By Priority'!Q51</f>
        <v>19</v>
      </c>
      <c r="D8" s="127">
        <f>'2a. % By Priority'!G50</f>
        <v>0.93333333333333335</v>
      </c>
      <c r="E8" s="134">
        <f>'2a. % By Priority'!Q53</f>
        <v>0</v>
      </c>
      <c r="F8" s="118">
        <f>'2a. % By Priority'!U53</f>
        <v>0</v>
      </c>
      <c r="G8" s="138">
        <f>'2a. % By Priority'!Q57+'2a. % By Priority'!Q58</f>
        <v>2</v>
      </c>
      <c r="H8" s="139">
        <f>'2a. % By Priority'!U57</f>
        <v>9.5238095238095233E-2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Priority'!Q72+'2a. % By Priority'!Q73</f>
        <v>16</v>
      </c>
      <c r="D9" s="127">
        <f>'2a. % By Priority'!U72</f>
        <v>0.94117647058823528</v>
      </c>
      <c r="E9" s="134">
        <f>'2a. % By Priority'!Q75</f>
        <v>1</v>
      </c>
      <c r="F9" s="118">
        <f>'2a. % By Priority'!U75</f>
        <v>5.8823529411764705E-2</v>
      </c>
      <c r="G9" s="138">
        <f>'2a. % By Priority'!Q79+'2a. % By Priority'!Q80</f>
        <v>0</v>
      </c>
      <c r="H9" s="139">
        <f>'2a. % By Priority'!U79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Portfolio'!Q6+'3a. % by Portfolio'!Q7</f>
        <v>16</v>
      </c>
      <c r="D11" s="171">
        <f>'3a. % by Portfolio'!U6</f>
        <v>0.94117647058823528</v>
      </c>
      <c r="E11" s="172">
        <f>'3a. % by Portfolio'!Q9</f>
        <v>0</v>
      </c>
      <c r="F11" s="173">
        <f>'3a. % by Portfolio'!U9</f>
        <v>0</v>
      </c>
      <c r="G11" s="174">
        <f>'3a. % by Portfolio'!Q13+'3a. % by Portfolio'!Q14</f>
        <v>1</v>
      </c>
      <c r="H11" s="175">
        <f>'3a. % by Portfolio'!U13</f>
        <v>5.8823529411764705E-2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Portfolio'!Q29+'3a. % by Portfolio'!Q30</f>
        <v>29</v>
      </c>
      <c r="D12" s="171">
        <f>'3a. % by Portfolio'!U29</f>
        <v>0.96666666666666656</v>
      </c>
      <c r="E12" s="176">
        <f>'3a. % by Portfolio'!Q32</f>
        <v>0</v>
      </c>
      <c r="F12" s="173">
        <f>'3a. % by Portfolio'!U32</f>
        <v>0</v>
      </c>
      <c r="G12" s="174">
        <f>'3a. % by Portfolio'!Q13+'3a. % by Portfolio'!Q14</f>
        <v>1</v>
      </c>
      <c r="H12" s="175">
        <f>'3a. % by Portfolio'!U36</f>
        <v>3.3333333333333333E-2</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Portfolio'!Q51+'3a. % by Portfolio'!Q52</f>
        <v>14</v>
      </c>
      <c r="D13" s="171">
        <f>'3a. % by Portfolio'!U51</f>
        <v>0.93333333333333335</v>
      </c>
      <c r="E13" s="176">
        <f>'3a. % by Portfolio'!Q54</f>
        <v>0</v>
      </c>
      <c r="F13" s="173">
        <f>'3a. % by Portfolio'!U54</f>
        <v>0</v>
      </c>
      <c r="G13" s="174">
        <f>'3a. % by Portfolio'!Q58+'3a. % by Portfolio'!Q59</f>
        <v>1</v>
      </c>
      <c r="H13" s="175">
        <f>'3a. % by Portfolio'!U58</f>
        <v>6.6666666666666666E-2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Portfolio'!Q73+'3a. % by Portfolio'!Q74</f>
        <v>22</v>
      </c>
      <c r="D14" s="171">
        <f>'3a. % by Portfolio'!U73</f>
        <v>0.88</v>
      </c>
      <c r="E14" s="176">
        <f>'3a. % by Portfolio'!Q76</f>
        <v>1</v>
      </c>
      <c r="F14" s="173">
        <f>'3a. % by Portfolio'!U76</f>
        <v>0.04</v>
      </c>
      <c r="G14" s="174">
        <f>'3a. % by Portfolio'!Q80+'3a. % by Portfolio'!Q81</f>
        <v>2</v>
      </c>
      <c r="H14" s="175">
        <f>'3a. % by Portfolio'!U80</f>
        <v>0.08</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Portfolio'!Q95+'3a. % by Portfolio'!Q96</f>
        <v>13</v>
      </c>
      <c r="D15" s="171">
        <f>'3a. % by Portfolio'!U95</f>
        <v>1</v>
      </c>
      <c r="E15" s="176">
        <f>'3a. % by Portfolio'!Q98</f>
        <v>0</v>
      </c>
      <c r="F15" s="173">
        <f>'3a. % by Portfolio'!U98</f>
        <v>0</v>
      </c>
      <c r="G15" s="174">
        <f>'3a. % by Portfolio'!Q102+'3a. % by Portfolio'!Q103</f>
        <v>0</v>
      </c>
      <c r="H15" s="175">
        <f>'3a. % by Portfolio'!U102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B2" sqref="B2:H9"/>
    </sheetView>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3" t="s">
        <v>833</v>
      </c>
      <c r="C2" s="395" t="s">
        <v>407</v>
      </c>
      <c r="D2" s="396"/>
      <c r="E2" s="397" t="s">
        <v>408</v>
      </c>
      <c r="F2" s="398"/>
      <c r="G2" s="399" t="s">
        <v>409</v>
      </c>
      <c r="H2" s="399"/>
    </row>
    <row r="3" spans="1:40" ht="50.25" customHeight="1" thickTop="1" thickBot="1">
      <c r="B3" s="394"/>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Priority'!X6+'2a. % By Priority'!X7</f>
        <v>97</v>
      </c>
      <c r="D5" s="127">
        <f>'2a. % By Priority'!AB6</f>
        <v>0.91509433962264153</v>
      </c>
      <c r="E5" s="128">
        <f>'2a. % By Priority'!X9+'2a. % By Priority'!X10+'2a. % By Priority'!X11</f>
        <v>3</v>
      </c>
      <c r="F5" s="118">
        <f>'2a. % By Priority'!AB9</f>
        <v>2.8301886792452831E-2</v>
      </c>
      <c r="G5" s="138">
        <f>'2a. % By Priority'!X13+'2a. % By Priority'!X14</f>
        <v>6</v>
      </c>
      <c r="H5" s="139">
        <f>'2a. % By Priority'!AB13</f>
        <v>5.6603773584905662E-2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Priority'!X28+'2a. % By Priority'!X29</f>
        <v>58</v>
      </c>
      <c r="D7" s="127">
        <f>'2a. % By Priority'!AB28</f>
        <v>0.89230769230769236</v>
      </c>
      <c r="E7" s="134">
        <f>'2a. % By Priority'!X31+'2a. % By Priority'!X32+'2a. % By Priority'!X33</f>
        <v>3</v>
      </c>
      <c r="F7" s="118">
        <f>'2a. % By Priority'!AB31</f>
        <v>4.6153846153846156E-2</v>
      </c>
      <c r="G7" s="138">
        <f>'2a. % By Priority'!X35+'2a. % By Priority'!X36</f>
        <v>4</v>
      </c>
      <c r="H7" s="139">
        <f>'2a. % By Priority'!AB35</f>
        <v>6.1538461538461542E-2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Priority'!X50+'2a. % By Priority'!X51</f>
        <v>21</v>
      </c>
      <c r="D8" s="127">
        <f>SUM('2a. % By Priority'!AA50:AA51)</f>
        <v>0.91304347826086962</v>
      </c>
      <c r="E8" s="134">
        <f>'2a. % By Priority'!X53+'2a. % By Priority'!X54+'2a. % By Priority'!X55</f>
        <v>0</v>
      </c>
      <c r="F8" s="118">
        <f>'2a. % By Priority'!AB53</f>
        <v>0</v>
      </c>
      <c r="G8" s="138">
        <f>'2a. % By Priority'!X57+'2a. % By Priority'!X58</f>
        <v>2</v>
      </c>
      <c r="H8" s="139">
        <f>'2a. % By Priority'!AB57</f>
        <v>8.6956521739130432E-2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Priority'!X72+'2a. % By Priority'!X73</f>
        <v>18</v>
      </c>
      <c r="D9" s="127">
        <f>'2a. % By Priority'!AB72</f>
        <v>1</v>
      </c>
      <c r="E9" s="134">
        <f>'2a. % By Priority'!X75+'2a. % By Priority'!X76+'2a. % By Priority'!X77</f>
        <v>0</v>
      </c>
      <c r="F9" s="118">
        <f>'2a. % By Priority'!AB75</f>
        <v>0</v>
      </c>
      <c r="G9" s="138">
        <f>'2a. % By Priority'!X79+'2a. % By Priority'!X80</f>
        <v>0</v>
      </c>
      <c r="H9" s="139">
        <f>'2a. % By Priority'!AB79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26">
        <f>'3a. % by Portfolio'!X6+'3a. % by Portfolio'!X7</f>
        <v>14</v>
      </c>
      <c r="D11" s="127">
        <f>'3a. % by Portfolio'!AB6</f>
        <v>0.82352941176470584</v>
      </c>
      <c r="E11" s="134">
        <f>'3a. % by Portfolio'!AA9+'3a. % by Portfolio'!AA10+'3a. % by Portfolio'!AA11</f>
        <v>0.11764705882352941</v>
      </c>
      <c r="F11" s="118">
        <f>'3a. % by Portfolio'!AB9</f>
        <v>0.11764705882352941</v>
      </c>
      <c r="G11" s="138">
        <f>'3a. % by Portfolio'!X13+'3a. % by Portfolio'!X14</f>
        <v>1</v>
      </c>
      <c r="H11" s="139">
        <f>'3a. % by Portfolio'!AB13</f>
        <v>5.8823529411764705E-2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26">
        <f>'3a. % by Portfolio'!X29+'3a. % by Portfolio'!X30</f>
        <v>30</v>
      </c>
      <c r="D12" s="127">
        <f>'3a. % by Portfolio'!AB29</f>
        <v>0.90909090909090906</v>
      </c>
      <c r="E12" s="348">
        <f>'3a. % by Portfolio'!X32+'3a. % by Portfolio'!X33+'3a. % by Portfolio'!X34</f>
        <v>1</v>
      </c>
      <c r="F12" s="118">
        <f>'3a. % by Portfolio'!AB32</f>
        <v>3.0303030303030304E-2</v>
      </c>
      <c r="G12" s="138">
        <f>'3a. % by Portfolio'!X13+'3a. % by Portfolio'!X14</f>
        <v>1</v>
      </c>
      <c r="H12" s="139">
        <f>'3a. % by Portfolio'!AB36</f>
        <v>6.0606060606060608E-2</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26">
        <f>'3a. % by Portfolio'!X51+'3a. % by Portfolio'!X52</f>
        <v>14</v>
      </c>
      <c r="D13" s="127">
        <f>'3a. % by Portfolio'!AB51</f>
        <v>0.93333333333333335</v>
      </c>
      <c r="E13" s="348">
        <f>'3a. % by Portfolio'!X54+'3a. % by Portfolio'!X55+'3a. % by Portfolio'!X56</f>
        <v>0</v>
      </c>
      <c r="F13" s="118">
        <f>'3a. % by Portfolio'!AB54</f>
        <v>0</v>
      </c>
      <c r="G13" s="138">
        <f>'3a. % by Portfolio'!X58+'3a. % by Portfolio'!X59</f>
        <v>1</v>
      </c>
      <c r="H13" s="139">
        <f>'3a. % by Portfolio'!AB58</f>
        <v>6.6666666666666666E-2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26">
        <f>'3a. % by Portfolio'!X73+'3a. % by Portfolio'!X74</f>
        <v>26</v>
      </c>
      <c r="D14" s="127">
        <f>'3a. % by Portfolio'!AB73</f>
        <v>0.96296296296296291</v>
      </c>
      <c r="E14" s="348">
        <f>'3a. % by Portfolio'!X76+'3a. % by Portfolio'!X77+'3a. % by Portfolio'!X78</f>
        <v>0</v>
      </c>
      <c r="F14" s="118">
        <f>'3a. % by Portfolio'!AB76</f>
        <v>0</v>
      </c>
      <c r="G14" s="138">
        <f>'3a. % by Portfolio'!X80+'3a. % by Portfolio'!X81</f>
        <v>1</v>
      </c>
      <c r="H14" s="139">
        <f>'3a. % by Portfolio'!AB80</f>
        <v>3.7037037037037035E-2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26">
        <f>'3a. % by Portfolio'!X95+'3a. % by Portfolio'!X96</f>
        <v>13</v>
      </c>
      <c r="D15" s="127">
        <f>'3a. % by Portfolio'!AB95</f>
        <v>1</v>
      </c>
      <c r="E15" s="348">
        <f>'3a. % by Portfolio'!X98+'3a. % by Portfolio'!X99+'3a. % by Portfolio'!X100</f>
        <v>0</v>
      </c>
      <c r="F15" s="118">
        <f>'3a. % by Portfolio'!AB98</f>
        <v>0</v>
      </c>
      <c r="G15" s="138">
        <f>'3a. % by Portfolio'!X102+'3a. % by Portfolio'!X103</f>
        <v>0</v>
      </c>
      <c r="H15" s="139">
        <f>'3a. % by Portfolio'!AB102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9"/>
  <sheetViews>
    <sheetView topLeftCell="V41" zoomScale="70" zoomScaleNormal="70" workbookViewId="0">
      <selection activeCell="AB57" sqref="AB57:AB58"/>
    </sheetView>
  </sheetViews>
  <sheetFormatPr defaultColWidth="9.140625" defaultRowHeight="14.25"/>
  <cols>
    <col min="1" max="1" width="2.140625" style="15" customWidth="1"/>
    <col min="2" max="2" width="38.85546875" style="15" customWidth="1"/>
    <col min="3" max="3" width="13.7109375" style="12" customWidth="1"/>
    <col min="4" max="4" width="13.85546875" style="12" customWidth="1"/>
    <col min="5" max="5" width="16.28515625" style="12" customWidth="1"/>
    <col min="6" max="6" width="14.140625" style="12" customWidth="1"/>
    <col min="7" max="7" width="17.140625" style="12" customWidth="1"/>
    <col min="8" max="8" width="4.7109375" style="12" customWidth="1"/>
    <col min="9" max="9" width="38.85546875" style="15" customWidth="1"/>
    <col min="10" max="10" width="13.7109375" style="12" customWidth="1"/>
    <col min="11" max="11" width="13.85546875" style="12" customWidth="1"/>
    <col min="12" max="12" width="16.28515625" style="12" customWidth="1"/>
    <col min="13" max="13" width="14.140625" style="12" customWidth="1"/>
    <col min="14" max="14" width="17.140625" style="12" customWidth="1"/>
    <col min="15" max="15" width="4.7109375" style="12" customWidth="1"/>
    <col min="16" max="16" width="38.85546875" style="15" customWidth="1"/>
    <col min="17" max="17" width="13.7109375" style="12" customWidth="1"/>
    <col min="18" max="18" width="13.85546875" style="12" customWidth="1"/>
    <col min="19" max="19" width="16.28515625" style="12" customWidth="1"/>
    <col min="20" max="20" width="14.140625" style="12" customWidth="1"/>
    <col min="21" max="21" width="17.140625" style="12" customWidth="1"/>
    <col min="22" max="22" width="4.7109375" style="12" customWidth="1"/>
    <col min="23" max="23" width="55.28515625" style="12" customWidth="1"/>
    <col min="24" max="24" width="14.5703125" style="12" customWidth="1"/>
    <col min="25" max="27" width="17.140625" style="12" customWidth="1"/>
    <col min="28" max="28" width="17.140625" style="39" customWidth="1"/>
    <col min="29" max="29" width="9.140625" style="15" customWidth="1"/>
    <col min="30" max="30" width="12.85546875" style="15" hidden="1" customWidth="1"/>
    <col min="31" max="31" width="9.140625" style="15" hidden="1" customWidth="1"/>
    <col min="32" max="32" width="13.42578125" style="15" hidden="1" customWidth="1"/>
    <col min="33" max="33" width="0" style="15" hidden="1" customWidth="1"/>
    <col min="34" max="34" width="12.85546875" style="15" hidden="1" customWidth="1"/>
    <col min="35" max="16384" width="9.140625" style="15"/>
  </cols>
  <sheetData>
    <row r="1" spans="2:34" s="9" customFormat="1" ht="20.25">
      <c r="B1" s="55" t="s">
        <v>400</v>
      </c>
      <c r="C1" s="53"/>
      <c r="D1" s="54"/>
      <c r="E1" s="54"/>
      <c r="F1" s="54"/>
      <c r="G1" s="54"/>
      <c r="H1" s="8"/>
      <c r="I1" s="55" t="s">
        <v>401</v>
      </c>
      <c r="J1" s="53"/>
      <c r="K1" s="54"/>
      <c r="L1" s="54"/>
      <c r="M1" s="54"/>
      <c r="N1" s="54"/>
      <c r="O1" s="8"/>
      <c r="P1" s="79" t="s">
        <v>402</v>
      </c>
      <c r="Q1" s="53"/>
      <c r="R1" s="54"/>
      <c r="S1" s="54"/>
      <c r="T1" s="54"/>
      <c r="U1" s="54"/>
      <c r="V1" s="8"/>
      <c r="W1" s="58" t="s">
        <v>403</v>
      </c>
      <c r="X1" s="56"/>
      <c r="Y1" s="56"/>
      <c r="Z1" s="56"/>
      <c r="AA1" s="56"/>
      <c r="AB1" s="57"/>
    </row>
    <row r="2" spans="2:34" ht="15.75">
      <c r="B2" s="10"/>
      <c r="C2" s="11"/>
      <c r="D2" s="11"/>
      <c r="E2" s="11"/>
      <c r="F2" s="11"/>
      <c r="G2" s="11"/>
      <c r="I2" s="10"/>
      <c r="J2" s="11"/>
      <c r="K2" s="11"/>
      <c r="L2" s="11"/>
      <c r="M2" s="11"/>
      <c r="N2" s="11"/>
      <c r="P2" s="10"/>
      <c r="Q2" s="11"/>
      <c r="R2" s="11"/>
      <c r="S2" s="11"/>
      <c r="T2" s="11"/>
      <c r="U2" s="11"/>
      <c r="W2" s="13"/>
      <c r="X2" s="13"/>
      <c r="Y2" s="13"/>
      <c r="Z2" s="13"/>
      <c r="AA2" s="13"/>
      <c r="AB2" s="14"/>
    </row>
    <row r="3" spans="2:34" ht="15.75">
      <c r="B3" s="70" t="s">
        <v>385</v>
      </c>
      <c r="C3" s="71"/>
      <c r="D3" s="71"/>
      <c r="E3" s="71"/>
      <c r="F3" s="71"/>
      <c r="G3" s="72"/>
      <c r="I3" s="70" t="s">
        <v>385</v>
      </c>
      <c r="J3" s="71"/>
      <c r="K3" s="71"/>
      <c r="L3" s="71"/>
      <c r="M3" s="71"/>
      <c r="N3" s="72"/>
      <c r="P3" s="70" t="s">
        <v>385</v>
      </c>
      <c r="Q3" s="71"/>
      <c r="R3" s="71"/>
      <c r="S3" s="71"/>
      <c r="T3" s="71"/>
      <c r="U3" s="72"/>
      <c r="W3" s="17" t="s">
        <v>385</v>
      </c>
      <c r="X3" s="18"/>
      <c r="Y3" s="18"/>
      <c r="Z3" s="18"/>
      <c r="AA3" s="18"/>
      <c r="AB3" s="19"/>
    </row>
    <row r="4" spans="2:34" s="12" customFormat="1" ht="39" customHeight="1">
      <c r="B4" s="73" t="s">
        <v>386</v>
      </c>
      <c r="C4" s="73" t="s">
        <v>387</v>
      </c>
      <c r="D4" s="73" t="s">
        <v>388</v>
      </c>
      <c r="E4" s="73" t="s">
        <v>389</v>
      </c>
      <c r="F4" s="73" t="s">
        <v>390</v>
      </c>
      <c r="G4" s="73" t="s">
        <v>391</v>
      </c>
      <c r="I4" s="73" t="s">
        <v>386</v>
      </c>
      <c r="J4" s="73" t="s">
        <v>387</v>
      </c>
      <c r="K4" s="73" t="s">
        <v>388</v>
      </c>
      <c r="L4" s="73" t="s">
        <v>389</v>
      </c>
      <c r="M4" s="73" t="s">
        <v>390</v>
      </c>
      <c r="N4" s="73" t="s">
        <v>391</v>
      </c>
      <c r="P4" s="73" t="s">
        <v>386</v>
      </c>
      <c r="Q4" s="73" t="s">
        <v>387</v>
      </c>
      <c r="R4" s="73" t="s">
        <v>388</v>
      </c>
      <c r="S4" s="73" t="s">
        <v>389</v>
      </c>
      <c r="T4" s="73" t="s">
        <v>390</v>
      </c>
      <c r="U4" s="73" t="s">
        <v>391</v>
      </c>
      <c r="W4" s="73" t="s">
        <v>386</v>
      </c>
      <c r="X4" s="73" t="s">
        <v>387</v>
      </c>
      <c r="Y4" s="73" t="s">
        <v>388</v>
      </c>
      <c r="Z4" s="73" t="s">
        <v>389</v>
      </c>
      <c r="AA4" s="73" t="s">
        <v>390</v>
      </c>
      <c r="AB4" s="73" t="s">
        <v>391</v>
      </c>
    </row>
    <row r="5" spans="2:34" s="23" customFormat="1" ht="5.25" customHeight="1">
      <c r="B5" s="20"/>
      <c r="C5" s="21"/>
      <c r="D5" s="21"/>
      <c r="E5" s="21"/>
      <c r="F5" s="21"/>
      <c r="G5" s="21"/>
      <c r="H5" s="22"/>
      <c r="I5" s="20"/>
      <c r="J5" s="21"/>
      <c r="K5" s="21"/>
      <c r="L5" s="21"/>
      <c r="M5" s="21"/>
      <c r="N5" s="21"/>
      <c r="O5" s="22"/>
      <c r="P5" s="20"/>
      <c r="Q5" s="21"/>
      <c r="R5" s="21"/>
      <c r="S5" s="21"/>
      <c r="T5" s="21"/>
      <c r="U5" s="21"/>
      <c r="V5" s="22"/>
      <c r="W5" s="20"/>
      <c r="X5" s="21"/>
      <c r="Y5" s="21"/>
      <c r="Z5" s="21"/>
      <c r="AA5" s="21"/>
      <c r="AB5" s="21"/>
    </row>
    <row r="6" spans="2:34" ht="30.75" customHeight="1">
      <c r="B6" s="59" t="s">
        <v>392</v>
      </c>
      <c r="C6" s="60">
        <f>COUNTIF('1. All Data'!$I$3:$I$111,"Fully Achieved")</f>
        <v>8</v>
      </c>
      <c r="D6" s="61">
        <f>C6/C20</f>
        <v>7.3394495412844041E-2</v>
      </c>
      <c r="E6" s="404">
        <f>D6+D7</f>
        <v>0.73394495412844041</v>
      </c>
      <c r="F6" s="61">
        <f>C6/C21</f>
        <v>9.6385542168674704E-2</v>
      </c>
      <c r="G6" s="405">
        <f>F6+F7</f>
        <v>0.96385542168674698</v>
      </c>
      <c r="I6" s="59" t="s">
        <v>392</v>
      </c>
      <c r="J6" s="60">
        <f>COUNTIF('1. All Data'!$N$3:$N$111,"Fully Achieved")</f>
        <v>23</v>
      </c>
      <c r="K6" s="61">
        <f>J6/J20</f>
        <v>0.21100917431192662</v>
      </c>
      <c r="L6" s="404">
        <f>K6+K7</f>
        <v>0.87155963302752304</v>
      </c>
      <c r="M6" s="61">
        <f>J6/J21</f>
        <v>0.23232323232323232</v>
      </c>
      <c r="N6" s="405">
        <f>M6+M7</f>
        <v>0.95959595959595956</v>
      </c>
      <c r="P6" s="59" t="s">
        <v>392</v>
      </c>
      <c r="Q6" s="60">
        <f>COUNTIF('1. All Data'!$S$3:$S$111,"Fully Achieved")</f>
        <v>40</v>
      </c>
      <c r="R6" s="61">
        <f>Q6/Q20</f>
        <v>0.3669724770642202</v>
      </c>
      <c r="S6" s="404">
        <f>R6+R7</f>
        <v>0.86238532110091748</v>
      </c>
      <c r="T6" s="61">
        <f>Q6/Q21</f>
        <v>0.4</v>
      </c>
      <c r="U6" s="405">
        <f>T6+T7</f>
        <v>0.94000000000000006</v>
      </c>
      <c r="W6" s="59" t="s">
        <v>392</v>
      </c>
      <c r="X6" s="60">
        <f>COUNTIF('1. All Data'!$W$3:$W$111,"Fully Achieved")</f>
        <v>90</v>
      </c>
      <c r="Y6" s="338">
        <f>X6/$X$20</f>
        <v>0.82568807339449546</v>
      </c>
      <c r="Z6" s="404">
        <f>SUM(Y6:Y7)</f>
        <v>0.88990825688073394</v>
      </c>
      <c r="AA6" s="338">
        <f>X6/$X$21</f>
        <v>0.84905660377358494</v>
      </c>
      <c r="AB6" s="405">
        <f>AA6+AA7</f>
        <v>0.91509433962264153</v>
      </c>
      <c r="AD6" s="420">
        <f>AB6+AB9</f>
        <v>0.94339622641509435</v>
      </c>
      <c r="AE6" s="9"/>
      <c r="AF6" s="420">
        <f>AB6+AA10+AA11</f>
        <v>0.92452830188679247</v>
      </c>
      <c r="AG6" s="9"/>
      <c r="AH6" s="402">
        <f>AB6</f>
        <v>0.91509433962264153</v>
      </c>
    </row>
    <row r="7" spans="2:34" ht="30.75" customHeight="1">
      <c r="B7" s="59" t="s">
        <v>343</v>
      </c>
      <c r="C7" s="60">
        <f>COUNTIF('1. All Data'!$I$3:$I$111,"On Track to be Achieved")</f>
        <v>72</v>
      </c>
      <c r="D7" s="61">
        <f>C7/C20</f>
        <v>0.66055045871559637</v>
      </c>
      <c r="E7" s="404"/>
      <c r="F7" s="61">
        <f>C7/C21</f>
        <v>0.86746987951807231</v>
      </c>
      <c r="G7" s="405"/>
      <c r="I7" s="59" t="s">
        <v>343</v>
      </c>
      <c r="J7" s="60">
        <f>COUNTIF('1. All Data'!$N$3:$N$111,"On Track to be Achieved")</f>
        <v>72</v>
      </c>
      <c r="K7" s="61">
        <f>J7/J20</f>
        <v>0.66055045871559637</v>
      </c>
      <c r="L7" s="404"/>
      <c r="M7" s="61">
        <f>J7/J21</f>
        <v>0.72727272727272729</v>
      </c>
      <c r="N7" s="405"/>
      <c r="P7" s="59" t="s">
        <v>343</v>
      </c>
      <c r="Q7" s="60">
        <f>COUNTIF('1. All Data'!$S$3:$S$111,"On Track to be Achieved")</f>
        <v>54</v>
      </c>
      <c r="R7" s="61">
        <f>Q7/Q20</f>
        <v>0.49541284403669728</v>
      </c>
      <c r="S7" s="404"/>
      <c r="T7" s="61">
        <f>Q7/Q21</f>
        <v>0.54</v>
      </c>
      <c r="U7" s="405"/>
      <c r="W7" s="59" t="s">
        <v>335</v>
      </c>
      <c r="X7" s="60">
        <f>COUNTIF('1. All Data'!$W$3:$W$111,"Numerical Outturn Within 5% Tolerance")</f>
        <v>7</v>
      </c>
      <c r="Y7" s="338">
        <f>X7/$X$20</f>
        <v>6.4220183486238536E-2</v>
      </c>
      <c r="Z7" s="404"/>
      <c r="AA7" s="338">
        <f>X7/$X$21</f>
        <v>6.6037735849056603E-2</v>
      </c>
      <c r="AB7" s="405"/>
      <c r="AD7" s="421"/>
      <c r="AE7" s="9"/>
      <c r="AF7" s="421"/>
      <c r="AG7" s="9"/>
      <c r="AH7" s="403"/>
    </row>
    <row r="8" spans="2:34" s="29" customFormat="1" ht="6" customHeight="1">
      <c r="B8" s="24"/>
      <c r="C8" s="25"/>
      <c r="D8" s="26"/>
      <c r="E8" s="26"/>
      <c r="F8" s="26"/>
      <c r="G8" s="27"/>
      <c r="H8" s="28"/>
      <c r="I8" s="24"/>
      <c r="J8" s="25"/>
      <c r="K8" s="26"/>
      <c r="L8" s="26"/>
      <c r="M8" s="26"/>
      <c r="N8" s="27"/>
      <c r="O8" s="28"/>
      <c r="P8" s="24"/>
      <c r="Q8" s="25"/>
      <c r="R8" s="26"/>
      <c r="S8" s="26"/>
      <c r="T8" s="26"/>
      <c r="U8" s="27"/>
      <c r="V8" s="28"/>
      <c r="W8" s="24"/>
      <c r="X8" s="25"/>
      <c r="Y8" s="338"/>
      <c r="Z8" s="26"/>
      <c r="AA8" s="26"/>
      <c r="AB8" s="27"/>
      <c r="AD8" s="380"/>
      <c r="AE8" s="381"/>
      <c r="AF8" s="380"/>
      <c r="AG8" s="382"/>
      <c r="AH8" s="382"/>
    </row>
    <row r="9" spans="2:34" ht="18.75" customHeight="1">
      <c r="B9" s="406" t="s">
        <v>344</v>
      </c>
      <c r="C9" s="409">
        <f>COUNTIF('1. All Data'!$I$3:$I$111,"In Danger of Falling Behind Target")</f>
        <v>2</v>
      </c>
      <c r="D9" s="412">
        <f>C9/C20</f>
        <v>1.834862385321101E-2</v>
      </c>
      <c r="E9" s="412">
        <f>D9</f>
        <v>1.834862385321101E-2</v>
      </c>
      <c r="F9" s="412">
        <f>C9/C21</f>
        <v>2.4096385542168676E-2</v>
      </c>
      <c r="G9" s="415">
        <f>F9</f>
        <v>2.4096385542168676E-2</v>
      </c>
      <c r="I9" s="406" t="s">
        <v>344</v>
      </c>
      <c r="J9" s="409">
        <f>COUNTIF('1. All Data'!$N$5:$N$129,"In Danger of Falling Behind Target")</f>
        <v>2</v>
      </c>
      <c r="K9" s="412">
        <f>J9/J20</f>
        <v>1.834862385321101E-2</v>
      </c>
      <c r="L9" s="412">
        <f>K9</f>
        <v>1.834862385321101E-2</v>
      </c>
      <c r="M9" s="412">
        <f>J9/J21</f>
        <v>2.0202020202020204E-2</v>
      </c>
      <c r="N9" s="415">
        <f>M9</f>
        <v>2.0202020202020204E-2</v>
      </c>
      <c r="P9" s="406" t="s">
        <v>344</v>
      </c>
      <c r="Q9" s="409">
        <f>COUNTIF('1. All Data'!$S$3:$S$111,"In Danger of Falling Behind Target")</f>
        <v>1</v>
      </c>
      <c r="R9" s="412">
        <f>Q9/Q20</f>
        <v>9.1743119266055051E-3</v>
      </c>
      <c r="S9" s="412">
        <f>R9</f>
        <v>9.1743119266055051E-3</v>
      </c>
      <c r="T9" s="412">
        <f>Q9/Q21</f>
        <v>0.01</v>
      </c>
      <c r="U9" s="415">
        <f>T9</f>
        <v>0.01</v>
      </c>
      <c r="W9" s="80" t="s">
        <v>336</v>
      </c>
      <c r="X9" s="81">
        <f>COUNTIF('1. All Data'!$W$3:$W$111,"Numerical Outturn Within 10% Tolerance")</f>
        <v>2</v>
      </c>
      <c r="Y9" s="338">
        <f>X9/$X$20</f>
        <v>1.834862385321101E-2</v>
      </c>
      <c r="Z9" s="404">
        <f>SUM(Y9:Y11)</f>
        <v>2.7522935779816515E-2</v>
      </c>
      <c r="AA9" s="338">
        <f>X9/$X$21</f>
        <v>1.8867924528301886E-2</v>
      </c>
      <c r="AB9" s="418">
        <f>SUM(AA9:AA11)</f>
        <v>2.8301886792452831E-2</v>
      </c>
      <c r="AD9" s="383"/>
      <c r="AE9" s="9"/>
      <c r="AF9" s="384"/>
      <c r="AG9" s="9"/>
      <c r="AH9" s="385"/>
    </row>
    <row r="10" spans="2:34" ht="19.5" customHeight="1">
      <c r="B10" s="407"/>
      <c r="C10" s="410"/>
      <c r="D10" s="413"/>
      <c r="E10" s="413"/>
      <c r="F10" s="413"/>
      <c r="G10" s="416"/>
      <c r="I10" s="407"/>
      <c r="J10" s="410"/>
      <c r="K10" s="413"/>
      <c r="L10" s="413"/>
      <c r="M10" s="413"/>
      <c r="N10" s="416"/>
      <c r="P10" s="407"/>
      <c r="Q10" s="410"/>
      <c r="R10" s="413"/>
      <c r="S10" s="413"/>
      <c r="T10" s="413"/>
      <c r="U10" s="416"/>
      <c r="W10" s="80" t="s">
        <v>337</v>
      </c>
      <c r="X10" s="81">
        <f>COUNTIF('1. All Data'!$W$3:$W$111,"Target Partially Met")</f>
        <v>1</v>
      </c>
      <c r="Y10" s="338">
        <f>X10/$X$20</f>
        <v>9.1743119266055051E-3</v>
      </c>
      <c r="Z10" s="404"/>
      <c r="AA10" s="338">
        <f>X10/$X$21</f>
        <v>9.433962264150943E-3</v>
      </c>
      <c r="AB10" s="418"/>
      <c r="AD10" s="383"/>
      <c r="AE10" s="9"/>
      <c r="AF10" s="386"/>
      <c r="AG10" s="9"/>
      <c r="AH10" s="385"/>
    </row>
    <row r="11" spans="2:34" ht="19.5" customHeight="1">
      <c r="B11" s="408"/>
      <c r="C11" s="411"/>
      <c r="D11" s="414"/>
      <c r="E11" s="414"/>
      <c r="F11" s="414"/>
      <c r="G11" s="417"/>
      <c r="I11" s="408"/>
      <c r="J11" s="411"/>
      <c r="K11" s="414"/>
      <c r="L11" s="414"/>
      <c r="M11" s="414"/>
      <c r="N11" s="417"/>
      <c r="P11" s="408"/>
      <c r="Q11" s="411"/>
      <c r="R11" s="414"/>
      <c r="S11" s="414"/>
      <c r="T11" s="414"/>
      <c r="U11" s="417"/>
      <c r="W11" s="80" t="s">
        <v>340</v>
      </c>
      <c r="X11" s="81">
        <f>COUNTIF('1. All Data'!$W$3:$W$111,"Completion Date Within Reasonable Tolerance")</f>
        <v>0</v>
      </c>
      <c r="Y11" s="338">
        <f>X11/$X$20</f>
        <v>0</v>
      </c>
      <c r="Z11" s="404"/>
      <c r="AA11" s="338">
        <f>X11/$X$21</f>
        <v>0</v>
      </c>
      <c r="AB11" s="418"/>
      <c r="AD11" s="383"/>
      <c r="AE11" s="9"/>
      <c r="AF11" s="386"/>
      <c r="AG11" s="9"/>
      <c r="AH11" s="385"/>
    </row>
    <row r="12" spans="2:34" s="23" customFormat="1" ht="6" customHeight="1">
      <c r="B12" s="20"/>
      <c r="C12" s="21"/>
      <c r="D12" s="31"/>
      <c r="E12" s="31"/>
      <c r="F12" s="31"/>
      <c r="G12" s="32"/>
      <c r="H12" s="22"/>
      <c r="I12" s="20"/>
      <c r="J12" s="21"/>
      <c r="K12" s="31"/>
      <c r="L12" s="31"/>
      <c r="M12" s="31"/>
      <c r="N12" s="32"/>
      <c r="O12" s="22"/>
      <c r="P12" s="20"/>
      <c r="Q12" s="21"/>
      <c r="R12" s="31"/>
      <c r="S12" s="31"/>
      <c r="T12" s="31"/>
      <c r="U12" s="32"/>
      <c r="V12" s="22"/>
      <c r="W12" s="20"/>
      <c r="X12" s="21"/>
      <c r="Y12" s="338"/>
      <c r="Z12" s="31"/>
      <c r="AA12" s="31"/>
      <c r="AB12" s="32"/>
      <c r="AD12" s="387"/>
      <c r="AE12" s="381"/>
      <c r="AF12" s="380"/>
      <c r="AG12" s="381"/>
      <c r="AH12" s="381"/>
    </row>
    <row r="13" spans="2:34" ht="29.25" customHeight="1">
      <c r="B13" s="63" t="s">
        <v>345</v>
      </c>
      <c r="C13" s="60">
        <f>COUNTIF('1. All Data'!I3:I111,"completed behind schedule")</f>
        <v>0</v>
      </c>
      <c r="D13" s="61">
        <f>C13/C20</f>
        <v>0</v>
      </c>
      <c r="E13" s="404">
        <f>D13+D14</f>
        <v>9.1743119266055051E-3</v>
      </c>
      <c r="F13" s="61">
        <f>C13/C21</f>
        <v>0</v>
      </c>
      <c r="G13" s="419">
        <f>F13+F14</f>
        <v>1.2048192771084338E-2</v>
      </c>
      <c r="I13" s="63" t="s">
        <v>345</v>
      </c>
      <c r="J13" s="60">
        <f>COUNTIF('1. All Data'!N3:N111,"Completed Behind Schedule")</f>
        <v>1</v>
      </c>
      <c r="K13" s="61">
        <f>J13/J20</f>
        <v>9.1743119266055051E-3</v>
      </c>
      <c r="L13" s="404">
        <f>K13+K14</f>
        <v>1.834862385321101E-2</v>
      </c>
      <c r="M13" s="61">
        <f>J13/J21</f>
        <v>1.0101010101010102E-2</v>
      </c>
      <c r="N13" s="419">
        <f>M13+M14</f>
        <v>2.0202020202020204E-2</v>
      </c>
      <c r="P13" s="63" t="s">
        <v>345</v>
      </c>
      <c r="Q13" s="60">
        <f>COUNTIF('1. All Data'!S3:S111,"completed behind schedule")</f>
        <v>1</v>
      </c>
      <c r="R13" s="61">
        <f>Q13/Q20</f>
        <v>9.1743119266055051E-3</v>
      </c>
      <c r="S13" s="404">
        <f>R13+R14</f>
        <v>4.5871559633027525E-2</v>
      </c>
      <c r="T13" s="61">
        <f>Q13/Q21</f>
        <v>0.01</v>
      </c>
      <c r="U13" s="419">
        <f>T13+T14</f>
        <v>0.05</v>
      </c>
      <c r="W13" s="63" t="s">
        <v>339</v>
      </c>
      <c r="X13" s="60">
        <f>COUNTIF('1. All Data'!W3:W111,"Completed Significantly After Target Deadline")</f>
        <v>0</v>
      </c>
      <c r="Y13" s="338">
        <f>X13/$X$20</f>
        <v>0</v>
      </c>
      <c r="Z13" s="404">
        <f>SUM(Y13:Y14)</f>
        <v>5.5045871559633031E-2</v>
      </c>
      <c r="AA13" s="338">
        <f>X13/$X$21</f>
        <v>0</v>
      </c>
      <c r="AB13" s="419">
        <f>SUM(AA13:AA14)</f>
        <v>5.6603773584905662E-2</v>
      </c>
      <c r="AD13" s="400">
        <f>AB13</f>
        <v>5.6603773584905662E-2</v>
      </c>
      <c r="AE13" s="9"/>
      <c r="AF13" s="400">
        <f>AB13+AA9</f>
        <v>7.5471698113207544E-2</v>
      </c>
      <c r="AG13" s="9"/>
      <c r="AH13" s="400">
        <f>AB13+AB9</f>
        <v>8.4905660377358499E-2</v>
      </c>
    </row>
    <row r="14" spans="2:34" ht="29.25" customHeight="1">
      <c r="B14" s="63" t="s">
        <v>338</v>
      </c>
      <c r="C14" s="60">
        <f>COUNTIF('1. All Data'!I3:I111,"off target")</f>
        <v>1</v>
      </c>
      <c r="D14" s="61">
        <f>C14/C20</f>
        <v>9.1743119266055051E-3</v>
      </c>
      <c r="E14" s="404"/>
      <c r="F14" s="61">
        <f>C14/C21</f>
        <v>1.2048192771084338E-2</v>
      </c>
      <c r="G14" s="419"/>
      <c r="I14" s="63" t="s">
        <v>338</v>
      </c>
      <c r="J14" s="60">
        <f>COUNTIF('1. All Data'!N3:N111,"Off Target")</f>
        <v>1</v>
      </c>
      <c r="K14" s="61">
        <f>J14/J20</f>
        <v>9.1743119266055051E-3</v>
      </c>
      <c r="L14" s="404"/>
      <c r="M14" s="61">
        <f>J14/J21</f>
        <v>1.0101010101010102E-2</v>
      </c>
      <c r="N14" s="419"/>
      <c r="P14" s="63" t="s">
        <v>338</v>
      </c>
      <c r="Q14" s="60">
        <f>COUNTIF('1. All Data'!S3:S111,"off target")</f>
        <v>4</v>
      </c>
      <c r="R14" s="61">
        <f>Q14/Q20</f>
        <v>3.669724770642202E-2</v>
      </c>
      <c r="S14" s="404"/>
      <c r="T14" s="61">
        <f>Q14/Q21</f>
        <v>0.04</v>
      </c>
      <c r="U14" s="419"/>
      <c r="W14" s="63" t="s">
        <v>338</v>
      </c>
      <c r="X14" s="60">
        <f>COUNTIF('1. All Data'!W3:W111,"off target")</f>
        <v>6</v>
      </c>
      <c r="Y14" s="338">
        <f>X14/$X$20</f>
        <v>5.5045871559633031E-2</v>
      </c>
      <c r="Z14" s="404"/>
      <c r="AA14" s="338">
        <f>X14/$X$21</f>
        <v>5.6603773584905662E-2</v>
      </c>
      <c r="AB14" s="419"/>
      <c r="AD14" s="401"/>
      <c r="AE14" s="9"/>
      <c r="AF14" s="401"/>
      <c r="AG14" s="9"/>
      <c r="AH14" s="401"/>
    </row>
    <row r="15" spans="2:34" s="23" customFormat="1" ht="7.5" customHeight="1">
      <c r="B15" s="20"/>
      <c r="C15" s="33"/>
      <c r="D15" s="31"/>
      <c r="E15" s="31"/>
      <c r="F15" s="31"/>
      <c r="G15" s="34"/>
      <c r="H15" s="22"/>
      <c r="I15" s="20"/>
      <c r="J15" s="33"/>
      <c r="K15" s="31"/>
      <c r="L15" s="31"/>
      <c r="M15" s="31"/>
      <c r="N15" s="34"/>
      <c r="O15" s="22"/>
      <c r="P15" s="20"/>
      <c r="Q15" s="33"/>
      <c r="R15" s="31"/>
      <c r="S15" s="31"/>
      <c r="T15" s="31"/>
      <c r="U15" s="34"/>
      <c r="V15" s="22"/>
      <c r="W15" s="20"/>
      <c r="X15" s="33"/>
      <c r="Y15" s="31"/>
      <c r="Z15" s="31"/>
      <c r="AA15" s="31"/>
      <c r="AB15" s="34"/>
    </row>
    <row r="16" spans="2:34" ht="20.25" customHeight="1">
      <c r="B16" s="64" t="s">
        <v>393</v>
      </c>
      <c r="C16" s="60">
        <f>COUNTIF('1. All Data'!I3:I111,"not yet due")</f>
        <v>26</v>
      </c>
      <c r="D16" s="65">
        <f>C16/C20</f>
        <v>0.23853211009174313</v>
      </c>
      <c r="E16" s="65">
        <f>D16</f>
        <v>0.23853211009174313</v>
      </c>
      <c r="F16" s="35"/>
      <c r="G16" s="36"/>
      <c r="I16" s="64" t="s">
        <v>393</v>
      </c>
      <c r="J16" s="60">
        <f>COUNTIF('1. All Data'!N3:N111,"not yet due")</f>
        <v>10</v>
      </c>
      <c r="K16" s="65">
        <f>J16/J20</f>
        <v>9.1743119266055051E-2</v>
      </c>
      <c r="L16" s="65">
        <f>K16</f>
        <v>9.1743119266055051E-2</v>
      </c>
      <c r="M16" s="35"/>
      <c r="N16" s="36"/>
      <c r="P16" s="64" t="s">
        <v>393</v>
      </c>
      <c r="Q16" s="60">
        <f>COUNTIF('1. All Data'!S3:S111,"not yet due")</f>
        <v>6</v>
      </c>
      <c r="R16" s="65">
        <f>Q16/Q20</f>
        <v>5.5045871559633031E-2</v>
      </c>
      <c r="S16" s="65">
        <f>R16</f>
        <v>5.5045871559633031E-2</v>
      </c>
      <c r="T16" s="35"/>
      <c r="U16" s="36"/>
      <c r="W16" s="64" t="s">
        <v>393</v>
      </c>
      <c r="X16" s="60">
        <f>COUNTIF('1. All Data'!W3:W111,"not yet due")</f>
        <v>0</v>
      </c>
      <c r="Y16" s="338">
        <f>X16/$X$20</f>
        <v>0</v>
      </c>
      <c r="Z16" s="65">
        <f>Y16</f>
        <v>0</v>
      </c>
      <c r="AA16" s="35"/>
      <c r="AB16" s="36"/>
    </row>
    <row r="17" spans="2:30" ht="20.25" customHeight="1">
      <c r="B17" s="64" t="s">
        <v>333</v>
      </c>
      <c r="C17" s="60">
        <f>COUNTIF('1. All Data'!I3:I111,"update not provided")</f>
        <v>0</v>
      </c>
      <c r="D17" s="65">
        <f>C17/C20</f>
        <v>0</v>
      </c>
      <c r="E17" s="65">
        <f>D17</f>
        <v>0</v>
      </c>
      <c r="F17" s="35"/>
      <c r="G17" s="38"/>
      <c r="I17" s="64" t="s">
        <v>333</v>
      </c>
      <c r="J17" s="60">
        <f>COUNTIF('1. All Data'!N3:N111,"update not provided")</f>
        <v>0</v>
      </c>
      <c r="K17" s="65">
        <f>J17/J20</f>
        <v>0</v>
      </c>
      <c r="L17" s="65">
        <f>K17</f>
        <v>0</v>
      </c>
      <c r="M17" s="35"/>
      <c r="N17" s="38"/>
      <c r="P17" s="64" t="s">
        <v>333</v>
      </c>
      <c r="Q17" s="60">
        <f>COUNTIF('1. All Data'!S3:S111,"update not provided")</f>
        <v>0</v>
      </c>
      <c r="R17" s="65">
        <f>Q17/Q20</f>
        <v>0</v>
      </c>
      <c r="S17" s="65">
        <f>R17</f>
        <v>0</v>
      </c>
      <c r="T17" s="35"/>
      <c r="U17" s="38"/>
      <c r="W17" s="64" t="s">
        <v>333</v>
      </c>
      <c r="X17" s="60">
        <f>COUNTIF('1. All Data'!W3:W111,"update not provided")</f>
        <v>0</v>
      </c>
      <c r="Y17" s="338">
        <f>X17/$X$20</f>
        <v>0</v>
      </c>
      <c r="Z17" s="65">
        <f>Y17</f>
        <v>0</v>
      </c>
      <c r="AA17" s="35"/>
      <c r="AB17" s="38"/>
    </row>
    <row r="18" spans="2:30" ht="15.75" customHeight="1">
      <c r="B18" s="66" t="s">
        <v>341</v>
      </c>
      <c r="C18" s="60">
        <f>COUNTIF('1. All Data'!I3:I111,"deferred")</f>
        <v>0</v>
      </c>
      <c r="D18" s="67">
        <f>C18/C20</f>
        <v>0</v>
      </c>
      <c r="E18" s="67">
        <f>D18</f>
        <v>0</v>
      </c>
      <c r="F18" s="40"/>
      <c r="G18" s="36"/>
      <c r="I18" s="66" t="s">
        <v>341</v>
      </c>
      <c r="J18" s="60">
        <f>COUNTIF('1. All Data'!N3:N111,"deferred")</f>
        <v>0</v>
      </c>
      <c r="K18" s="67">
        <f>J18/J20</f>
        <v>0</v>
      </c>
      <c r="L18" s="67">
        <f>K18</f>
        <v>0</v>
      </c>
      <c r="M18" s="40"/>
      <c r="N18" s="36"/>
      <c r="P18" s="66" t="s">
        <v>341</v>
      </c>
      <c r="Q18" s="60">
        <f>COUNTIF('1. All Data'!S3:S111,"deferred")</f>
        <v>2</v>
      </c>
      <c r="R18" s="67">
        <f>Q18/Q20</f>
        <v>1.834862385321101E-2</v>
      </c>
      <c r="S18" s="67">
        <f>R18</f>
        <v>1.834862385321101E-2</v>
      </c>
      <c r="T18" s="40"/>
      <c r="U18" s="36"/>
      <c r="W18" s="66" t="s">
        <v>341</v>
      </c>
      <c r="X18" s="60">
        <f>COUNTIF('1. All Data'!W3:W111,"deferred")</f>
        <v>2</v>
      </c>
      <c r="Y18" s="338">
        <f>X18/$X$20</f>
        <v>1.834862385321101E-2</v>
      </c>
      <c r="Z18" s="65">
        <f>Y18</f>
        <v>1.834862385321101E-2</v>
      </c>
      <c r="AA18" s="40"/>
      <c r="AB18" s="36"/>
      <c r="AD18" s="30"/>
    </row>
    <row r="19" spans="2:30" ht="15.75" customHeight="1">
      <c r="B19" s="66" t="s">
        <v>342</v>
      </c>
      <c r="C19" s="60">
        <f>COUNTIF('1. All Data'!I3:I111,"deleted")</f>
        <v>0</v>
      </c>
      <c r="D19" s="67">
        <f>C19/C20</f>
        <v>0</v>
      </c>
      <c r="E19" s="67">
        <f>D19</f>
        <v>0</v>
      </c>
      <c r="F19" s="40"/>
      <c r="G19" s="42" t="s">
        <v>394</v>
      </c>
      <c r="I19" s="66" t="s">
        <v>342</v>
      </c>
      <c r="J19" s="60">
        <f>COUNTIF('1. All Data'!N3:N111,"deleted")</f>
        <v>0</v>
      </c>
      <c r="K19" s="67">
        <f>J19/J20</f>
        <v>0</v>
      </c>
      <c r="L19" s="67">
        <f>K19</f>
        <v>0</v>
      </c>
      <c r="M19" s="40"/>
      <c r="N19" s="42" t="s">
        <v>394</v>
      </c>
      <c r="P19" s="66" t="s">
        <v>342</v>
      </c>
      <c r="Q19" s="60">
        <f>COUNTIF('1. All Data'!S3:S111,"deleted")</f>
        <v>1</v>
      </c>
      <c r="R19" s="67">
        <f>Q19/Q20</f>
        <v>9.1743119266055051E-3</v>
      </c>
      <c r="S19" s="67">
        <f>R19</f>
        <v>9.1743119266055051E-3</v>
      </c>
      <c r="T19" s="40"/>
      <c r="U19" s="42" t="s">
        <v>394</v>
      </c>
      <c r="W19" s="66" t="s">
        <v>342</v>
      </c>
      <c r="X19" s="60">
        <f>COUNTIF('1. All Data'!W3:W111,"deleted")</f>
        <v>1</v>
      </c>
      <c r="Y19" s="338">
        <f>X19/$X$20</f>
        <v>9.1743119266055051E-3</v>
      </c>
      <c r="Z19" s="65">
        <f t="shared" ref="Z19" si="0">Y19</f>
        <v>9.1743119266055051E-3</v>
      </c>
      <c r="AA19" s="40"/>
      <c r="AB19" s="42" t="s">
        <v>394</v>
      </c>
    </row>
    <row r="20" spans="2:30" ht="15.75" customHeight="1">
      <c r="B20" s="68" t="s">
        <v>395</v>
      </c>
      <c r="C20" s="69">
        <f>SUM(C6:C19)</f>
        <v>109</v>
      </c>
      <c r="D20" s="40"/>
      <c r="E20" s="40"/>
      <c r="F20" s="36"/>
      <c r="G20" s="36"/>
      <c r="I20" s="68" t="s">
        <v>395</v>
      </c>
      <c r="J20" s="69">
        <f>SUM(J6:J19)</f>
        <v>109</v>
      </c>
      <c r="K20" s="40"/>
      <c r="L20" s="40"/>
      <c r="M20" s="36"/>
      <c r="N20" s="36"/>
      <c r="P20" s="68" t="s">
        <v>395</v>
      </c>
      <c r="Q20" s="69">
        <f>SUM(Q6:Q19)</f>
        <v>109</v>
      </c>
      <c r="R20" s="40"/>
      <c r="S20" s="40"/>
      <c r="T20" s="36"/>
      <c r="U20" s="36"/>
      <c r="W20" s="68" t="s">
        <v>395</v>
      </c>
      <c r="X20" s="69">
        <f>SUM(X6:X19)</f>
        <v>109</v>
      </c>
      <c r="Y20" s="40"/>
      <c r="Z20" s="40"/>
      <c r="AA20" s="36"/>
      <c r="AB20" s="36"/>
    </row>
    <row r="21" spans="2:30" ht="15.75" customHeight="1">
      <c r="B21" s="68" t="s">
        <v>396</v>
      </c>
      <c r="C21" s="69">
        <f>C20-C19-C18-C17-C16</f>
        <v>83</v>
      </c>
      <c r="D21" s="36"/>
      <c r="E21" s="36"/>
      <c r="F21" s="36"/>
      <c r="G21" s="36"/>
      <c r="I21" s="68" t="s">
        <v>396</v>
      </c>
      <c r="J21" s="69">
        <f>J20-J19-J18-J17-J16</f>
        <v>99</v>
      </c>
      <c r="K21" s="36"/>
      <c r="L21" s="36"/>
      <c r="M21" s="36"/>
      <c r="N21" s="36"/>
      <c r="P21" s="68" t="s">
        <v>396</v>
      </c>
      <c r="Q21" s="69">
        <f>Q20-Q19-Q18-Q17-Q16</f>
        <v>100</v>
      </c>
      <c r="R21" s="36"/>
      <c r="S21" s="36"/>
      <c r="T21" s="36"/>
      <c r="U21" s="36"/>
      <c r="W21" s="68" t="s">
        <v>396</v>
      </c>
      <c r="X21" s="69">
        <f>X20-X19-X18-X17-X16</f>
        <v>106</v>
      </c>
      <c r="Y21" s="36"/>
      <c r="Z21" s="36"/>
      <c r="AA21" s="36"/>
      <c r="AB21" s="36"/>
      <c r="AD21" s="30"/>
    </row>
    <row r="22" spans="2:30" ht="15.75" customHeight="1">
      <c r="W22" s="43"/>
      <c r="AA22" s="37"/>
      <c r="AD22" s="30"/>
    </row>
    <row r="23" spans="2:30" ht="15.75" customHeight="1">
      <c r="AA23" s="37"/>
    </row>
    <row r="24" spans="2:30" ht="15" customHeight="1">
      <c r="AA24" s="37"/>
    </row>
    <row r="25" spans="2:30" ht="19.5" customHeight="1">
      <c r="B25" s="74" t="s">
        <v>397</v>
      </c>
      <c r="C25" s="75"/>
      <c r="D25" s="75"/>
      <c r="E25" s="75"/>
      <c r="F25" s="71"/>
      <c r="G25" s="76"/>
      <c r="I25" s="74" t="s">
        <v>397</v>
      </c>
      <c r="J25" s="75"/>
      <c r="K25" s="75"/>
      <c r="L25" s="75"/>
      <c r="M25" s="71"/>
      <c r="N25" s="76"/>
      <c r="P25" s="74" t="s">
        <v>397</v>
      </c>
      <c r="Q25" s="75"/>
      <c r="R25" s="75"/>
      <c r="S25" s="75"/>
      <c r="T25" s="71"/>
      <c r="U25" s="76"/>
      <c r="W25" s="47" t="s">
        <v>771</v>
      </c>
      <c r="X25" s="18"/>
      <c r="Y25" s="18"/>
      <c r="Z25" s="18"/>
      <c r="AA25" s="18"/>
      <c r="AB25" s="19"/>
    </row>
    <row r="26" spans="2:30" ht="42" customHeight="1">
      <c r="B26" s="73" t="s">
        <v>386</v>
      </c>
      <c r="C26" s="73" t="s">
        <v>387</v>
      </c>
      <c r="D26" s="73" t="s">
        <v>388</v>
      </c>
      <c r="E26" s="73" t="s">
        <v>389</v>
      </c>
      <c r="F26" s="73" t="s">
        <v>390</v>
      </c>
      <c r="G26" s="73" t="s">
        <v>391</v>
      </c>
      <c r="I26" s="73" t="s">
        <v>386</v>
      </c>
      <c r="J26" s="73" t="s">
        <v>387</v>
      </c>
      <c r="K26" s="73" t="s">
        <v>388</v>
      </c>
      <c r="L26" s="73" t="s">
        <v>389</v>
      </c>
      <c r="M26" s="73" t="s">
        <v>390</v>
      </c>
      <c r="N26" s="73" t="s">
        <v>391</v>
      </c>
      <c r="P26" s="73" t="s">
        <v>386</v>
      </c>
      <c r="Q26" s="73" t="s">
        <v>387</v>
      </c>
      <c r="R26" s="73" t="s">
        <v>388</v>
      </c>
      <c r="S26" s="73" t="s">
        <v>389</v>
      </c>
      <c r="T26" s="73" t="s">
        <v>390</v>
      </c>
      <c r="U26" s="73" t="s">
        <v>391</v>
      </c>
      <c r="W26" s="73" t="s">
        <v>386</v>
      </c>
      <c r="X26" s="73" t="s">
        <v>387</v>
      </c>
      <c r="Y26" s="73" t="s">
        <v>388</v>
      </c>
      <c r="Z26" s="73" t="s">
        <v>389</v>
      </c>
      <c r="AA26" s="73" t="s">
        <v>390</v>
      </c>
      <c r="AB26" s="73" t="s">
        <v>391</v>
      </c>
    </row>
    <row r="27" spans="2:30" s="23" customFormat="1" ht="6" customHeight="1">
      <c r="B27" s="20"/>
      <c r="C27" s="21"/>
      <c r="D27" s="21"/>
      <c r="E27" s="21"/>
      <c r="F27" s="21"/>
      <c r="G27" s="21"/>
      <c r="H27" s="22"/>
      <c r="I27" s="20"/>
      <c r="J27" s="21"/>
      <c r="K27" s="21"/>
      <c r="L27" s="21"/>
      <c r="M27" s="21"/>
      <c r="N27" s="21"/>
      <c r="O27" s="22"/>
      <c r="P27" s="20"/>
      <c r="Q27" s="21"/>
      <c r="R27" s="21"/>
      <c r="S27" s="21"/>
      <c r="T27" s="21"/>
      <c r="U27" s="21"/>
      <c r="V27" s="22"/>
      <c r="W27" s="20"/>
      <c r="X27" s="21"/>
      <c r="Y27" s="21"/>
      <c r="Z27" s="21"/>
      <c r="AA27" s="21"/>
      <c r="AB27" s="21"/>
    </row>
    <row r="28" spans="2:30" ht="21.75" customHeight="1">
      <c r="B28" s="59" t="s">
        <v>392</v>
      </c>
      <c r="C28" s="60">
        <f>COUNTIFS('1. All Data'!$AB$3:$AB$111,"Value For Money Council",'1. All Data'!$I$3:$I$111,"Fully Achieved")</f>
        <v>6</v>
      </c>
      <c r="D28" s="61">
        <f>C28/C42</f>
        <v>9.0909090909090912E-2</v>
      </c>
      <c r="E28" s="404">
        <f>D28+D29</f>
        <v>0.75757575757575757</v>
      </c>
      <c r="F28" s="61">
        <f>C28/C43</f>
        <v>0.11538461538461539</v>
      </c>
      <c r="G28" s="405">
        <f>F28+F29</f>
        <v>0.96153846153846156</v>
      </c>
      <c r="I28" s="59" t="s">
        <v>392</v>
      </c>
      <c r="J28" s="60">
        <f>COUNTIFS('1. All Data'!$AB$3:$AB$111,"Value For Money Council",'1. All Data'!$N$3:$N$111,"Fully Achieved")</f>
        <v>18</v>
      </c>
      <c r="K28" s="61">
        <f>J28/J42</f>
        <v>0.27272727272727271</v>
      </c>
      <c r="L28" s="404">
        <f>K28+K29</f>
        <v>0.86363636363636365</v>
      </c>
      <c r="M28" s="61">
        <f>J28/J43</f>
        <v>0.3</v>
      </c>
      <c r="N28" s="405">
        <f>M28+M29</f>
        <v>0.95</v>
      </c>
      <c r="P28" s="59" t="s">
        <v>392</v>
      </c>
      <c r="Q28" s="60">
        <f>COUNTIFS('1. All Data'!$AB$3:$AB$111,"Value For Money Council",'1. All Data'!$S$3:$S$111,"Fully Achieved")</f>
        <v>27</v>
      </c>
      <c r="R28" s="61">
        <f>Q28/Q42</f>
        <v>0.40909090909090912</v>
      </c>
      <c r="S28" s="404">
        <f>R28+R29</f>
        <v>0.89393939393939403</v>
      </c>
      <c r="T28" s="61">
        <f>Q28/Q43</f>
        <v>0.43548387096774194</v>
      </c>
      <c r="U28" s="405">
        <f>T28+T29</f>
        <v>0.95161290322580649</v>
      </c>
      <c r="W28" s="59" t="s">
        <v>392</v>
      </c>
      <c r="X28" s="60">
        <f>COUNTIFS('1. All Data'!$AB$3:$AB$111,"Value For Money Council",'1. All Data'!$W$3:$W$111,"Fully Achieved")</f>
        <v>56</v>
      </c>
      <c r="Y28" s="338">
        <f>X28/X42</f>
        <v>0.84848484848484851</v>
      </c>
      <c r="Z28" s="404">
        <f>Y28+Y29</f>
        <v>0.87878787878787878</v>
      </c>
      <c r="AA28" s="338">
        <f>X28/X43</f>
        <v>0.86153846153846159</v>
      </c>
      <c r="AB28" s="405">
        <f>AA28+AA29</f>
        <v>0.89230769230769236</v>
      </c>
    </row>
    <row r="29" spans="2:30" ht="18.75" customHeight="1">
      <c r="B29" s="59" t="s">
        <v>343</v>
      </c>
      <c r="C29" s="60">
        <f>COUNTIFS('1. All Data'!$AB$3:$AB$111,"Value For Money Council",'1. All Data'!$I$3:$I$111,"On Track to be achieved")</f>
        <v>44</v>
      </c>
      <c r="D29" s="61">
        <f>C29/C42</f>
        <v>0.66666666666666663</v>
      </c>
      <c r="E29" s="404"/>
      <c r="F29" s="61">
        <f>C29/C43</f>
        <v>0.84615384615384615</v>
      </c>
      <c r="G29" s="405"/>
      <c r="I29" s="59" t="s">
        <v>343</v>
      </c>
      <c r="J29" s="60">
        <f>COUNTIFS('1. All Data'!$AB$3:$AB$111,"Value For Money Council",'1. All Data'!$N$3:$N$111,"On Track to be achieved")</f>
        <v>39</v>
      </c>
      <c r="K29" s="61">
        <f>J29/J42</f>
        <v>0.59090909090909094</v>
      </c>
      <c r="L29" s="404"/>
      <c r="M29" s="61">
        <f>J29/J43</f>
        <v>0.65</v>
      </c>
      <c r="N29" s="405"/>
      <c r="P29" s="59" t="s">
        <v>343</v>
      </c>
      <c r="Q29" s="60">
        <f>COUNTIFS('1. All Data'!$AB$3:$AB$111,"Value For Money Council",'1. All Data'!$S$3:$S$111,"On Track to be achieved")</f>
        <v>32</v>
      </c>
      <c r="R29" s="61">
        <f>Q29/Q42</f>
        <v>0.48484848484848486</v>
      </c>
      <c r="S29" s="404"/>
      <c r="T29" s="61">
        <f>Q29/Q43</f>
        <v>0.5161290322580645</v>
      </c>
      <c r="U29" s="405"/>
      <c r="W29" s="59" t="s">
        <v>335</v>
      </c>
      <c r="X29" s="60">
        <f>COUNTIFS('1. All Data'!$AB$3:$AB$111,"Value For Money Council",'1. All Data'!$W$3:$W$111,"Numerical Outturn Within 5% Tolerance")</f>
        <v>2</v>
      </c>
      <c r="Y29" s="338">
        <f>X29/X42</f>
        <v>3.0303030303030304E-2</v>
      </c>
      <c r="Z29" s="404"/>
      <c r="AA29" s="338">
        <f>X29/$X$43</f>
        <v>3.0769230769230771E-2</v>
      </c>
      <c r="AB29" s="405"/>
    </row>
    <row r="30" spans="2:30" s="23" customFormat="1" ht="6" customHeight="1">
      <c r="B30" s="24"/>
      <c r="C30" s="25"/>
      <c r="D30" s="26"/>
      <c r="E30" s="26"/>
      <c r="F30" s="26"/>
      <c r="G30" s="27"/>
      <c r="H30" s="22"/>
      <c r="I30" s="24"/>
      <c r="J30" s="25"/>
      <c r="K30" s="26"/>
      <c r="L30" s="26"/>
      <c r="M30" s="26"/>
      <c r="N30" s="27"/>
      <c r="O30" s="22"/>
      <c r="P30" s="24"/>
      <c r="Q30" s="25"/>
      <c r="R30" s="26"/>
      <c r="S30" s="26"/>
      <c r="T30" s="26"/>
      <c r="U30" s="27"/>
      <c r="V30" s="22"/>
      <c r="W30" s="24"/>
      <c r="X30" s="25"/>
      <c r="Y30" s="26"/>
      <c r="Z30" s="26"/>
      <c r="AA30" s="26"/>
      <c r="AB30" s="27"/>
    </row>
    <row r="31" spans="2:30" ht="21" customHeight="1">
      <c r="B31" s="406" t="s">
        <v>344</v>
      </c>
      <c r="C31" s="409">
        <f>COUNTIFS('1. All Data'!$AB$3:$AB$111,"Value For Money Council",'1. All Data'!$I$3:$I$111,"In Danger of Falling Behind Target")</f>
        <v>1</v>
      </c>
      <c r="D31" s="412">
        <f>C31/C42</f>
        <v>1.5151515151515152E-2</v>
      </c>
      <c r="E31" s="412">
        <f>D31</f>
        <v>1.5151515151515152E-2</v>
      </c>
      <c r="F31" s="412">
        <f>C31/C43</f>
        <v>1.9230769230769232E-2</v>
      </c>
      <c r="G31" s="415">
        <f>F31</f>
        <v>1.9230769230769232E-2</v>
      </c>
      <c r="I31" s="406" t="s">
        <v>344</v>
      </c>
      <c r="J31" s="409">
        <f>COUNTIFS('1. All Data'!$AB$3:$AB$111,"Value For Money Council",'1. All Data'!$N$3:$N$111,"In Danger of Falling Behind Target")</f>
        <v>2</v>
      </c>
      <c r="K31" s="412">
        <f>J31/J42</f>
        <v>3.0303030303030304E-2</v>
      </c>
      <c r="L31" s="412">
        <f>K31</f>
        <v>3.0303030303030304E-2</v>
      </c>
      <c r="M31" s="412">
        <f>J31/J43</f>
        <v>3.3333333333333333E-2</v>
      </c>
      <c r="N31" s="415">
        <f>M31</f>
        <v>3.3333333333333333E-2</v>
      </c>
      <c r="P31" s="406" t="s">
        <v>344</v>
      </c>
      <c r="Q31" s="409">
        <f>COUNTIFS('1. All Data'!$AB$3:$AB$111,"Value For Money Council",'1. All Data'!$S$3:$S$111,"In Danger of Falling Behind Target")</f>
        <v>0</v>
      </c>
      <c r="R31" s="412">
        <f>Q31/Q42</f>
        <v>0</v>
      </c>
      <c r="S31" s="412">
        <f>R31</f>
        <v>0</v>
      </c>
      <c r="T31" s="412">
        <f>Q31/Q43</f>
        <v>0</v>
      </c>
      <c r="U31" s="415">
        <f>T31</f>
        <v>0</v>
      </c>
      <c r="W31" s="80" t="s">
        <v>336</v>
      </c>
      <c r="X31" s="81">
        <f>COUNTIFS('1. All Data'!$AB$3:$AB$111,"Value For Money Council",'1. All Data'!$W$3:$W$111,"Numerical Outturn Within 10% Tolerance")</f>
        <v>2</v>
      </c>
      <c r="Y31" s="61">
        <f>X31/$X$42</f>
        <v>3.0303030303030304E-2</v>
      </c>
      <c r="Z31" s="404">
        <f>SUM(Y31:Y33)</f>
        <v>4.5454545454545456E-2</v>
      </c>
      <c r="AA31" s="338">
        <f>X31/$X$43</f>
        <v>3.0769230769230771E-2</v>
      </c>
      <c r="AB31" s="418">
        <f>SUM(AA31:AA33)</f>
        <v>4.6153846153846156E-2</v>
      </c>
    </row>
    <row r="32" spans="2:30" ht="20.25" customHeight="1">
      <c r="B32" s="407"/>
      <c r="C32" s="410"/>
      <c r="D32" s="413"/>
      <c r="E32" s="413"/>
      <c r="F32" s="413"/>
      <c r="G32" s="416"/>
      <c r="I32" s="407"/>
      <c r="J32" s="410"/>
      <c r="K32" s="413"/>
      <c r="L32" s="413"/>
      <c r="M32" s="413"/>
      <c r="N32" s="416"/>
      <c r="P32" s="407"/>
      <c r="Q32" s="410"/>
      <c r="R32" s="413"/>
      <c r="S32" s="413"/>
      <c r="T32" s="413"/>
      <c r="U32" s="416"/>
      <c r="W32" s="80" t="s">
        <v>337</v>
      </c>
      <c r="X32" s="81">
        <f>COUNTIFS('1. All Data'!$AB$3:$AB$111,"Value For Money Council",'1. All Data'!$W$3:$W$111,"Target Partially Met")</f>
        <v>1</v>
      </c>
      <c r="Y32" s="338">
        <f>X32/$X$42</f>
        <v>1.5151515151515152E-2</v>
      </c>
      <c r="Z32" s="404"/>
      <c r="AA32" s="338">
        <f>X32/$X$43</f>
        <v>1.5384615384615385E-2</v>
      </c>
      <c r="AB32" s="418"/>
    </row>
    <row r="33" spans="2:35" ht="18.75" customHeight="1">
      <c r="B33" s="408"/>
      <c r="C33" s="411"/>
      <c r="D33" s="414"/>
      <c r="E33" s="414"/>
      <c r="F33" s="414"/>
      <c r="G33" s="417"/>
      <c r="I33" s="408"/>
      <c r="J33" s="411"/>
      <c r="K33" s="414"/>
      <c r="L33" s="414"/>
      <c r="M33" s="414"/>
      <c r="N33" s="417"/>
      <c r="P33" s="408"/>
      <c r="Q33" s="411"/>
      <c r="R33" s="414"/>
      <c r="S33" s="414"/>
      <c r="T33" s="414"/>
      <c r="U33" s="417"/>
      <c r="W33" s="80" t="s">
        <v>340</v>
      </c>
      <c r="X33" s="81">
        <f>COUNTIFS('1. All Data'!$AB$3:$AB$111,"Value For Money Council",'1. All Data'!$W$3:$W$111,"Completion Date Within Reasonable Tolerance")</f>
        <v>0</v>
      </c>
      <c r="Y33" s="338">
        <f>X33/$X$42</f>
        <v>0</v>
      </c>
      <c r="Z33" s="404"/>
      <c r="AA33" s="338">
        <f>X33/$X$43</f>
        <v>0</v>
      </c>
      <c r="AB33" s="418"/>
    </row>
    <row r="34" spans="2:35" s="23" customFormat="1" ht="6" customHeight="1">
      <c r="B34" s="20"/>
      <c r="C34" s="21"/>
      <c r="D34" s="31"/>
      <c r="E34" s="31"/>
      <c r="F34" s="31"/>
      <c r="G34" s="32"/>
      <c r="H34" s="22"/>
      <c r="I34" s="20"/>
      <c r="J34" s="21"/>
      <c r="K34" s="31"/>
      <c r="L34" s="31"/>
      <c r="M34" s="31"/>
      <c r="N34" s="32"/>
      <c r="O34" s="22"/>
      <c r="P34" s="20"/>
      <c r="Q34" s="21"/>
      <c r="R34" s="31"/>
      <c r="S34" s="31"/>
      <c r="T34" s="31"/>
      <c r="U34" s="32"/>
      <c r="V34" s="22"/>
      <c r="W34" s="20"/>
      <c r="X34" s="21"/>
      <c r="Y34" s="31"/>
      <c r="Z34" s="31"/>
      <c r="AA34" s="31"/>
      <c r="AB34" s="32"/>
    </row>
    <row r="35" spans="2:35" ht="20.25" customHeight="1">
      <c r="B35" s="63" t="s">
        <v>345</v>
      </c>
      <c r="C35" s="60">
        <f>COUNTIFS('1. All Data'!$AB$3:$AB$111,"Value For Money Council",'1. All Data'!$I$3:$I$111,"Completed Behind Schedule")</f>
        <v>0</v>
      </c>
      <c r="D35" s="61">
        <f>C35/C42</f>
        <v>0</v>
      </c>
      <c r="E35" s="404">
        <f>D35+D36</f>
        <v>1.5151515151515152E-2</v>
      </c>
      <c r="F35" s="61">
        <f>C35/C43</f>
        <v>0</v>
      </c>
      <c r="G35" s="419">
        <f>F35+F36</f>
        <v>1.9230769230769232E-2</v>
      </c>
      <c r="I35" s="63" t="s">
        <v>345</v>
      </c>
      <c r="J35" s="60">
        <f>COUNTIFS('1. All Data'!$AB$3:$AB$111,"Value For Money Council",'1. All Data'!$N$3:$N$111,"Completed Behind Schedule")</f>
        <v>1</v>
      </c>
      <c r="K35" s="61">
        <f>J35/J42</f>
        <v>1.5151515151515152E-2</v>
      </c>
      <c r="L35" s="404">
        <f>K35+K36</f>
        <v>1.5151515151515152E-2</v>
      </c>
      <c r="M35" s="61">
        <f>J35/J43</f>
        <v>1.6666666666666666E-2</v>
      </c>
      <c r="N35" s="419">
        <f>M35+M36</f>
        <v>1.6666666666666666E-2</v>
      </c>
      <c r="P35" s="63" t="s">
        <v>345</v>
      </c>
      <c r="Q35" s="60">
        <f>COUNTIFS('1. All Data'!$AB$3:$AB$111,"Value For Money Council",'1. All Data'!$S$3:$S$111,"Completed Behind Schedule")</f>
        <v>1</v>
      </c>
      <c r="R35" s="61">
        <f>Q35/Q42</f>
        <v>1.5151515151515152E-2</v>
      </c>
      <c r="S35" s="404">
        <f>R35+R36</f>
        <v>4.5454545454545456E-2</v>
      </c>
      <c r="T35" s="61">
        <f>Q35/Q43</f>
        <v>1.6129032258064516E-2</v>
      </c>
      <c r="U35" s="419">
        <f>T35+T36</f>
        <v>4.8387096774193547E-2</v>
      </c>
      <c r="W35" s="63" t="s">
        <v>339</v>
      </c>
      <c r="X35" s="60">
        <f>COUNTIFS('1. All Data'!$AB$3:$AB$111,"Value For Money Council",'1. All Data'!$W$3:$W$111,"Completed Significantly After Target Deadline")</f>
        <v>0</v>
      </c>
      <c r="Y35" s="338">
        <f>X35/$X$42</f>
        <v>0</v>
      </c>
      <c r="Z35" s="404">
        <f>SUM(Y35:Y36)</f>
        <v>6.0606060606060608E-2</v>
      </c>
      <c r="AA35" s="338">
        <f>X35/$X$43</f>
        <v>0</v>
      </c>
      <c r="AB35" s="419">
        <f>AA35+AA36</f>
        <v>6.1538461538461542E-2</v>
      </c>
    </row>
    <row r="36" spans="2:35" ht="20.25" customHeight="1">
      <c r="B36" s="63" t="s">
        <v>338</v>
      </c>
      <c r="C36" s="60">
        <f>COUNTIFS('1. All Data'!$AB$3:$AB$111,"Value For Money Council",'1. All Data'!$I$3:$I$111,"Off Target")</f>
        <v>1</v>
      </c>
      <c r="D36" s="61">
        <f>C36/C42</f>
        <v>1.5151515151515152E-2</v>
      </c>
      <c r="E36" s="404"/>
      <c r="F36" s="61">
        <f>C36/C43</f>
        <v>1.9230769230769232E-2</v>
      </c>
      <c r="G36" s="419"/>
      <c r="I36" s="63" t="s">
        <v>338</v>
      </c>
      <c r="J36" s="60">
        <f>COUNTIFS('1. All Data'!$AB$3:$AB$111,"Value For Money Council",'1. All Data'!$N$3:$N$111,"Off Target")</f>
        <v>0</v>
      </c>
      <c r="K36" s="61">
        <f>J36/J42</f>
        <v>0</v>
      </c>
      <c r="L36" s="404"/>
      <c r="M36" s="61">
        <f>J36/J43</f>
        <v>0</v>
      </c>
      <c r="N36" s="419"/>
      <c r="P36" s="63" t="s">
        <v>338</v>
      </c>
      <c r="Q36" s="60">
        <f>COUNTIFS('1. All Data'!$AB$3:$AB$111,"Value For Money Council",'1. All Data'!$S$3:$S$111,"Off Target")</f>
        <v>2</v>
      </c>
      <c r="R36" s="61">
        <f>Q36/Q42</f>
        <v>3.0303030303030304E-2</v>
      </c>
      <c r="S36" s="404"/>
      <c r="T36" s="61">
        <f>Q36/Q43</f>
        <v>3.2258064516129031E-2</v>
      </c>
      <c r="U36" s="419"/>
      <c r="W36" s="63" t="s">
        <v>338</v>
      </c>
      <c r="X36" s="60">
        <f>COUNTIFS('1. All Data'!$AB$3:$AB$111,"Value For Money Council",'1. All Data'!$W$3:$W$111,"Off Target")</f>
        <v>4</v>
      </c>
      <c r="Y36" s="338">
        <f>X36/$X$42</f>
        <v>6.0606060606060608E-2</v>
      </c>
      <c r="Z36" s="404"/>
      <c r="AA36" s="338">
        <f>X36/$X$43</f>
        <v>6.1538461538461542E-2</v>
      </c>
      <c r="AB36" s="419"/>
    </row>
    <row r="37" spans="2:35" s="23" customFormat="1" ht="6.75" customHeight="1">
      <c r="B37" s="20"/>
      <c r="C37" s="33"/>
      <c r="D37" s="31"/>
      <c r="E37" s="31"/>
      <c r="F37" s="31"/>
      <c r="G37" s="34"/>
      <c r="H37" s="22"/>
      <c r="I37" s="20"/>
      <c r="J37" s="33"/>
      <c r="K37" s="31"/>
      <c r="L37" s="31"/>
      <c r="M37" s="31"/>
      <c r="N37" s="34"/>
      <c r="O37" s="22"/>
      <c r="P37" s="20"/>
      <c r="Q37" s="33"/>
      <c r="R37" s="31"/>
      <c r="S37" s="31"/>
      <c r="T37" s="31"/>
      <c r="U37" s="34"/>
      <c r="V37" s="22"/>
      <c r="W37" s="20"/>
      <c r="X37" s="33"/>
      <c r="Y37" s="31"/>
      <c r="Z37" s="31"/>
      <c r="AA37" s="31"/>
      <c r="AB37" s="34"/>
    </row>
    <row r="38" spans="2:35" ht="15" customHeight="1">
      <c r="B38" s="64" t="s">
        <v>393</v>
      </c>
      <c r="C38" s="60">
        <f>COUNTIFS('1. All Data'!$AB$3:$AB$111,"Value For Money Council",'1. All Data'!$I$3:$I$111,"Not yet due")</f>
        <v>14</v>
      </c>
      <c r="D38" s="65">
        <f>C38/C42</f>
        <v>0.21212121212121213</v>
      </c>
      <c r="E38" s="65">
        <f>D38</f>
        <v>0.21212121212121213</v>
      </c>
      <c r="F38" s="35"/>
      <c r="G38" s="36"/>
      <c r="I38" s="64" t="s">
        <v>393</v>
      </c>
      <c r="J38" s="60">
        <f>COUNTIFS('1. All Data'!$AB$3:$AB$111,"Value For Money Council",'1. All Data'!$N$3:$N$111,"Not yet due")</f>
        <v>6</v>
      </c>
      <c r="K38" s="65">
        <f>J38/J42</f>
        <v>9.0909090909090912E-2</v>
      </c>
      <c r="L38" s="65">
        <f>K38</f>
        <v>9.0909090909090912E-2</v>
      </c>
      <c r="M38" s="35"/>
      <c r="N38" s="36"/>
      <c r="P38" s="64" t="s">
        <v>393</v>
      </c>
      <c r="Q38" s="60">
        <f>COUNTIFS('1. All Data'!$AB$3:$AB$111,"Value For Money Council",'1. All Data'!$S$3:$S$111,"Not yet due")</f>
        <v>3</v>
      </c>
      <c r="R38" s="65">
        <f>Q38/Q42</f>
        <v>4.5454545454545456E-2</v>
      </c>
      <c r="S38" s="65">
        <f>R38</f>
        <v>4.5454545454545456E-2</v>
      </c>
      <c r="T38" s="35"/>
      <c r="U38" s="36"/>
      <c r="W38" s="64" t="s">
        <v>393</v>
      </c>
      <c r="X38" s="60">
        <f>COUNTIFS('1. All Data'!$AB$3:$AB$111,"Value For Money Council",'1. All Data'!$W$3:$W$111,"Not yet due")</f>
        <v>0</v>
      </c>
      <c r="Y38" s="338">
        <f t="shared" ref="Y38:Y41" si="1">X38/$X$42</f>
        <v>0</v>
      </c>
      <c r="Z38" s="338">
        <f>Y38</f>
        <v>0</v>
      </c>
      <c r="AA38" s="35"/>
      <c r="AB38" s="36"/>
    </row>
    <row r="39" spans="2:35" ht="15" customHeight="1">
      <c r="B39" s="64" t="s">
        <v>333</v>
      </c>
      <c r="C39" s="60">
        <f>COUNTIFS('1. All Data'!$AB$3:$AB$111,"Value For Money Council",'1. All Data'!$I$3:$I$111,"update not provided")</f>
        <v>0</v>
      </c>
      <c r="D39" s="65">
        <f>C39/C42</f>
        <v>0</v>
      </c>
      <c r="E39" s="65">
        <f>D39</f>
        <v>0</v>
      </c>
      <c r="F39" s="35"/>
      <c r="G39" s="38"/>
      <c r="I39" s="64" t="s">
        <v>333</v>
      </c>
      <c r="J39" s="60">
        <f>COUNTIFS('1. All Data'!$AB$3:$AB$111,"Value For Money Council",'1. All Data'!$N$3:$N$111,"update not provided")</f>
        <v>0</v>
      </c>
      <c r="K39" s="65">
        <f>J39/J42</f>
        <v>0</v>
      </c>
      <c r="L39" s="65">
        <f>K39</f>
        <v>0</v>
      </c>
      <c r="M39" s="35"/>
      <c r="N39" s="38"/>
      <c r="P39" s="64" t="s">
        <v>333</v>
      </c>
      <c r="Q39" s="60">
        <f>COUNTIFS('1. All Data'!$AB$3:$AB$111,"Value For Money Council",'1. All Data'!$S$3:$S$111,"update not provided")</f>
        <v>0</v>
      </c>
      <c r="R39" s="65">
        <f>Q39/Q42</f>
        <v>0</v>
      </c>
      <c r="S39" s="65">
        <f>R39</f>
        <v>0</v>
      </c>
      <c r="T39" s="35"/>
      <c r="U39" s="38"/>
      <c r="W39" s="64" t="s">
        <v>333</v>
      </c>
      <c r="X39" s="60">
        <f>COUNTIFS('1. All Data'!$AB$3:$AB$111,"Value For Money Council",'1. All Data'!$W$3:$W$111,"update not provided")</f>
        <v>0</v>
      </c>
      <c r="Y39" s="338">
        <f t="shared" si="1"/>
        <v>0</v>
      </c>
      <c r="Z39" s="388">
        <f t="shared" ref="Z39:Z41" si="2">Y39</f>
        <v>0</v>
      </c>
      <c r="AA39" s="35"/>
      <c r="AB39" s="38"/>
    </row>
    <row r="40" spans="2:35" ht="15.75" customHeight="1">
      <c r="B40" s="66" t="s">
        <v>341</v>
      </c>
      <c r="C40" s="60">
        <f>COUNTIFS('1. All Data'!$AB$3:$AB$111,"Value For Money Council",'1. All Data'!$I$3:$I$111,"Deferred")</f>
        <v>0</v>
      </c>
      <c r="D40" s="67">
        <f>C40/C42</f>
        <v>0</v>
      </c>
      <c r="E40" s="67">
        <f>D40</f>
        <v>0</v>
      </c>
      <c r="F40" s="40"/>
      <c r="G40" s="36"/>
      <c r="I40" s="66" t="s">
        <v>341</v>
      </c>
      <c r="J40" s="60">
        <f>COUNTIFS('1. All Data'!$AB$3:$AB$111,"Value For Money Council",'1. All Data'!$N$3:$N$111,"Deferred")</f>
        <v>0</v>
      </c>
      <c r="K40" s="67">
        <f>J40/J42</f>
        <v>0</v>
      </c>
      <c r="L40" s="67">
        <f>K40</f>
        <v>0</v>
      </c>
      <c r="M40" s="40"/>
      <c r="N40" s="36"/>
      <c r="P40" s="66" t="s">
        <v>341</v>
      </c>
      <c r="Q40" s="60">
        <f>COUNTIFS('1. All Data'!$AB$3:$AB$111,"Value For Money Council",'1. All Data'!$S$3:$S$111,"Deferred")</f>
        <v>1</v>
      </c>
      <c r="R40" s="67">
        <f>Q40/Q42</f>
        <v>1.5151515151515152E-2</v>
      </c>
      <c r="S40" s="67">
        <f>R40</f>
        <v>1.5151515151515152E-2</v>
      </c>
      <c r="T40" s="40"/>
      <c r="U40" s="36"/>
      <c r="W40" s="66" t="s">
        <v>341</v>
      </c>
      <c r="X40" s="60">
        <f>COUNTIFS('1. All Data'!$AB$3:$AB$111,"Value For Money Council",'1. All Data'!$W$3:$W$111,"Deferred")</f>
        <v>1</v>
      </c>
      <c r="Y40" s="338">
        <f t="shared" si="1"/>
        <v>1.5151515151515152E-2</v>
      </c>
      <c r="Z40" s="388">
        <f t="shared" si="2"/>
        <v>1.5151515151515152E-2</v>
      </c>
      <c r="AA40" s="40"/>
      <c r="AB40" s="36"/>
    </row>
    <row r="41" spans="2:35" ht="15.75" customHeight="1">
      <c r="B41" s="66" t="s">
        <v>342</v>
      </c>
      <c r="C41" s="60">
        <f>COUNTIFS('1. All Data'!$AB$3:$AB$111,"Value For Money Council",'1. All Data'!$I$3:$I$111,"Deleted")</f>
        <v>0</v>
      </c>
      <c r="D41" s="67">
        <f>C41/C42</f>
        <v>0</v>
      </c>
      <c r="E41" s="67">
        <f>D41</f>
        <v>0</v>
      </c>
      <c r="F41" s="40"/>
      <c r="G41" s="42" t="s">
        <v>394</v>
      </c>
      <c r="I41" s="66" t="s">
        <v>342</v>
      </c>
      <c r="J41" s="60">
        <f>COUNTIFS('1. All Data'!$AB$3:$AB$111,"Value For Money Council",'1. All Data'!$N$3:$N$111,"Deleted")</f>
        <v>0</v>
      </c>
      <c r="K41" s="67">
        <f>J41/J42</f>
        <v>0</v>
      </c>
      <c r="L41" s="67">
        <f>K41</f>
        <v>0</v>
      </c>
      <c r="M41" s="40"/>
      <c r="N41" s="42" t="s">
        <v>394</v>
      </c>
      <c r="P41" s="66" t="s">
        <v>342</v>
      </c>
      <c r="Q41" s="60">
        <f>COUNTIFS('1. All Data'!$AB$3:$AB$111,"Value For Money Council",'1. All Data'!$S$3:$S$111,"Deleted")</f>
        <v>0</v>
      </c>
      <c r="R41" s="67">
        <f>Q41/Q42</f>
        <v>0</v>
      </c>
      <c r="S41" s="67">
        <f>R41</f>
        <v>0</v>
      </c>
      <c r="T41" s="40"/>
      <c r="U41" s="42" t="s">
        <v>394</v>
      </c>
      <c r="W41" s="66" t="s">
        <v>342</v>
      </c>
      <c r="X41" s="60">
        <f>COUNTIFS('1. All Data'!$AB$3:$AB$111,"Value For Money Council",'1. All Data'!$W$3:$W$111,"Deleted")</f>
        <v>0</v>
      </c>
      <c r="Y41" s="338">
        <f t="shared" si="1"/>
        <v>0</v>
      </c>
      <c r="Z41" s="388">
        <f t="shared" si="2"/>
        <v>0</v>
      </c>
      <c r="AA41" s="40"/>
      <c r="AI41" s="42" t="s">
        <v>394</v>
      </c>
    </row>
    <row r="42" spans="2:35" ht="15.75" customHeight="1">
      <c r="B42" s="68" t="s">
        <v>395</v>
      </c>
      <c r="C42" s="69">
        <f>SUM(C28:C41)</f>
        <v>66</v>
      </c>
      <c r="D42" s="40"/>
      <c r="E42" s="40"/>
      <c r="F42" s="36"/>
      <c r="G42" s="36"/>
      <c r="I42" s="68" t="s">
        <v>395</v>
      </c>
      <c r="J42" s="69">
        <f>SUM(J28:J41)</f>
        <v>66</v>
      </c>
      <c r="K42" s="40"/>
      <c r="L42" s="40"/>
      <c r="M42" s="36"/>
      <c r="N42" s="36"/>
      <c r="P42" s="68" t="s">
        <v>395</v>
      </c>
      <c r="Q42" s="69">
        <f>SUM(Q28:Q41)</f>
        <v>66</v>
      </c>
      <c r="R42" s="40"/>
      <c r="S42" s="40"/>
      <c r="T42" s="36"/>
      <c r="U42" s="36"/>
      <c r="W42" s="68" t="s">
        <v>395</v>
      </c>
      <c r="X42" s="69">
        <f>SUM(X28:X41)</f>
        <v>66</v>
      </c>
      <c r="Y42" s="40"/>
      <c r="Z42" s="40"/>
      <c r="AA42" s="36"/>
      <c r="AB42" s="36"/>
    </row>
    <row r="43" spans="2:35" ht="15.75" customHeight="1">
      <c r="B43" s="68" t="s">
        <v>396</v>
      </c>
      <c r="C43" s="69">
        <f>C42-C41-C40-C39-C38</f>
        <v>52</v>
      </c>
      <c r="D43" s="36"/>
      <c r="E43" s="36"/>
      <c r="F43" s="36"/>
      <c r="G43" s="36"/>
      <c r="I43" s="68" t="s">
        <v>396</v>
      </c>
      <c r="J43" s="69">
        <f>J42-J41-J40-J39-J38</f>
        <v>60</v>
      </c>
      <c r="K43" s="36"/>
      <c r="L43" s="36"/>
      <c r="M43" s="36"/>
      <c r="N43" s="36"/>
      <c r="P43" s="68" t="s">
        <v>396</v>
      </c>
      <c r="Q43" s="69">
        <f>Q42-Q41-Q40-Q39-Q38</f>
        <v>62</v>
      </c>
      <c r="R43" s="36"/>
      <c r="S43" s="36"/>
      <c r="T43" s="36"/>
      <c r="U43" s="36"/>
      <c r="W43" s="68" t="s">
        <v>396</v>
      </c>
      <c r="X43" s="69">
        <f>X42-X41-X40-X39-X38</f>
        <v>65</v>
      </c>
      <c r="Y43" s="36"/>
      <c r="Z43" s="36"/>
      <c r="AA43" s="36"/>
      <c r="AB43" s="36"/>
    </row>
    <row r="44" spans="2:35" ht="15.75" customHeight="1">
      <c r="W44" s="48"/>
      <c r="X44" s="22"/>
      <c r="Y44" s="22"/>
      <c r="Z44" s="22"/>
      <c r="AA44" s="36"/>
      <c r="AB44" s="41"/>
    </row>
    <row r="45" spans="2:35" ht="15.75" customHeight="1"/>
    <row r="46" spans="2:35" s="23" customFormat="1" ht="15.75" customHeight="1">
      <c r="B46" s="49"/>
      <c r="C46" s="22"/>
      <c r="D46" s="22"/>
      <c r="E46" s="22"/>
      <c r="F46" s="36"/>
      <c r="G46" s="22"/>
      <c r="H46" s="22"/>
      <c r="I46" s="49"/>
      <c r="J46" s="22"/>
      <c r="K46" s="22"/>
      <c r="L46" s="22"/>
      <c r="M46" s="36"/>
      <c r="N46" s="22"/>
      <c r="O46" s="22"/>
      <c r="P46" s="49"/>
      <c r="Q46" s="22"/>
      <c r="R46" s="22"/>
      <c r="S46" s="22"/>
      <c r="T46" s="36"/>
      <c r="U46" s="22"/>
      <c r="V46" s="22"/>
      <c r="W46" s="22"/>
      <c r="X46" s="22"/>
      <c r="Y46" s="22"/>
      <c r="Z46" s="22"/>
      <c r="AA46" s="22"/>
      <c r="AB46" s="41"/>
    </row>
    <row r="47" spans="2:35" ht="15.75" customHeight="1">
      <c r="B47" s="44" t="s">
        <v>398</v>
      </c>
      <c r="C47" s="45"/>
      <c r="D47" s="45"/>
      <c r="E47" s="45"/>
      <c r="F47" s="16"/>
      <c r="G47" s="46"/>
      <c r="I47" s="44" t="s">
        <v>398</v>
      </c>
      <c r="J47" s="45"/>
      <c r="K47" s="45"/>
      <c r="L47" s="45"/>
      <c r="M47" s="16"/>
      <c r="N47" s="46"/>
      <c r="P47" s="44" t="s">
        <v>398</v>
      </c>
      <c r="Q47" s="45"/>
      <c r="R47" s="45"/>
      <c r="S47" s="45"/>
      <c r="T47" s="16"/>
      <c r="U47" s="46"/>
      <c r="W47" s="44" t="s">
        <v>398</v>
      </c>
      <c r="X47" s="18"/>
      <c r="Y47" s="18"/>
      <c r="Z47" s="18"/>
      <c r="AA47" s="18"/>
      <c r="AB47" s="19"/>
    </row>
    <row r="48" spans="2:35" ht="36" customHeight="1">
      <c r="B48" s="73" t="s">
        <v>386</v>
      </c>
      <c r="C48" s="73" t="s">
        <v>387</v>
      </c>
      <c r="D48" s="73" t="s">
        <v>388</v>
      </c>
      <c r="E48" s="73" t="s">
        <v>389</v>
      </c>
      <c r="F48" s="73" t="s">
        <v>390</v>
      </c>
      <c r="G48" s="73" t="s">
        <v>391</v>
      </c>
      <c r="I48" s="73" t="s">
        <v>386</v>
      </c>
      <c r="J48" s="73" t="s">
        <v>387</v>
      </c>
      <c r="K48" s="73" t="s">
        <v>388</v>
      </c>
      <c r="L48" s="73" t="s">
        <v>389</v>
      </c>
      <c r="M48" s="73" t="s">
        <v>390</v>
      </c>
      <c r="N48" s="73" t="s">
        <v>391</v>
      </c>
      <c r="P48" s="73" t="s">
        <v>386</v>
      </c>
      <c r="Q48" s="73" t="s">
        <v>387</v>
      </c>
      <c r="R48" s="73" t="s">
        <v>388</v>
      </c>
      <c r="S48" s="73" t="s">
        <v>389</v>
      </c>
      <c r="T48" s="73" t="s">
        <v>390</v>
      </c>
      <c r="U48" s="73" t="s">
        <v>391</v>
      </c>
      <c r="W48" s="73" t="s">
        <v>386</v>
      </c>
      <c r="X48" s="73" t="s">
        <v>387</v>
      </c>
      <c r="Y48" s="73" t="s">
        <v>388</v>
      </c>
      <c r="Z48" s="73" t="s">
        <v>389</v>
      </c>
      <c r="AA48" s="73" t="s">
        <v>390</v>
      </c>
      <c r="AB48" s="73" t="s">
        <v>391</v>
      </c>
    </row>
    <row r="49" spans="2:35" s="29" customFormat="1" ht="7.5" customHeight="1">
      <c r="B49" s="20"/>
      <c r="C49" s="21"/>
      <c r="D49" s="21"/>
      <c r="E49" s="21"/>
      <c r="F49" s="21"/>
      <c r="G49" s="21"/>
      <c r="H49" s="28"/>
      <c r="I49" s="20"/>
      <c r="J49" s="21"/>
      <c r="K49" s="21"/>
      <c r="L49" s="21"/>
      <c r="M49" s="21"/>
      <c r="N49" s="21"/>
      <c r="O49" s="28"/>
      <c r="P49" s="20"/>
      <c r="Q49" s="21"/>
      <c r="R49" s="21"/>
      <c r="S49" s="21"/>
      <c r="T49" s="21"/>
      <c r="U49" s="21"/>
      <c r="V49" s="28"/>
      <c r="W49" s="20"/>
      <c r="X49" s="21"/>
      <c r="Y49" s="21"/>
      <c r="Z49" s="21"/>
      <c r="AA49" s="21"/>
      <c r="AB49" s="21"/>
      <c r="AD49" s="23"/>
      <c r="AE49" s="23"/>
      <c r="AF49" s="23"/>
    </row>
    <row r="50" spans="2:35" ht="18.75" customHeight="1">
      <c r="B50" s="59" t="s">
        <v>392</v>
      </c>
      <c r="C50" s="60">
        <f>COUNTIFS('1. All Data'!$AB$3:$AB$111,"Environment and Health &amp; Wellbeing",'1. All Data'!$I$3:$I$111,"Fully Achieved")</f>
        <v>2</v>
      </c>
      <c r="D50" s="61">
        <f>C50/C64</f>
        <v>8.6956521739130432E-2</v>
      </c>
      <c r="E50" s="404">
        <f>D50+D51</f>
        <v>0.60869565217391308</v>
      </c>
      <c r="F50" s="61">
        <f>C50/C65</f>
        <v>0.13333333333333333</v>
      </c>
      <c r="G50" s="405">
        <f>F50+F51</f>
        <v>0.93333333333333335</v>
      </c>
      <c r="I50" s="59" t="s">
        <v>392</v>
      </c>
      <c r="J50" s="60">
        <f>COUNTIFS('1. All Data'!$AB$3:$AB$111,"Environment and Health &amp; Wellbeing",'1. All Data'!$N$3:$N$111,"Fully Achieved")</f>
        <v>4</v>
      </c>
      <c r="K50" s="61">
        <f>J50/J64</f>
        <v>0.17391304347826086</v>
      </c>
      <c r="L50" s="404">
        <f>K50+K51</f>
        <v>0.91304347826086951</v>
      </c>
      <c r="M50" s="61">
        <f>J50/J65</f>
        <v>0.18181818181818182</v>
      </c>
      <c r="N50" s="405">
        <f>M50+M51</f>
        <v>0.95454545454545459</v>
      </c>
      <c r="P50" s="59" t="s">
        <v>392</v>
      </c>
      <c r="Q50" s="60">
        <f>COUNTIFS('1. All Data'!$AB$3:$AB$111,"Environment and Health &amp; Wellbeing",'1. All Data'!$S$3:$S$111,"Fully Achieved")</f>
        <v>7</v>
      </c>
      <c r="R50" s="61">
        <f>Q50/Q64</f>
        <v>0.30434782608695654</v>
      </c>
      <c r="S50" s="404">
        <f>R50+R51</f>
        <v>0.82608695652173914</v>
      </c>
      <c r="T50" s="61">
        <f>Q50/Q65</f>
        <v>0.33333333333333331</v>
      </c>
      <c r="U50" s="405">
        <f>T50+T51</f>
        <v>0.90476190476190466</v>
      </c>
      <c r="W50" s="59" t="s">
        <v>392</v>
      </c>
      <c r="X50" s="60">
        <f>COUNTIFS('1. All Data'!$AB$3:$AB$111,"Environment and Health &amp; Wellbeing",'1. All Data'!$W$3:$W$111,"Fully Achieved")</f>
        <v>19</v>
      </c>
      <c r="Y50" s="338">
        <f>X50/X64</f>
        <v>0.82608695652173914</v>
      </c>
      <c r="Z50" s="404">
        <f>Y50+Y51</f>
        <v>0.91304347826086962</v>
      </c>
      <c r="AA50" s="338">
        <f>X50/X65</f>
        <v>0.82608695652173914</v>
      </c>
      <c r="AB50" s="405">
        <f>AA50+AA51</f>
        <v>0.91304347826086962</v>
      </c>
    </row>
    <row r="51" spans="2:35" ht="18.75" customHeight="1">
      <c r="B51" s="59" t="s">
        <v>343</v>
      </c>
      <c r="C51" s="60">
        <f>COUNTIFS('1. All Data'!$AB$3:$AB$111,"Environment and Health &amp; Wellbeing",'1. All Data'!$I$3:$I$111,"On Track to be achieved")</f>
        <v>12</v>
      </c>
      <c r="D51" s="61">
        <f>C51/C64</f>
        <v>0.52173913043478259</v>
      </c>
      <c r="E51" s="404"/>
      <c r="F51" s="61">
        <f>C51/C65</f>
        <v>0.8</v>
      </c>
      <c r="G51" s="405"/>
      <c r="I51" s="59" t="s">
        <v>343</v>
      </c>
      <c r="J51" s="60">
        <f>COUNTIFS('1. All Data'!$AB$3:$AB$111,"Environment and Health &amp; Wellbeing",'1. All Data'!$N$3:$N$111,"On Track to be achieved")</f>
        <v>17</v>
      </c>
      <c r="K51" s="61">
        <f>J51/J64</f>
        <v>0.73913043478260865</v>
      </c>
      <c r="L51" s="404"/>
      <c r="M51" s="61">
        <f>J51/J65</f>
        <v>0.77272727272727271</v>
      </c>
      <c r="N51" s="405"/>
      <c r="P51" s="59" t="s">
        <v>343</v>
      </c>
      <c r="Q51" s="60">
        <f>COUNTIFS('1. All Data'!$AB$3:$AB$111,"Environment and Health &amp; Wellbeing",'1. All Data'!$S$3:$S$111,"On Track to be achieved")</f>
        <v>12</v>
      </c>
      <c r="R51" s="61">
        <f>Q51/Q64</f>
        <v>0.52173913043478259</v>
      </c>
      <c r="S51" s="404"/>
      <c r="T51" s="61">
        <f>Q51/Q65</f>
        <v>0.5714285714285714</v>
      </c>
      <c r="U51" s="405"/>
      <c r="W51" s="59" t="s">
        <v>335</v>
      </c>
      <c r="X51" s="60">
        <f>COUNTIFS('1. All Data'!$AB$3:$AB$111,"Environment and Health &amp; Wellbeing",'1. All Data'!$W$3:$W$111,"Numerical Outturn Within 5% Tolerance")</f>
        <v>2</v>
      </c>
      <c r="Y51" s="338">
        <f>X51/X64</f>
        <v>8.6956521739130432E-2</v>
      </c>
      <c r="Z51" s="404"/>
      <c r="AA51" s="338">
        <f>X51/X65</f>
        <v>8.6956521739130432E-2</v>
      </c>
      <c r="AB51" s="405"/>
    </row>
    <row r="52" spans="2:35" s="29" customFormat="1" ht="6.75" customHeight="1">
      <c r="B52" s="24"/>
      <c r="C52" s="25"/>
      <c r="D52" s="26"/>
      <c r="E52" s="26"/>
      <c r="F52" s="26"/>
      <c r="G52" s="27"/>
      <c r="H52" s="28"/>
      <c r="I52" s="24"/>
      <c r="J52" s="25"/>
      <c r="K52" s="26"/>
      <c r="L52" s="26"/>
      <c r="M52" s="26"/>
      <c r="N52" s="27"/>
      <c r="O52" s="28"/>
      <c r="P52" s="24"/>
      <c r="Q52" s="25"/>
      <c r="R52" s="26"/>
      <c r="S52" s="26"/>
      <c r="T52" s="26"/>
      <c r="U52" s="27"/>
      <c r="V52" s="28"/>
      <c r="W52" s="24"/>
      <c r="X52" s="25"/>
      <c r="Y52" s="26"/>
      <c r="Z52" s="26"/>
      <c r="AA52" s="26"/>
      <c r="AB52" s="27"/>
      <c r="AD52" s="23"/>
      <c r="AE52" s="23"/>
      <c r="AF52" s="23"/>
    </row>
    <row r="53" spans="2:35" ht="19.5" customHeight="1">
      <c r="B53" s="406" t="s">
        <v>344</v>
      </c>
      <c r="C53" s="409">
        <f>COUNTIFS('1. All Data'!$AB$3:$AB$111,"Environment and Health &amp; Wellbeing",'1. All Data'!$I$3:$I$111,"In Danger of Falling Behind Target")</f>
        <v>1</v>
      </c>
      <c r="D53" s="412">
        <f>C53/C64</f>
        <v>4.3478260869565216E-2</v>
      </c>
      <c r="E53" s="412">
        <f>D53</f>
        <v>4.3478260869565216E-2</v>
      </c>
      <c r="F53" s="412">
        <f>C53/C65</f>
        <v>6.6666666666666666E-2</v>
      </c>
      <c r="G53" s="415">
        <f>F53</f>
        <v>6.6666666666666666E-2</v>
      </c>
      <c r="I53" s="406" t="s">
        <v>344</v>
      </c>
      <c r="J53" s="409">
        <f>COUNTIFS('1. All Data'!$AB$3:$AB$111,"Environment and Health &amp; Wellbeing",'1. All Data'!$N$3:$N$111,"In Danger of Falling Behind Target")</f>
        <v>0</v>
      </c>
      <c r="K53" s="412">
        <f>J53/J64</f>
        <v>0</v>
      </c>
      <c r="L53" s="412">
        <f>K53</f>
        <v>0</v>
      </c>
      <c r="M53" s="412">
        <f>J53/J65</f>
        <v>0</v>
      </c>
      <c r="N53" s="415">
        <f>M53</f>
        <v>0</v>
      </c>
      <c r="P53" s="406" t="s">
        <v>344</v>
      </c>
      <c r="Q53" s="409">
        <f>COUNTIFS('1. All Data'!$AB$3:$AB$111,"Environment and Health &amp; Wellbeing",'1. All Data'!$S$3:$S$111,"In Danger of Falling Behind Target")</f>
        <v>0</v>
      </c>
      <c r="R53" s="412">
        <f>Q53/Q64</f>
        <v>0</v>
      </c>
      <c r="S53" s="412">
        <f>R53</f>
        <v>0</v>
      </c>
      <c r="T53" s="412">
        <f>Q53/Q65</f>
        <v>0</v>
      </c>
      <c r="U53" s="415">
        <f>T53</f>
        <v>0</v>
      </c>
      <c r="W53" s="80" t="s">
        <v>336</v>
      </c>
      <c r="X53" s="81">
        <f>COUNTIFS('1. All Data'!$AB$3:$AB$111,"Environment and Health &amp; Wellbeing",'1. All Data'!$W$3:$W$111,"Numerical Outturn Within 10% Tolerance")</f>
        <v>0</v>
      </c>
      <c r="Y53" s="338">
        <f>X53/X64</f>
        <v>0</v>
      </c>
      <c r="Z53" s="404">
        <f>SUM(Y53:Y55)</f>
        <v>0</v>
      </c>
      <c r="AA53" s="338">
        <f>X53/X65</f>
        <v>0</v>
      </c>
      <c r="AB53" s="418">
        <f>SUM(AA53:AA55)</f>
        <v>0</v>
      </c>
    </row>
    <row r="54" spans="2:35" ht="19.5" customHeight="1">
      <c r="B54" s="407"/>
      <c r="C54" s="410"/>
      <c r="D54" s="413"/>
      <c r="E54" s="413"/>
      <c r="F54" s="413"/>
      <c r="G54" s="416"/>
      <c r="I54" s="407"/>
      <c r="J54" s="410"/>
      <c r="K54" s="413"/>
      <c r="L54" s="413"/>
      <c r="M54" s="413"/>
      <c r="N54" s="416"/>
      <c r="P54" s="407"/>
      <c r="Q54" s="410"/>
      <c r="R54" s="413"/>
      <c r="S54" s="413"/>
      <c r="T54" s="413"/>
      <c r="U54" s="416"/>
      <c r="W54" s="80" t="s">
        <v>337</v>
      </c>
      <c r="X54" s="81">
        <f>COUNTIFS('1. All Data'!$AB$3:$AB$111,"Environment and Health &amp; Wellbeing",'1. All Data'!$W$3:$W$111,"Target Partially Met")</f>
        <v>0</v>
      </c>
      <c r="Y54" s="338">
        <f>X54/X64</f>
        <v>0</v>
      </c>
      <c r="Z54" s="404"/>
      <c r="AA54" s="338">
        <f>X54/X65</f>
        <v>0</v>
      </c>
      <c r="AB54" s="418"/>
    </row>
    <row r="55" spans="2:35" ht="19.5" customHeight="1">
      <c r="B55" s="408"/>
      <c r="C55" s="411"/>
      <c r="D55" s="414"/>
      <c r="E55" s="414"/>
      <c r="F55" s="414"/>
      <c r="G55" s="417"/>
      <c r="I55" s="408"/>
      <c r="J55" s="411"/>
      <c r="K55" s="414"/>
      <c r="L55" s="414"/>
      <c r="M55" s="414"/>
      <c r="N55" s="417"/>
      <c r="P55" s="408"/>
      <c r="Q55" s="411"/>
      <c r="R55" s="414"/>
      <c r="S55" s="414"/>
      <c r="T55" s="414"/>
      <c r="U55" s="417"/>
      <c r="W55" s="80" t="s">
        <v>340</v>
      </c>
      <c r="X55" s="81">
        <f>COUNTIFS('1. All Data'!$AB$3:$AB$111,"Environment and Health &amp; Wellbeing",'1. All Data'!$W$3:$W$111,"Completion Date Within Reasonable Tolerance")</f>
        <v>0</v>
      </c>
      <c r="Y55" s="338">
        <f>X55/X64</f>
        <v>0</v>
      </c>
      <c r="Z55" s="404"/>
      <c r="AA55" s="338">
        <f>X55/X65</f>
        <v>0</v>
      </c>
      <c r="AB55" s="418"/>
    </row>
    <row r="56" spans="2:35" s="29" customFormat="1" ht="6" customHeight="1">
      <c r="B56" s="20"/>
      <c r="C56" s="21"/>
      <c r="D56" s="31"/>
      <c r="E56" s="31"/>
      <c r="F56" s="31"/>
      <c r="G56" s="32"/>
      <c r="H56" s="28"/>
      <c r="I56" s="20"/>
      <c r="J56" s="21"/>
      <c r="K56" s="31"/>
      <c r="L56" s="31"/>
      <c r="M56" s="31"/>
      <c r="N56" s="32"/>
      <c r="O56" s="28"/>
      <c r="P56" s="20"/>
      <c r="Q56" s="21"/>
      <c r="R56" s="31"/>
      <c r="S56" s="31"/>
      <c r="T56" s="31"/>
      <c r="U56" s="32"/>
      <c r="V56" s="28"/>
      <c r="W56" s="20"/>
      <c r="X56" s="21"/>
      <c r="Y56" s="31"/>
      <c r="Z56" s="31"/>
      <c r="AA56" s="31"/>
      <c r="AB56" s="32"/>
      <c r="AD56" s="23"/>
      <c r="AE56" s="23"/>
      <c r="AF56" s="23"/>
    </row>
    <row r="57" spans="2:35" ht="22.5" customHeight="1">
      <c r="B57" s="63" t="s">
        <v>345</v>
      </c>
      <c r="C57" s="60">
        <f>COUNTIFS('1. All Data'!$AB$3:$AB$111,"Environment and Health &amp; Wellbeing",'1. All Data'!$I$3:$I$111,"Completed Behind Schedule")</f>
        <v>0</v>
      </c>
      <c r="D57" s="61">
        <f>C57/C64</f>
        <v>0</v>
      </c>
      <c r="E57" s="404">
        <f>D57+D58</f>
        <v>0</v>
      </c>
      <c r="F57" s="61">
        <f>C57/C65</f>
        <v>0</v>
      </c>
      <c r="G57" s="419">
        <f>F57+F58</f>
        <v>0</v>
      </c>
      <c r="I57" s="63" t="s">
        <v>345</v>
      </c>
      <c r="J57" s="60">
        <f>COUNTIFS('1. All Data'!$AB$3:$AB$111,"Environment and Health &amp; Wellbeing",'1. All Data'!$N$3:$N$111,"Completed Behind Schedule")</f>
        <v>0</v>
      </c>
      <c r="K57" s="61">
        <f>J57/J64</f>
        <v>0</v>
      </c>
      <c r="L57" s="404">
        <f>K57+K58</f>
        <v>4.3478260869565216E-2</v>
      </c>
      <c r="M57" s="61">
        <f>J57/J65</f>
        <v>0</v>
      </c>
      <c r="N57" s="419">
        <f>M57+M58</f>
        <v>4.5454545454545456E-2</v>
      </c>
      <c r="P57" s="63" t="s">
        <v>345</v>
      </c>
      <c r="Q57" s="60">
        <f>COUNTIFS('1. All Data'!$AB$3:$AB$111,"Environment and Health &amp; Wellbeing",'1. All Data'!$S$3:$S$111,"Completed Behind Schedule")</f>
        <v>0</v>
      </c>
      <c r="R57" s="61">
        <f>Q57/Q64</f>
        <v>0</v>
      </c>
      <c r="S57" s="404">
        <f>R57+R58</f>
        <v>8.6956521739130432E-2</v>
      </c>
      <c r="T57" s="61">
        <f>Q57/Q65</f>
        <v>0</v>
      </c>
      <c r="U57" s="419">
        <f>T57+T58</f>
        <v>9.5238095238095233E-2</v>
      </c>
      <c r="W57" s="63" t="s">
        <v>339</v>
      </c>
      <c r="X57" s="60">
        <f>COUNTIFS('1. All Data'!$AB$3:$AB$111,"Environment and Health &amp; Wellbeing",'1. All Data'!$W$3:$W$111,"Completed Significantly After Target Deadline")</f>
        <v>0</v>
      </c>
      <c r="Y57" s="338">
        <f>X57/X64</f>
        <v>0</v>
      </c>
      <c r="Z57" s="404">
        <f>SUM(Y57:Y58)</f>
        <v>8.6956521739130432E-2</v>
      </c>
      <c r="AA57" s="338">
        <f>X57/X65</f>
        <v>0</v>
      </c>
      <c r="AB57" s="419">
        <f>AA57+AA58</f>
        <v>8.6956521739130432E-2</v>
      </c>
    </row>
    <row r="58" spans="2:35" ht="22.5" customHeight="1">
      <c r="B58" s="63" t="s">
        <v>338</v>
      </c>
      <c r="C58" s="60">
        <f>COUNTIFS('1. All Data'!$AB$3:$AB$111,"Environment and Health &amp; Wellbeing",'1. All Data'!$I$3:$I$111,"Off Target")</f>
        <v>0</v>
      </c>
      <c r="D58" s="61">
        <f>C58/C64</f>
        <v>0</v>
      </c>
      <c r="E58" s="404"/>
      <c r="F58" s="61">
        <f>C58/C65</f>
        <v>0</v>
      </c>
      <c r="G58" s="419"/>
      <c r="I58" s="63" t="s">
        <v>338</v>
      </c>
      <c r="J58" s="60">
        <f>COUNTIFS('1. All Data'!$AB$3:$AB$111,"Environment and Health &amp; Wellbeing",'1. All Data'!$N$3:$N$111,"Off Target")</f>
        <v>1</v>
      </c>
      <c r="K58" s="61">
        <f>J58/J64</f>
        <v>4.3478260869565216E-2</v>
      </c>
      <c r="L58" s="404"/>
      <c r="M58" s="61">
        <f>J58/J65</f>
        <v>4.5454545454545456E-2</v>
      </c>
      <c r="N58" s="419"/>
      <c r="P58" s="63" t="s">
        <v>338</v>
      </c>
      <c r="Q58" s="60">
        <f>COUNTIFS('1. All Data'!$AB$3:$AB$111,"Environment and Health &amp; Wellbeing",'1. All Data'!$S$3:$S$111,"Off Target")</f>
        <v>2</v>
      </c>
      <c r="R58" s="61">
        <f>Q58/Q64</f>
        <v>8.6956521739130432E-2</v>
      </c>
      <c r="S58" s="404"/>
      <c r="T58" s="61">
        <f>Q58/Q65</f>
        <v>9.5238095238095233E-2</v>
      </c>
      <c r="U58" s="419"/>
      <c r="W58" s="63" t="s">
        <v>338</v>
      </c>
      <c r="X58" s="60">
        <f>COUNTIFS('1. All Data'!$AB$3:$AB$111,"Environment and Health &amp; Wellbeing",'1. All Data'!$W$3:$W$111,"Off Target")</f>
        <v>2</v>
      </c>
      <c r="Y58" s="338">
        <f>X58/X64</f>
        <v>8.6956521739130432E-2</v>
      </c>
      <c r="Z58" s="404"/>
      <c r="AA58" s="338">
        <f>X58/X65</f>
        <v>8.6956521739130432E-2</v>
      </c>
      <c r="AB58" s="419"/>
    </row>
    <row r="59" spans="2:35" s="29" customFormat="1" ht="6.75" customHeight="1">
      <c r="B59" s="20"/>
      <c r="C59" s="33"/>
      <c r="D59" s="31"/>
      <c r="E59" s="31"/>
      <c r="F59" s="31"/>
      <c r="G59" s="34"/>
      <c r="H59" s="28"/>
      <c r="I59" s="20"/>
      <c r="J59" s="33"/>
      <c r="K59" s="31"/>
      <c r="L59" s="31"/>
      <c r="M59" s="31"/>
      <c r="N59" s="34"/>
      <c r="O59" s="28"/>
      <c r="P59" s="20"/>
      <c r="Q59" s="33"/>
      <c r="R59" s="31"/>
      <c r="S59" s="31"/>
      <c r="T59" s="31"/>
      <c r="U59" s="34"/>
      <c r="V59" s="28"/>
      <c r="W59" s="20"/>
      <c r="X59" s="33"/>
      <c r="Y59" s="31"/>
      <c r="Z59" s="31"/>
      <c r="AA59" s="31"/>
      <c r="AB59" s="34"/>
      <c r="AD59" s="23"/>
      <c r="AE59" s="23"/>
      <c r="AF59" s="23"/>
    </row>
    <row r="60" spans="2:35" ht="15.75" customHeight="1">
      <c r="B60" s="64" t="s">
        <v>393</v>
      </c>
      <c r="C60" s="60">
        <f>COUNTIFS('1. All Data'!$AB$3:$AB$111,"Environment and Health &amp; Wellbeing",'1. All Data'!$I$3:$I$111,"Not yet due")</f>
        <v>8</v>
      </c>
      <c r="D60" s="65">
        <f>C60/C64</f>
        <v>0.34782608695652173</v>
      </c>
      <c r="E60" s="65">
        <f>D60</f>
        <v>0.34782608695652173</v>
      </c>
      <c r="F60" s="35"/>
      <c r="G60" s="36"/>
      <c r="I60" s="64" t="s">
        <v>393</v>
      </c>
      <c r="J60" s="60">
        <f>COUNTIFS('1. All Data'!$AB$3:$AB$111,"Environment and Health &amp; Wellbeing",'1. All Data'!$N$3:$N$111,"Not yet due")</f>
        <v>1</v>
      </c>
      <c r="K60" s="65">
        <f>J60/J64</f>
        <v>4.3478260869565216E-2</v>
      </c>
      <c r="L60" s="65">
        <f>K60</f>
        <v>4.3478260869565216E-2</v>
      </c>
      <c r="M60" s="35"/>
      <c r="N60" s="36"/>
      <c r="P60" s="64" t="s">
        <v>393</v>
      </c>
      <c r="Q60" s="60">
        <f>COUNTIFS('1. All Data'!$AB$3:$AB$111,"Environment and Health &amp; Wellbeing",'1. All Data'!$S$3:$S$111,"Not yet due")</f>
        <v>2</v>
      </c>
      <c r="R60" s="65">
        <f>Q60/Q64</f>
        <v>8.6956521739130432E-2</v>
      </c>
      <c r="S60" s="65">
        <f>R60</f>
        <v>8.6956521739130432E-2</v>
      </c>
      <c r="T60" s="35"/>
      <c r="U60" s="36"/>
      <c r="W60" s="64" t="s">
        <v>393</v>
      </c>
      <c r="X60" s="60">
        <f>COUNTIFS('1. All Data'!$AB$3:$AB$111,"Environment and Health &amp; Wellbeing",'1. All Data'!$W$3:$W$111,"Not yet due")</f>
        <v>0</v>
      </c>
      <c r="Y60" s="338">
        <f>X60/X64</f>
        <v>0</v>
      </c>
      <c r="Z60" s="338">
        <f>Y60</f>
        <v>0</v>
      </c>
      <c r="AA60" s="35"/>
      <c r="AB60" s="36"/>
    </row>
    <row r="61" spans="2:35" ht="15.75" customHeight="1">
      <c r="B61" s="64" t="s">
        <v>333</v>
      </c>
      <c r="C61" s="60">
        <f>COUNTIFS('1. All Data'!$AB$3:$AB$111,"Environment and Health &amp; Wellbeing",'1. All Data'!$I$3:$I$111,"update not provided")</f>
        <v>0</v>
      </c>
      <c r="D61" s="65">
        <f>C61/C64</f>
        <v>0</v>
      </c>
      <c r="E61" s="65">
        <f>D61</f>
        <v>0</v>
      </c>
      <c r="F61" s="35"/>
      <c r="G61" s="38"/>
      <c r="I61" s="64" t="s">
        <v>333</v>
      </c>
      <c r="J61" s="60">
        <f>COUNTIFS('1. All Data'!$AB$3:$AB$111,"Environment and Health &amp; Wellbeing",'1. All Data'!$N$3:$N$111,"update not provided")</f>
        <v>0</v>
      </c>
      <c r="K61" s="65">
        <f>J61/J64</f>
        <v>0</v>
      </c>
      <c r="L61" s="65">
        <f>K61</f>
        <v>0</v>
      </c>
      <c r="M61" s="35"/>
      <c r="N61" s="38"/>
      <c r="P61" s="64" t="s">
        <v>333</v>
      </c>
      <c r="Q61" s="60">
        <f>COUNTIFS('1. All Data'!$AB$3:$AB$111,"Environment and Health &amp; Wellbeing",'1. All Data'!$S$3:$S$111,"update not provided")</f>
        <v>0</v>
      </c>
      <c r="R61" s="65">
        <f>Q61/Q64</f>
        <v>0</v>
      </c>
      <c r="S61" s="65">
        <f>R61</f>
        <v>0</v>
      </c>
      <c r="T61" s="35"/>
      <c r="U61" s="38"/>
      <c r="W61" s="64" t="s">
        <v>333</v>
      </c>
      <c r="X61" s="60">
        <f>COUNTIFS('1. All Data'!$AB$3:$AB$111,"Environment and Health &amp; Wellbeing",'1. All Data'!$W$3:$W$111,"update not provided")</f>
        <v>0</v>
      </c>
      <c r="Y61" s="338">
        <f>X61/X64</f>
        <v>0</v>
      </c>
      <c r="Z61" s="388">
        <f t="shared" ref="Z61:Z63" si="3">Y61</f>
        <v>0</v>
      </c>
      <c r="AA61" s="35"/>
      <c r="AB61" s="38"/>
    </row>
    <row r="62" spans="2:35" ht="15.75" customHeight="1">
      <c r="B62" s="66" t="s">
        <v>341</v>
      </c>
      <c r="C62" s="60">
        <f>COUNTIFS('1. All Data'!$AB$3:$AB$111,"Environment and Health &amp; Wellbeing",'1. All Data'!$I$3:$I$111,"Deferred")</f>
        <v>0</v>
      </c>
      <c r="D62" s="67">
        <f>C62/C64</f>
        <v>0</v>
      </c>
      <c r="E62" s="67">
        <f>D62</f>
        <v>0</v>
      </c>
      <c r="F62" s="40"/>
      <c r="G62" s="36"/>
      <c r="I62" s="66" t="s">
        <v>341</v>
      </c>
      <c r="J62" s="60">
        <f>COUNTIFS('1. All Data'!$AB$3:$AB$111,"Environment and Health &amp; Wellbeing",'1. All Data'!$N$3:$N$111,"Deferred")</f>
        <v>0</v>
      </c>
      <c r="K62" s="67">
        <f>J62/J64</f>
        <v>0</v>
      </c>
      <c r="L62" s="67">
        <f>K62</f>
        <v>0</v>
      </c>
      <c r="M62" s="40"/>
      <c r="N62" s="36"/>
      <c r="P62" s="66" t="s">
        <v>341</v>
      </c>
      <c r="Q62" s="60">
        <f>COUNTIFS('1. All Data'!$AB$3:$AB$111,"Environment and Health &amp; Wellbeing",'1. All Data'!$S$3:$S$111,"Deferred")</f>
        <v>0</v>
      </c>
      <c r="R62" s="67">
        <f>Q62/Q64</f>
        <v>0</v>
      </c>
      <c r="S62" s="67">
        <f>R62</f>
        <v>0</v>
      </c>
      <c r="T62" s="40"/>
      <c r="U62" s="36"/>
      <c r="W62" s="66" t="s">
        <v>341</v>
      </c>
      <c r="X62" s="60">
        <f>COUNTIFS('1. All Data'!$AB$3:$AB$111,"Environment and Health &amp; Wellbeing",'1. All Data'!$W$3:$W$111,"Deferred")</f>
        <v>0</v>
      </c>
      <c r="Y62" s="338">
        <f>X62/X64</f>
        <v>0</v>
      </c>
      <c r="Z62" s="388">
        <f t="shared" si="3"/>
        <v>0</v>
      </c>
      <c r="AA62" s="40"/>
      <c r="AB62" s="36"/>
    </row>
    <row r="63" spans="2:35" ht="15.75" customHeight="1">
      <c r="B63" s="66" t="s">
        <v>342</v>
      </c>
      <c r="C63" s="77">
        <f>COUNTIFS('1. All Data'!$AB$3:$AB$111,"Environment and Health &amp; Wellbeing",'1. All Data'!$I$3:$I$111,"Deleted")</f>
        <v>0</v>
      </c>
      <c r="D63" s="67">
        <f>C63/C64</f>
        <v>0</v>
      </c>
      <c r="E63" s="67">
        <f>D63</f>
        <v>0</v>
      </c>
      <c r="F63" s="40"/>
      <c r="G63" s="42" t="s">
        <v>394</v>
      </c>
      <c r="I63" s="66" t="s">
        <v>342</v>
      </c>
      <c r="J63" s="77">
        <f>COUNTIFS('1. All Data'!$AB$3:$AB$111,"Environment and Health &amp; Wellbeing",'1. All Data'!$N$3:$N$111,"Deleted")</f>
        <v>0</v>
      </c>
      <c r="K63" s="67">
        <f>J63/J64</f>
        <v>0</v>
      </c>
      <c r="L63" s="67">
        <f>K63</f>
        <v>0</v>
      </c>
      <c r="M63" s="40"/>
      <c r="N63" s="42" t="s">
        <v>394</v>
      </c>
      <c r="P63" s="66" t="s">
        <v>342</v>
      </c>
      <c r="Q63" s="77">
        <f>COUNTIFS('1. All Data'!$AB$3:$AB$111,"Environment and Health &amp; Wellbeing",'1. All Data'!$S$3:$S$111,"Deleted")</f>
        <v>0</v>
      </c>
      <c r="R63" s="67">
        <f>Q63/Q64</f>
        <v>0</v>
      </c>
      <c r="S63" s="67">
        <f>R63</f>
        <v>0</v>
      </c>
      <c r="T63" s="40"/>
      <c r="U63" s="42" t="s">
        <v>394</v>
      </c>
      <c r="W63" s="66" t="s">
        <v>342</v>
      </c>
      <c r="X63" s="60">
        <f>COUNTIFS('1. All Data'!$AB$3:$AB$111,"Environment and Health &amp; Wellbeing",'1. All Data'!$W$3:$W$111,"Deleted")</f>
        <v>0</v>
      </c>
      <c r="Y63" s="338">
        <f>X63/X64</f>
        <v>0</v>
      </c>
      <c r="Z63" s="388">
        <f t="shared" si="3"/>
        <v>0</v>
      </c>
      <c r="AA63" s="40"/>
      <c r="AI63" s="42" t="s">
        <v>394</v>
      </c>
    </row>
    <row r="64" spans="2:35" ht="15.75" customHeight="1">
      <c r="B64" s="78" t="s">
        <v>395</v>
      </c>
      <c r="C64" s="69">
        <f>SUM(C50:C63)</f>
        <v>23</v>
      </c>
      <c r="D64" s="40"/>
      <c r="E64" s="40"/>
      <c r="F64" s="36"/>
      <c r="G64" s="36"/>
      <c r="I64" s="78" t="s">
        <v>395</v>
      </c>
      <c r="J64" s="69">
        <f>SUM(J50:J63)</f>
        <v>23</v>
      </c>
      <c r="K64" s="40"/>
      <c r="L64" s="40"/>
      <c r="M64" s="36"/>
      <c r="N64" s="36"/>
      <c r="P64" s="78" t="s">
        <v>395</v>
      </c>
      <c r="Q64" s="69">
        <f>SUM(Q50:Q63)</f>
        <v>23</v>
      </c>
      <c r="R64" s="40"/>
      <c r="S64" s="40"/>
      <c r="T64" s="36"/>
      <c r="U64" s="36"/>
      <c r="W64" s="68" t="s">
        <v>395</v>
      </c>
      <c r="X64" s="69">
        <f>SUM(X50:X63)</f>
        <v>23</v>
      </c>
      <c r="Y64" s="40"/>
      <c r="Z64" s="40"/>
      <c r="AA64" s="36"/>
      <c r="AB64" s="36"/>
    </row>
    <row r="65" spans="2:28" ht="15.75" customHeight="1">
      <c r="B65" s="78" t="s">
        <v>396</v>
      </c>
      <c r="C65" s="69">
        <f>C64-C63-C62-C61-C60</f>
        <v>15</v>
      </c>
      <c r="D65" s="36"/>
      <c r="E65" s="36"/>
      <c r="F65" s="36"/>
      <c r="G65" s="36"/>
      <c r="I65" s="78" t="s">
        <v>396</v>
      </c>
      <c r="J65" s="69">
        <f>J64-J63-J62-J61-J60</f>
        <v>22</v>
      </c>
      <c r="K65" s="36"/>
      <c r="L65" s="36"/>
      <c r="M65" s="36"/>
      <c r="N65" s="36"/>
      <c r="P65" s="78" t="s">
        <v>396</v>
      </c>
      <c r="Q65" s="69">
        <f>Q64-Q63-Q62-Q61-Q60</f>
        <v>21</v>
      </c>
      <c r="R65" s="36"/>
      <c r="S65" s="36"/>
      <c r="T65" s="36"/>
      <c r="U65" s="36"/>
      <c r="W65" s="68" t="s">
        <v>396</v>
      </c>
      <c r="X65" s="69">
        <f>X64-X63-X62-X61-X60</f>
        <v>23</v>
      </c>
      <c r="Y65" s="36"/>
      <c r="Z65" s="36"/>
      <c r="AA65" s="36"/>
      <c r="AB65" s="36"/>
    </row>
    <row r="66" spans="2:28" ht="15.75" customHeight="1">
      <c r="X66" s="50"/>
    </row>
    <row r="67" spans="2:28" ht="15.75" customHeight="1">
      <c r="X67" s="50"/>
    </row>
    <row r="68" spans="2:28" ht="15.75" customHeight="1">
      <c r="X68" s="50"/>
    </row>
    <row r="69" spans="2:28" ht="15.75" customHeight="1">
      <c r="B69" s="44" t="s">
        <v>399</v>
      </c>
      <c r="C69" s="45"/>
      <c r="D69" s="45"/>
      <c r="E69" s="45"/>
      <c r="F69" s="16"/>
      <c r="G69" s="46"/>
      <c r="I69" s="44" t="s">
        <v>399</v>
      </c>
      <c r="J69" s="45"/>
      <c r="K69" s="45"/>
      <c r="L69" s="45"/>
      <c r="M69" s="16"/>
      <c r="N69" s="46"/>
      <c r="P69" s="44" t="s">
        <v>399</v>
      </c>
      <c r="Q69" s="45"/>
      <c r="R69" s="45"/>
      <c r="S69" s="45"/>
      <c r="T69" s="16"/>
      <c r="U69" s="46"/>
      <c r="W69" s="44" t="s">
        <v>399</v>
      </c>
      <c r="X69" s="51"/>
      <c r="Y69" s="18"/>
      <c r="Z69" s="18"/>
      <c r="AA69" s="18"/>
      <c r="AB69" s="19"/>
    </row>
    <row r="70" spans="2:28" ht="41.25" customHeight="1">
      <c r="B70" s="73" t="s">
        <v>386</v>
      </c>
      <c r="C70" s="73" t="s">
        <v>387</v>
      </c>
      <c r="D70" s="73" t="s">
        <v>388</v>
      </c>
      <c r="E70" s="73" t="s">
        <v>389</v>
      </c>
      <c r="F70" s="73" t="s">
        <v>390</v>
      </c>
      <c r="G70" s="73" t="s">
        <v>391</v>
      </c>
      <c r="I70" s="73" t="s">
        <v>386</v>
      </c>
      <c r="J70" s="73" t="s">
        <v>387</v>
      </c>
      <c r="K70" s="73" t="s">
        <v>388</v>
      </c>
      <c r="L70" s="73" t="s">
        <v>389</v>
      </c>
      <c r="M70" s="73" t="s">
        <v>390</v>
      </c>
      <c r="N70" s="73" t="s">
        <v>391</v>
      </c>
      <c r="P70" s="73" t="s">
        <v>386</v>
      </c>
      <c r="Q70" s="73" t="s">
        <v>387</v>
      </c>
      <c r="R70" s="73" t="s">
        <v>388</v>
      </c>
      <c r="S70" s="73" t="s">
        <v>389</v>
      </c>
      <c r="T70" s="73" t="s">
        <v>390</v>
      </c>
      <c r="U70" s="73" t="s">
        <v>391</v>
      </c>
      <c r="W70" s="73" t="s">
        <v>386</v>
      </c>
      <c r="X70" s="73" t="s">
        <v>387</v>
      </c>
      <c r="Y70" s="73" t="s">
        <v>388</v>
      </c>
      <c r="Z70" s="73" t="s">
        <v>389</v>
      </c>
      <c r="AA70" s="73" t="s">
        <v>390</v>
      </c>
      <c r="AB70" s="73" t="s">
        <v>391</v>
      </c>
    </row>
    <row r="71" spans="2:28" ht="6.75" customHeight="1">
      <c r="B71" s="20"/>
      <c r="C71" s="21"/>
      <c r="D71" s="21"/>
      <c r="E71" s="21"/>
      <c r="F71" s="21"/>
      <c r="G71" s="21"/>
      <c r="I71" s="20"/>
      <c r="J71" s="21"/>
      <c r="K71" s="21"/>
      <c r="L71" s="21"/>
      <c r="M71" s="21"/>
      <c r="N71" s="21"/>
      <c r="P71" s="20"/>
      <c r="Q71" s="21"/>
      <c r="R71" s="21"/>
      <c r="S71" s="21"/>
      <c r="T71" s="21"/>
      <c r="U71" s="21"/>
      <c r="W71" s="20"/>
      <c r="X71" s="21"/>
      <c r="Y71" s="21"/>
      <c r="Z71" s="21"/>
      <c r="AA71" s="21"/>
      <c r="AB71" s="21"/>
    </row>
    <row r="72" spans="2:28" ht="27.75" customHeight="1">
      <c r="B72" s="59" t="s">
        <v>392</v>
      </c>
      <c r="C72" s="60">
        <f>COUNTIFS('1. All Data'!$AB$3:$AB$111,"Community Regeneration",'1. All Data'!$I$3:$I$111,"Fully Achieved")</f>
        <v>0</v>
      </c>
      <c r="D72" s="61">
        <f>C72/C86</f>
        <v>0</v>
      </c>
      <c r="E72" s="404">
        <f>D72+D73</f>
        <v>0.8</v>
      </c>
      <c r="F72" s="61">
        <f>C72/C87</f>
        <v>0</v>
      </c>
      <c r="G72" s="405">
        <f>F72+F73</f>
        <v>1</v>
      </c>
      <c r="I72" s="59" t="s">
        <v>392</v>
      </c>
      <c r="J72" s="60">
        <f>COUNTIFS('1. All Data'!$AB$3:$AB$111,"Community Regeneration",'1. All Data'!$N$3:$N$111,"Fully Achieved")</f>
        <v>1</v>
      </c>
      <c r="K72" s="61">
        <f>J72/J86</f>
        <v>0.05</v>
      </c>
      <c r="L72" s="404">
        <f>K72+K73</f>
        <v>0.85000000000000009</v>
      </c>
      <c r="M72" s="61">
        <f>J72/J87</f>
        <v>5.8823529411764705E-2</v>
      </c>
      <c r="N72" s="405">
        <f>M72+M73</f>
        <v>1</v>
      </c>
      <c r="P72" s="59" t="s">
        <v>392</v>
      </c>
      <c r="Q72" s="60">
        <f>COUNTIFS('1. All Data'!$AB$3:$AB$111,"Community Regeneration",'1. All Data'!$S$3:$S$111,"Fully Achieved")</f>
        <v>6</v>
      </c>
      <c r="R72" s="61">
        <f>Q72/Q86</f>
        <v>0.3</v>
      </c>
      <c r="S72" s="404">
        <f>R72+R73</f>
        <v>0.8</v>
      </c>
      <c r="T72" s="61">
        <f>Q72/Q87</f>
        <v>0.35294117647058826</v>
      </c>
      <c r="U72" s="405">
        <f>T72+T73</f>
        <v>0.94117647058823528</v>
      </c>
      <c r="W72" s="59" t="s">
        <v>392</v>
      </c>
      <c r="X72" s="60">
        <f>COUNTIFS('1. All Data'!$AB$3:$AB$111,"Community Regeneration",'1. All Data'!$W$3:$W$111,"Fully Achieved")</f>
        <v>15</v>
      </c>
      <c r="Y72" s="338">
        <f>X72/X86</f>
        <v>0.75</v>
      </c>
      <c r="Z72" s="404">
        <f>Y72+Y73</f>
        <v>0.9</v>
      </c>
      <c r="AA72" s="338">
        <f>X72/X87</f>
        <v>0.83333333333333337</v>
      </c>
      <c r="AB72" s="405">
        <f>AA72+AA73</f>
        <v>1</v>
      </c>
    </row>
    <row r="73" spans="2:28" ht="27.75" customHeight="1">
      <c r="B73" s="59" t="s">
        <v>343</v>
      </c>
      <c r="C73" s="60">
        <f>COUNTIFS('1. All Data'!$AB$3:$AB$111,"Community Regeneration",'1. All Data'!$I$3:$I$111,"On Track to be achieved")</f>
        <v>16</v>
      </c>
      <c r="D73" s="61">
        <f>C73/C86</f>
        <v>0.8</v>
      </c>
      <c r="E73" s="404"/>
      <c r="F73" s="61">
        <f>C73/C87</f>
        <v>1</v>
      </c>
      <c r="G73" s="405"/>
      <c r="I73" s="59" t="s">
        <v>343</v>
      </c>
      <c r="J73" s="60">
        <f>COUNTIFS('1. All Data'!$AB$3:$AB$111,"Community Regeneration",'1. All Data'!$N$3:$N$111,"On Track to be achieved")</f>
        <v>16</v>
      </c>
      <c r="K73" s="61">
        <f>J73/J86</f>
        <v>0.8</v>
      </c>
      <c r="L73" s="404"/>
      <c r="M73" s="61">
        <f>J73/J87</f>
        <v>0.94117647058823528</v>
      </c>
      <c r="N73" s="405"/>
      <c r="P73" s="59" t="s">
        <v>343</v>
      </c>
      <c r="Q73" s="60">
        <f>COUNTIFS('1. All Data'!$AB$3:$AB$111,"Community Regeneration",'1. All Data'!$S$3:$S$111,"On Track to be achieved")</f>
        <v>10</v>
      </c>
      <c r="R73" s="61">
        <f>Q73/Q86</f>
        <v>0.5</v>
      </c>
      <c r="S73" s="404"/>
      <c r="T73" s="61">
        <f>Q73/Q87</f>
        <v>0.58823529411764708</v>
      </c>
      <c r="U73" s="405"/>
      <c r="W73" s="59" t="s">
        <v>335</v>
      </c>
      <c r="X73" s="60">
        <f>COUNTIFS('1. All Data'!$AB$3:$AB$111,"Community Regeneration",'1. All Data'!$W$3:$W$111,"Numerical Outturn Within 5% Tolerance")</f>
        <v>3</v>
      </c>
      <c r="Y73" s="338">
        <f>X73/X86</f>
        <v>0.15</v>
      </c>
      <c r="Z73" s="404"/>
      <c r="AA73" s="338">
        <f>X73/X87</f>
        <v>0.16666666666666666</v>
      </c>
      <c r="AB73" s="405"/>
    </row>
    <row r="74" spans="2:28" ht="7.5" customHeight="1">
      <c r="B74" s="24"/>
      <c r="C74" s="25"/>
      <c r="D74" s="26"/>
      <c r="E74" s="26"/>
      <c r="F74" s="26"/>
      <c r="G74" s="27"/>
      <c r="I74" s="24"/>
      <c r="J74" s="25"/>
      <c r="K74" s="26"/>
      <c r="L74" s="26"/>
      <c r="M74" s="26"/>
      <c r="N74" s="27"/>
      <c r="P74" s="24"/>
      <c r="Q74" s="25"/>
      <c r="R74" s="26"/>
      <c r="S74" s="26"/>
      <c r="T74" s="26"/>
      <c r="U74" s="27"/>
      <c r="W74" s="24"/>
      <c r="X74" s="25"/>
      <c r="Y74" s="26"/>
      <c r="Z74" s="26"/>
      <c r="AA74" s="26"/>
      <c r="AB74" s="27"/>
    </row>
    <row r="75" spans="2:28" ht="18.75" customHeight="1">
      <c r="B75" s="406" t="s">
        <v>344</v>
      </c>
      <c r="C75" s="409">
        <f>COUNTIFS('1. All Data'!$AB$3:$AB$111,"Community Regeneration",'1. All Data'!$I$3:$I$111,"In Danger of Falling Behind Target")</f>
        <v>0</v>
      </c>
      <c r="D75" s="412">
        <f>C75/C86</f>
        <v>0</v>
      </c>
      <c r="E75" s="412">
        <f>D75</f>
        <v>0</v>
      </c>
      <c r="F75" s="412">
        <f>C75/C87</f>
        <v>0</v>
      </c>
      <c r="G75" s="415">
        <f>F75</f>
        <v>0</v>
      </c>
      <c r="I75" s="406" t="s">
        <v>344</v>
      </c>
      <c r="J75" s="409">
        <f>COUNTIFS('1. All Data'!$AB$3:$AB$111,"Community Regeneration",'1. All Data'!$N$3:$N$111,"In Danger of Falling Behind Target")</f>
        <v>0</v>
      </c>
      <c r="K75" s="412">
        <f>J75/J86</f>
        <v>0</v>
      </c>
      <c r="L75" s="412">
        <f>K75</f>
        <v>0</v>
      </c>
      <c r="M75" s="412">
        <f>J75/J87</f>
        <v>0</v>
      </c>
      <c r="N75" s="415">
        <f>M75</f>
        <v>0</v>
      </c>
      <c r="P75" s="406" t="s">
        <v>344</v>
      </c>
      <c r="Q75" s="409">
        <f>COUNTIFS('1. All Data'!$AB$3:$AB$111,"Community Regeneration",'1. All Data'!$S$3:$S$111,"In Danger of Falling Behind Target")</f>
        <v>1</v>
      </c>
      <c r="R75" s="412">
        <f>Q75/Q86</f>
        <v>0.05</v>
      </c>
      <c r="S75" s="412">
        <f>R75</f>
        <v>0.05</v>
      </c>
      <c r="T75" s="412">
        <f>Q75/Q87</f>
        <v>5.8823529411764705E-2</v>
      </c>
      <c r="U75" s="415">
        <f>T75</f>
        <v>5.8823529411764705E-2</v>
      </c>
      <c r="W75" s="80" t="s">
        <v>336</v>
      </c>
      <c r="X75" s="81">
        <f>COUNTIFS('1. All Data'!$AB$3:$AB$111,"Community Regeneration",'1. All Data'!$W$3:$W$111,"Numerical Outturn Within 10% Tolerance")</f>
        <v>0</v>
      </c>
      <c r="Y75" s="338">
        <f>X75/$X$42</f>
        <v>0</v>
      </c>
      <c r="Z75" s="404">
        <f>SUM(Y75:Y77)</f>
        <v>0</v>
      </c>
      <c r="AA75" s="338">
        <f>X75/X87</f>
        <v>0</v>
      </c>
      <c r="AB75" s="418">
        <f>SUM(AA75:AA77)</f>
        <v>0</v>
      </c>
    </row>
    <row r="76" spans="2:28" ht="18.75" customHeight="1">
      <c r="B76" s="407"/>
      <c r="C76" s="410"/>
      <c r="D76" s="413"/>
      <c r="E76" s="413"/>
      <c r="F76" s="413"/>
      <c r="G76" s="416"/>
      <c r="I76" s="407"/>
      <c r="J76" s="410"/>
      <c r="K76" s="413"/>
      <c r="L76" s="413"/>
      <c r="M76" s="413"/>
      <c r="N76" s="416"/>
      <c r="P76" s="407"/>
      <c r="Q76" s="410"/>
      <c r="R76" s="413"/>
      <c r="S76" s="413"/>
      <c r="T76" s="413"/>
      <c r="U76" s="416"/>
      <c r="W76" s="80" t="s">
        <v>337</v>
      </c>
      <c r="X76" s="81">
        <f>COUNTIFS('1. All Data'!$AB$3:$AB$111,"Community Regeneration",'1. All Data'!$W$3:$W$111,"Target Partially Met")</f>
        <v>0</v>
      </c>
      <c r="Y76" s="338">
        <f>X76/$X$42</f>
        <v>0</v>
      </c>
      <c r="Z76" s="404"/>
      <c r="AA76" s="338">
        <f>X76/X87</f>
        <v>0</v>
      </c>
      <c r="AB76" s="418"/>
    </row>
    <row r="77" spans="2:28" ht="18.75" customHeight="1">
      <c r="B77" s="408"/>
      <c r="C77" s="411"/>
      <c r="D77" s="414"/>
      <c r="E77" s="414"/>
      <c r="F77" s="414"/>
      <c r="G77" s="417"/>
      <c r="I77" s="408"/>
      <c r="J77" s="411"/>
      <c r="K77" s="414"/>
      <c r="L77" s="414"/>
      <c r="M77" s="414"/>
      <c r="N77" s="417"/>
      <c r="P77" s="408"/>
      <c r="Q77" s="411"/>
      <c r="R77" s="414"/>
      <c r="S77" s="414"/>
      <c r="T77" s="414"/>
      <c r="U77" s="417"/>
      <c r="W77" s="80" t="s">
        <v>340</v>
      </c>
      <c r="X77" s="81">
        <f>COUNTIFS('1. All Data'!$AB$3:$AB$111,"Community Regeneration",'1. All Data'!$W$3:$W$111,"Completion Date Within Reasonable Tolerance")</f>
        <v>0</v>
      </c>
      <c r="Y77" s="338">
        <f>X77/$X$42</f>
        <v>0</v>
      </c>
      <c r="Z77" s="404"/>
      <c r="AA77" s="338">
        <f>X77/X87</f>
        <v>0</v>
      </c>
      <c r="AB77" s="418"/>
    </row>
    <row r="78" spans="2:28" ht="6" customHeight="1">
      <c r="B78" s="20"/>
      <c r="C78" s="21"/>
      <c r="D78" s="31"/>
      <c r="E78" s="31"/>
      <c r="F78" s="31"/>
      <c r="G78" s="32"/>
      <c r="I78" s="20"/>
      <c r="J78" s="21"/>
      <c r="K78" s="31"/>
      <c r="L78" s="31"/>
      <c r="M78" s="31"/>
      <c r="N78" s="32"/>
      <c r="P78" s="20"/>
      <c r="Q78" s="21"/>
      <c r="R78" s="31"/>
      <c r="S78" s="31"/>
      <c r="T78" s="31"/>
      <c r="U78" s="32"/>
      <c r="W78" s="20"/>
      <c r="X78" s="21"/>
      <c r="Y78" s="31"/>
      <c r="Z78" s="31"/>
      <c r="AA78" s="31"/>
      <c r="AB78" s="32"/>
    </row>
    <row r="79" spans="2:28" ht="30" customHeight="1">
      <c r="B79" s="63" t="s">
        <v>345</v>
      </c>
      <c r="C79" s="60">
        <f>COUNTIFS('1. All Data'!$AB$3:$AB$111,"Community Regeneration",'1. All Data'!$I$3:$I$111,"Completed Behind Schedule")</f>
        <v>0</v>
      </c>
      <c r="D79" s="61">
        <f>C79/C86</f>
        <v>0</v>
      </c>
      <c r="E79" s="404">
        <f>D79+D80</f>
        <v>0</v>
      </c>
      <c r="F79" s="61">
        <f>C79/C87</f>
        <v>0</v>
      </c>
      <c r="G79" s="419">
        <f>F79+F80</f>
        <v>0</v>
      </c>
      <c r="I79" s="63" t="s">
        <v>345</v>
      </c>
      <c r="J79" s="60">
        <f>COUNTIFS('1. All Data'!$AB$3:$AB$111,"Community Regeneration",'1. All Data'!$N$3:$N$111,"Completed Behind Schedule")</f>
        <v>0</v>
      </c>
      <c r="K79" s="61">
        <f>J79/J86</f>
        <v>0</v>
      </c>
      <c r="L79" s="404">
        <f>K79+K80</f>
        <v>0</v>
      </c>
      <c r="M79" s="61">
        <f>J79/J87</f>
        <v>0</v>
      </c>
      <c r="N79" s="419">
        <f>M79+M80</f>
        <v>0</v>
      </c>
      <c r="P79" s="63" t="s">
        <v>345</v>
      </c>
      <c r="Q79" s="60">
        <f>COUNTIFS('1. All Data'!$AB$3:$AB$111,"Community Regeneration",'1. All Data'!$S$3:$S$111,"Completed Behind Schedule")</f>
        <v>0</v>
      </c>
      <c r="R79" s="61">
        <f>Q79/Q86</f>
        <v>0</v>
      </c>
      <c r="S79" s="404">
        <f>R79+R80</f>
        <v>0</v>
      </c>
      <c r="T79" s="61">
        <f>Q79/Q87</f>
        <v>0</v>
      </c>
      <c r="U79" s="419">
        <f>T79+T80</f>
        <v>0</v>
      </c>
      <c r="W79" s="63" t="s">
        <v>339</v>
      </c>
      <c r="X79" s="60">
        <f>COUNTIFS('1. All Data'!$AB$3:$AB$111,"Community Regeneration",'1. All Data'!$W$3:$W$111,"Completed Significantly After Target Deadline")</f>
        <v>0</v>
      </c>
      <c r="Y79" s="338">
        <f>X79/$X$42</f>
        <v>0</v>
      </c>
      <c r="Z79" s="404">
        <f>SUM(Y79:Y80)</f>
        <v>0</v>
      </c>
      <c r="AA79" s="338">
        <f>X79/X87</f>
        <v>0</v>
      </c>
      <c r="AB79" s="419">
        <f>AA79+AA80</f>
        <v>0</v>
      </c>
    </row>
    <row r="80" spans="2:28" ht="30" customHeight="1">
      <c r="B80" s="63" t="s">
        <v>338</v>
      </c>
      <c r="C80" s="60">
        <f>COUNTIFS('1. All Data'!$AB$3:$AB$111,"Community Regeneration",'1. All Data'!$I$3:$I$111,"Off Target")</f>
        <v>0</v>
      </c>
      <c r="D80" s="61">
        <f>C80/C86</f>
        <v>0</v>
      </c>
      <c r="E80" s="404"/>
      <c r="F80" s="61">
        <f>C80/C87</f>
        <v>0</v>
      </c>
      <c r="G80" s="419"/>
      <c r="I80" s="63" t="s">
        <v>338</v>
      </c>
      <c r="J80" s="60">
        <f>COUNTIFS('1. All Data'!$AB$3:$AB$111,"Community Regeneration",'1. All Data'!$N$3:$N$111,"Off Target")</f>
        <v>0</v>
      </c>
      <c r="K80" s="61">
        <f>J80/J86</f>
        <v>0</v>
      </c>
      <c r="L80" s="404"/>
      <c r="M80" s="61">
        <f>J80/J87</f>
        <v>0</v>
      </c>
      <c r="N80" s="419"/>
      <c r="P80" s="63" t="s">
        <v>338</v>
      </c>
      <c r="Q80" s="60">
        <f>COUNTIFS('1. All Data'!$AB$3:$AB$111,"Community Regeneration",'1. All Data'!$S$3:$S$111,"Off Target")</f>
        <v>0</v>
      </c>
      <c r="R80" s="61">
        <f>Q80/Q86</f>
        <v>0</v>
      </c>
      <c r="S80" s="404"/>
      <c r="T80" s="61">
        <f>Q80/Q87</f>
        <v>0</v>
      </c>
      <c r="U80" s="419"/>
      <c r="W80" s="63" t="s">
        <v>338</v>
      </c>
      <c r="X80" s="60">
        <f>COUNTIFS('1. All Data'!$AB$3:$AB$111,"Community Regeneration",'1. All Data'!$W$3:$W$111,"Off Target")</f>
        <v>0</v>
      </c>
      <c r="Y80" s="338">
        <f>X80/$X$42</f>
        <v>0</v>
      </c>
      <c r="Z80" s="404"/>
      <c r="AA80" s="338">
        <f>X80/X87</f>
        <v>0</v>
      </c>
      <c r="AB80" s="419"/>
    </row>
    <row r="81" spans="2:35" ht="5.25" customHeight="1">
      <c r="B81" s="20"/>
      <c r="C81" s="33"/>
      <c r="D81" s="31"/>
      <c r="E81" s="31"/>
      <c r="F81" s="31"/>
      <c r="G81" s="34"/>
      <c r="I81" s="20"/>
      <c r="J81" s="33"/>
      <c r="K81" s="31"/>
      <c r="L81" s="31"/>
      <c r="M81" s="31"/>
      <c r="N81" s="34"/>
      <c r="P81" s="20"/>
      <c r="Q81" s="33"/>
      <c r="R81" s="31"/>
      <c r="S81" s="31"/>
      <c r="T81" s="31"/>
      <c r="U81" s="34"/>
      <c r="W81" s="20"/>
      <c r="X81" s="33"/>
      <c r="Y81" s="31"/>
      <c r="Z81" s="31"/>
      <c r="AA81" s="31"/>
      <c r="AB81" s="34"/>
    </row>
    <row r="82" spans="2:35" ht="15.75" customHeight="1">
      <c r="B82" s="64" t="s">
        <v>393</v>
      </c>
      <c r="C82" s="60">
        <f>COUNTIFS('1. All Data'!$AB$3:$AB$111,"Community Regeneration",'1. All Data'!$I$3:$I$111,"Not yet due")</f>
        <v>4</v>
      </c>
      <c r="D82" s="65">
        <f>C82/C86</f>
        <v>0.2</v>
      </c>
      <c r="E82" s="65">
        <f>D82</f>
        <v>0.2</v>
      </c>
      <c r="F82" s="35"/>
      <c r="G82" s="36"/>
      <c r="I82" s="64" t="s">
        <v>393</v>
      </c>
      <c r="J82" s="60">
        <f>COUNTIFS('1. All Data'!$AB$3:$AB$111,"Community Regeneration",'1. All Data'!$N$3:$N$111,"Not yet due")</f>
        <v>3</v>
      </c>
      <c r="K82" s="65">
        <f>J82/J86</f>
        <v>0.15</v>
      </c>
      <c r="L82" s="65">
        <f>K82</f>
        <v>0.15</v>
      </c>
      <c r="M82" s="35"/>
      <c r="N82" s="36"/>
      <c r="P82" s="64" t="s">
        <v>393</v>
      </c>
      <c r="Q82" s="60">
        <f>COUNTIFS('1. All Data'!$AB$3:$AB$111,"Community Regeneration",'1. All Data'!$S$3:$S$111,"Not yet due")</f>
        <v>1</v>
      </c>
      <c r="R82" s="65">
        <f>Q82/Q86</f>
        <v>0.05</v>
      </c>
      <c r="S82" s="65">
        <f>R82</f>
        <v>0.05</v>
      </c>
      <c r="T82" s="35"/>
      <c r="U82" s="36"/>
      <c r="W82" s="64" t="s">
        <v>393</v>
      </c>
      <c r="X82" s="60">
        <f>COUNTIFS('1. All Data'!$AB$3:$AB$111,"Community Regeneration",'1. All Data'!$W$3:$W$111,"Not yet due")</f>
        <v>0</v>
      </c>
      <c r="Y82" s="338">
        <f t="shared" ref="Y82:Y85" si="4">X82/$X$42</f>
        <v>0</v>
      </c>
      <c r="Z82" s="338">
        <f>Y82</f>
        <v>0</v>
      </c>
      <c r="AA82" s="35"/>
      <c r="AB82" s="36"/>
    </row>
    <row r="83" spans="2:35" ht="15.75" customHeight="1">
      <c r="B83" s="64" t="s">
        <v>333</v>
      </c>
      <c r="C83" s="60">
        <f>COUNTIFS('1. All Data'!$AB$3:$AB$111,"Community Regeneration",'1. All Data'!$I$3:$I$111,"update not provided")</f>
        <v>0</v>
      </c>
      <c r="D83" s="65">
        <f>C83/C86</f>
        <v>0</v>
      </c>
      <c r="E83" s="65">
        <f>D83</f>
        <v>0</v>
      </c>
      <c r="F83" s="35"/>
      <c r="G83" s="38"/>
      <c r="I83" s="64" t="s">
        <v>333</v>
      </c>
      <c r="J83" s="60">
        <f>COUNTIFS('1. All Data'!$AB$3:$AB$111,"Community Regeneration",'1. All Data'!$N$3:$N$111,"update not provided")</f>
        <v>0</v>
      </c>
      <c r="K83" s="65">
        <f>J83/J86</f>
        <v>0</v>
      </c>
      <c r="L83" s="65">
        <f>K83</f>
        <v>0</v>
      </c>
      <c r="M83" s="35"/>
      <c r="N83" s="38"/>
      <c r="P83" s="64" t="s">
        <v>333</v>
      </c>
      <c r="Q83" s="60">
        <f>COUNTIFS('1. All Data'!$AB$3:$AB$111,"Community Regeneration",'1. All Data'!$S$3:$S$111,"update not provided")</f>
        <v>0</v>
      </c>
      <c r="R83" s="65">
        <f>Q83/Q86</f>
        <v>0</v>
      </c>
      <c r="S83" s="65">
        <f>R83</f>
        <v>0</v>
      </c>
      <c r="T83" s="35"/>
      <c r="U83" s="38"/>
      <c r="W83" s="64" t="s">
        <v>333</v>
      </c>
      <c r="X83" s="60">
        <f>COUNTIFS('1. All Data'!$AB$3:$AB$111,"Community Regeneration",'1. All Data'!$W$3:$W$111,"update not provided")</f>
        <v>0</v>
      </c>
      <c r="Y83" s="338">
        <f t="shared" si="4"/>
        <v>0</v>
      </c>
      <c r="Z83" s="338">
        <f>Y83</f>
        <v>0</v>
      </c>
      <c r="AA83" s="35"/>
      <c r="AB83" s="38"/>
    </row>
    <row r="84" spans="2:35" ht="15.75" customHeight="1">
      <c r="B84" s="66" t="s">
        <v>341</v>
      </c>
      <c r="C84" s="60">
        <f>COUNTIFS('1. All Data'!$AB$3:$AB$111,"Community Regeneration",'1. All Data'!$I$3:$I$111,"Deferred")</f>
        <v>0</v>
      </c>
      <c r="D84" s="67">
        <f>C84/C86</f>
        <v>0</v>
      </c>
      <c r="E84" s="67">
        <f>D84</f>
        <v>0</v>
      </c>
      <c r="F84" s="40"/>
      <c r="G84" s="36"/>
      <c r="I84" s="66" t="s">
        <v>341</v>
      </c>
      <c r="J84" s="60">
        <f>COUNTIFS('1. All Data'!$AB$3:$AB$111,"Community Regeneration",'1. All Data'!$N$3:$N$111,"Deferred")</f>
        <v>0</v>
      </c>
      <c r="K84" s="67">
        <f>J84/J86</f>
        <v>0</v>
      </c>
      <c r="L84" s="67">
        <f>K84</f>
        <v>0</v>
      </c>
      <c r="M84" s="40"/>
      <c r="N84" s="36"/>
      <c r="P84" s="66" t="s">
        <v>341</v>
      </c>
      <c r="Q84" s="60">
        <f>COUNTIFS('1. All Data'!$AB$3:$AB$111,"Community Regeneration",'1. All Data'!$S$3:$S$111,"Deferred")</f>
        <v>1</v>
      </c>
      <c r="R84" s="67">
        <f>Q84/Q86</f>
        <v>0.05</v>
      </c>
      <c r="S84" s="67">
        <f>R84</f>
        <v>0.05</v>
      </c>
      <c r="T84" s="40"/>
      <c r="U84" s="36"/>
      <c r="W84" s="66" t="s">
        <v>341</v>
      </c>
      <c r="X84" s="60">
        <f>COUNTIFS('1. All Data'!$AB$3:$AB$111,"Community Regeneration",'1. All Data'!$W$3:$W$111,"Deferred")</f>
        <v>1</v>
      </c>
      <c r="Y84" s="338">
        <f t="shared" si="4"/>
        <v>1.5151515151515152E-2</v>
      </c>
      <c r="Z84" s="388">
        <f t="shared" ref="Z84:Z85" si="5">Y84</f>
        <v>1.5151515151515152E-2</v>
      </c>
      <c r="AA84" s="40"/>
      <c r="AB84" s="36"/>
    </row>
    <row r="85" spans="2:35" ht="15.75" customHeight="1">
      <c r="B85" s="66" t="s">
        <v>342</v>
      </c>
      <c r="C85" s="60">
        <f>COUNTIFS('1. All Data'!$AB$3:$AB$111,"Community Regeneration",'1. All Data'!$I$3:$I$111,"Deleted")</f>
        <v>0</v>
      </c>
      <c r="D85" s="67">
        <f>C85/C86</f>
        <v>0</v>
      </c>
      <c r="E85" s="67">
        <f>D85</f>
        <v>0</v>
      </c>
      <c r="F85" s="40"/>
      <c r="G85" s="42" t="s">
        <v>394</v>
      </c>
      <c r="I85" s="66" t="s">
        <v>342</v>
      </c>
      <c r="J85" s="60">
        <f>COUNTIFS('1. All Data'!$AB$3:$AB$111,"Community Regeneration",'1. All Data'!$N$3:$N$111,"Deleted")</f>
        <v>0</v>
      </c>
      <c r="K85" s="67">
        <f>J85/J86</f>
        <v>0</v>
      </c>
      <c r="L85" s="67">
        <f>K85</f>
        <v>0</v>
      </c>
      <c r="M85" s="40"/>
      <c r="N85" s="42" t="s">
        <v>394</v>
      </c>
      <c r="P85" s="66" t="s">
        <v>342</v>
      </c>
      <c r="Q85" s="60">
        <f>COUNTIFS('1. All Data'!$AB$3:$AB$111,"Community Regeneration",'1. All Data'!$S$3:$S$111,"Deleted")</f>
        <v>1</v>
      </c>
      <c r="R85" s="67">
        <f>Q85/Q86</f>
        <v>0.05</v>
      </c>
      <c r="S85" s="67">
        <f>R85</f>
        <v>0.05</v>
      </c>
      <c r="T85" s="40"/>
      <c r="U85" s="42" t="s">
        <v>394</v>
      </c>
      <c r="W85" s="66" t="s">
        <v>342</v>
      </c>
      <c r="X85" s="60">
        <f>COUNTIFS('1. All Data'!$AB$3:$AB$111,"Community Regeneration",'1. All Data'!$W$3:$W$111,"Deleted")</f>
        <v>1</v>
      </c>
      <c r="Y85" s="338">
        <f t="shared" si="4"/>
        <v>1.5151515151515152E-2</v>
      </c>
      <c r="Z85" s="388">
        <f t="shared" si="5"/>
        <v>1.5151515151515152E-2</v>
      </c>
      <c r="AA85" s="40"/>
      <c r="AI85" s="42" t="s">
        <v>394</v>
      </c>
    </row>
    <row r="86" spans="2:35" ht="15.75" customHeight="1">
      <c r="B86" s="78" t="s">
        <v>395</v>
      </c>
      <c r="C86" s="69">
        <f>SUM(C72:C85)</f>
        <v>20</v>
      </c>
      <c r="D86" s="40"/>
      <c r="E86" s="40"/>
      <c r="F86" s="36"/>
      <c r="G86" s="36"/>
      <c r="I86" s="78" t="s">
        <v>395</v>
      </c>
      <c r="J86" s="69">
        <f>SUM(J72:J85)</f>
        <v>20</v>
      </c>
      <c r="K86" s="40"/>
      <c r="L86" s="40"/>
      <c r="M86" s="36"/>
      <c r="N86" s="36"/>
      <c r="P86" s="78" t="s">
        <v>395</v>
      </c>
      <c r="Q86" s="69">
        <f>SUM(Q72:Q85)</f>
        <v>20</v>
      </c>
      <c r="R86" s="40"/>
      <c r="S86" s="40"/>
      <c r="T86" s="36"/>
      <c r="U86" s="36"/>
      <c r="W86" s="68" t="s">
        <v>395</v>
      </c>
      <c r="X86" s="69">
        <f>SUM(X72:X85)</f>
        <v>20</v>
      </c>
      <c r="Y86" s="40"/>
      <c r="Z86" s="40"/>
      <c r="AA86" s="36"/>
      <c r="AB86" s="36"/>
    </row>
    <row r="87" spans="2:35" ht="15.75" customHeight="1">
      <c r="B87" s="78" t="s">
        <v>396</v>
      </c>
      <c r="C87" s="69">
        <f>C86-C85-C84-C83-C82</f>
        <v>16</v>
      </c>
      <c r="D87" s="36"/>
      <c r="E87" s="36"/>
      <c r="F87" s="36"/>
      <c r="G87" s="36"/>
      <c r="I87" s="78" t="s">
        <v>396</v>
      </c>
      <c r="J87" s="69">
        <f>J86-J85-J84-J83-J82</f>
        <v>17</v>
      </c>
      <c r="K87" s="36"/>
      <c r="L87" s="36"/>
      <c r="M87" s="36"/>
      <c r="N87" s="36"/>
      <c r="P87" s="78" t="s">
        <v>396</v>
      </c>
      <c r="Q87" s="69">
        <f>Q86-Q85-Q84-Q83-Q82</f>
        <v>17</v>
      </c>
      <c r="R87" s="36"/>
      <c r="S87" s="36"/>
      <c r="T87" s="36"/>
      <c r="U87" s="36"/>
      <c r="W87" s="68" t="s">
        <v>396</v>
      </c>
      <c r="X87" s="69">
        <f>X86-X85-X84-X83-X82</f>
        <v>18</v>
      </c>
      <c r="Y87" s="36"/>
      <c r="Z87" s="36"/>
      <c r="AA87" s="36"/>
      <c r="AB87" s="36"/>
    </row>
    <row r="88" spans="2:35" ht="15.75" customHeight="1">
      <c r="AB88" s="41"/>
    </row>
    <row r="89" spans="2:35" ht="15.75" customHeight="1">
      <c r="AB89" s="41"/>
    </row>
  </sheetData>
  <mergeCells count="150">
    <mergeCell ref="AD13:AD14"/>
    <mergeCell ref="AF13:AF14"/>
    <mergeCell ref="AF6:AF7"/>
    <mergeCell ref="AD6:AD7"/>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K9:K11"/>
    <mergeCell ref="L9:L11"/>
    <mergeCell ref="M9:M11"/>
    <mergeCell ref="N9:N11"/>
    <mergeCell ref="P9:P11"/>
    <mergeCell ref="Q9:Q11"/>
    <mergeCell ref="B31:B33"/>
    <mergeCell ref="C31:C33"/>
    <mergeCell ref="D31:D33"/>
    <mergeCell ref="E31:E33"/>
    <mergeCell ref="F31:F33"/>
    <mergeCell ref="G31:G33"/>
    <mergeCell ref="AH13:AH14"/>
    <mergeCell ref="AH6:AH7"/>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I41" location="INDEX!A1" display="Back to index"/>
    <hyperlink ref="AI63" location="INDEX!A1" display="Back to index"/>
    <hyperlink ref="AI85" location="INDEX!A1" display="Back to inde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A2" workbookViewId="0"/>
  </sheetViews>
  <sheetFormatPr defaultColWidth="9.140625" defaultRowHeight="15"/>
  <cols>
    <col min="1" max="1" width="3.42578125" style="86" customWidth="1"/>
    <col min="2" max="9" width="9.140625" style="86"/>
    <col min="10" max="10" width="3.42578125" style="86" customWidth="1"/>
    <col min="11" max="11" width="9.140625" style="87"/>
    <col min="12" max="18" width="9.140625" style="86"/>
    <col min="19" max="19" width="3.42578125" style="86" customWidth="1"/>
    <col min="20" max="27" width="9.140625" style="86" customWidth="1"/>
    <col min="28" max="28" width="3.42578125" style="86" customWidth="1"/>
    <col min="29" max="36" width="9.140625" style="86" customWidth="1"/>
    <col min="37" max="37" width="3.42578125" style="86" customWidth="1"/>
    <col min="38" max="47" width="9.140625" style="86" customWidth="1"/>
    <col min="48" max="50" width="0" style="86" hidden="1" customWidth="1"/>
    <col min="51" max="51" width="9.140625" style="86"/>
    <col min="52" max="55" width="10" style="89" customWidth="1"/>
    <col min="56" max="16384" width="9.140625" style="86"/>
  </cols>
  <sheetData>
    <row r="1" spans="2:56" s="83" customFormat="1" ht="36" thickTop="1">
      <c r="B1" s="82" t="s">
        <v>404</v>
      </c>
      <c r="M1" s="422" t="s">
        <v>405</v>
      </c>
      <c r="N1" s="423"/>
      <c r="O1" s="423"/>
      <c r="P1" s="423"/>
      <c r="Q1" s="423"/>
      <c r="R1" s="423"/>
      <c r="S1" s="423"/>
      <c r="T1" s="423"/>
      <c r="U1" s="423"/>
      <c r="V1" s="423"/>
      <c r="W1" s="423"/>
      <c r="X1" s="423"/>
      <c r="Y1" s="423"/>
      <c r="Z1" s="424"/>
      <c r="AZ1" s="84"/>
      <c r="BA1" s="84"/>
      <c r="BB1" s="84"/>
      <c r="BC1" s="84"/>
    </row>
    <row r="2" spans="2:56" s="83" customFormat="1" ht="35.25">
      <c r="B2" s="85" t="s">
        <v>394</v>
      </c>
      <c r="M2" s="425"/>
      <c r="N2" s="426"/>
      <c r="O2" s="426"/>
      <c r="P2" s="426"/>
      <c r="Q2" s="426"/>
      <c r="R2" s="426"/>
      <c r="S2" s="426"/>
      <c r="T2" s="426"/>
      <c r="U2" s="426"/>
      <c r="V2" s="426"/>
      <c r="W2" s="426"/>
      <c r="X2" s="426"/>
      <c r="Y2" s="426"/>
      <c r="Z2" s="427"/>
      <c r="AZ2" s="84"/>
      <c r="BA2" s="84"/>
      <c r="BB2" s="84"/>
      <c r="BC2" s="84"/>
    </row>
    <row r="3" spans="2:56" s="83" customFormat="1" ht="36" thickBot="1">
      <c r="M3" s="428"/>
      <c r="N3" s="429"/>
      <c r="O3" s="429"/>
      <c r="P3" s="429"/>
      <c r="Q3" s="429"/>
      <c r="R3" s="429"/>
      <c r="S3" s="429"/>
      <c r="T3" s="429"/>
      <c r="U3" s="429"/>
      <c r="V3" s="429"/>
      <c r="W3" s="429"/>
      <c r="X3" s="429"/>
      <c r="Y3" s="429"/>
      <c r="Z3" s="430"/>
      <c r="AZ3" s="84"/>
      <c r="BA3" s="84"/>
      <c r="BB3" s="84"/>
      <c r="BC3" s="84"/>
    </row>
    <row r="4" spans="2:56" ht="15.75" thickTop="1">
      <c r="N4" s="88" t="s">
        <v>394</v>
      </c>
      <c r="W4" s="88" t="s">
        <v>394</v>
      </c>
      <c r="AF4" s="88" t="s">
        <v>394</v>
      </c>
      <c r="AO4" s="88" t="s">
        <v>394</v>
      </c>
    </row>
    <row r="5" spans="2:56">
      <c r="AY5" s="94" t="s">
        <v>406</v>
      </c>
      <c r="AZ5" s="95"/>
      <c r="BA5" s="95"/>
      <c r="BB5" s="95"/>
      <c r="BC5" s="95"/>
      <c r="BD5" s="87"/>
    </row>
    <row r="6" spans="2:56">
      <c r="AY6" s="96"/>
      <c r="AZ6" s="97" t="s">
        <v>281</v>
      </c>
      <c r="BA6" s="97" t="s">
        <v>282</v>
      </c>
      <c r="BB6" s="97" t="s">
        <v>283</v>
      </c>
      <c r="BC6" s="97" t="s">
        <v>280</v>
      </c>
      <c r="BD6" s="87"/>
    </row>
    <row r="7" spans="2:56">
      <c r="AY7" s="98" t="s">
        <v>407</v>
      </c>
      <c r="AZ7" s="99">
        <f>'2a. % By Priority'!G6</f>
        <v>0.96385542168674698</v>
      </c>
      <c r="BA7" s="99">
        <f>'2a. % By Priority'!N6</f>
        <v>0.95959595959595956</v>
      </c>
      <c r="BB7" s="99">
        <f>'2a. % By Priority'!U6</f>
        <v>0.94000000000000006</v>
      </c>
      <c r="BC7" s="99">
        <f>'2a. % By Priority'!AB6</f>
        <v>0.91509433962264153</v>
      </c>
      <c r="BD7" s="87"/>
    </row>
    <row r="8" spans="2:56">
      <c r="L8" s="91"/>
      <c r="M8" s="91"/>
      <c r="AY8" s="98" t="s">
        <v>408</v>
      </c>
      <c r="AZ8" s="99">
        <f>'2a. % By Priority'!G9</f>
        <v>2.4096385542168676E-2</v>
      </c>
      <c r="BA8" s="99">
        <f>'2a. % By Priority'!N9</f>
        <v>2.0202020202020204E-2</v>
      </c>
      <c r="BB8" s="99">
        <f>'2a. % By Priority'!U9</f>
        <v>0.01</v>
      </c>
      <c r="BC8" s="99">
        <f>'2a. % By Priority'!AB9</f>
        <v>2.8301886792452831E-2</v>
      </c>
      <c r="BD8" s="87"/>
    </row>
    <row r="9" spans="2:56">
      <c r="L9" s="91"/>
      <c r="M9" s="91"/>
      <c r="AY9" s="98" t="s">
        <v>409</v>
      </c>
      <c r="AZ9" s="99">
        <f>'2a. % By Priority'!G13</f>
        <v>1.2048192771084338E-2</v>
      </c>
      <c r="BA9" s="99">
        <f>'2a. % By Priority'!N13</f>
        <v>2.0202020202020204E-2</v>
      </c>
      <c r="BB9" s="99">
        <f>'2a. % By Priority'!U13</f>
        <v>0.05</v>
      </c>
      <c r="BC9" s="99">
        <f>'2a. % By Priority'!AB13</f>
        <v>5.6603773584905662E-2</v>
      </c>
      <c r="BD9" s="87"/>
    </row>
    <row r="10" spans="2:56">
      <c r="L10" s="91"/>
      <c r="M10" s="91"/>
      <c r="AY10" s="96"/>
      <c r="AZ10" s="100"/>
      <c r="BA10" s="100"/>
      <c r="BB10" s="100"/>
      <c r="BC10" s="100"/>
      <c r="BD10" s="87"/>
    </row>
    <row r="11" spans="2:56">
      <c r="AY11" s="101"/>
      <c r="AZ11" s="102"/>
      <c r="BA11" s="102"/>
      <c r="BB11" s="103"/>
      <c r="BC11" s="103"/>
      <c r="BD11" s="87"/>
    </row>
    <row r="12" spans="2:56">
      <c r="AY12" s="101"/>
      <c r="AZ12" s="102"/>
      <c r="BA12" s="102"/>
      <c r="BB12" s="103"/>
      <c r="BC12" s="103"/>
      <c r="BD12" s="87"/>
    </row>
    <row r="13" spans="2:56">
      <c r="AY13" s="101"/>
      <c r="AZ13" s="102"/>
      <c r="BA13" s="102"/>
      <c r="BB13" s="103"/>
      <c r="BC13" s="103"/>
      <c r="BD13" s="87"/>
    </row>
    <row r="14" spans="2:56">
      <c r="AY14" s="104"/>
      <c r="AZ14" s="95"/>
      <c r="BA14" s="95"/>
      <c r="BB14" s="95"/>
      <c r="BC14" s="95"/>
      <c r="BD14" s="87"/>
    </row>
    <row r="15" spans="2:56">
      <c r="AY15" s="104"/>
      <c r="AZ15" s="95"/>
      <c r="BA15" s="95"/>
      <c r="BB15" s="95"/>
      <c r="BC15" s="95"/>
      <c r="BD15" s="87"/>
    </row>
    <row r="16" spans="2:56">
      <c r="AY16" s="104"/>
      <c r="AZ16" s="95"/>
      <c r="BA16" s="95"/>
      <c r="BB16" s="95"/>
      <c r="BC16" s="95"/>
      <c r="BD16" s="87"/>
    </row>
    <row r="17" spans="12:56">
      <c r="AY17" s="104"/>
      <c r="AZ17" s="95"/>
      <c r="BA17" s="95"/>
      <c r="BB17" s="95"/>
      <c r="BC17" s="95"/>
      <c r="BD17" s="87"/>
    </row>
    <row r="18" spans="12:56">
      <c r="AY18" s="104"/>
      <c r="AZ18" s="95"/>
      <c r="BA18" s="95"/>
      <c r="BB18" s="95"/>
      <c r="BC18" s="95"/>
      <c r="BD18" s="87"/>
    </row>
    <row r="19" spans="12:56">
      <c r="AY19" s="104"/>
      <c r="AZ19" s="95"/>
      <c r="BA19" s="95"/>
      <c r="BB19" s="95"/>
      <c r="BC19" s="95"/>
      <c r="BD19" s="87"/>
    </row>
    <row r="20" spans="12:56">
      <c r="N20" s="88" t="s">
        <v>394</v>
      </c>
      <c r="W20" s="88" t="s">
        <v>394</v>
      </c>
      <c r="AF20" s="88" t="s">
        <v>394</v>
      </c>
      <c r="AO20" s="88" t="s">
        <v>394</v>
      </c>
      <c r="AY20" s="104"/>
      <c r="AZ20" s="95"/>
      <c r="BA20" s="95"/>
      <c r="BB20" s="95"/>
      <c r="BC20" s="95"/>
      <c r="BD20" s="87"/>
    </row>
    <row r="21" spans="12:56">
      <c r="AY21" s="94" t="s">
        <v>397</v>
      </c>
      <c r="AZ21" s="95"/>
      <c r="BA21" s="95"/>
      <c r="BB21" s="95"/>
      <c r="BC21" s="95"/>
      <c r="BD21" s="87"/>
    </row>
    <row r="22" spans="12:56">
      <c r="AY22" s="96"/>
      <c r="AZ22" s="97" t="s">
        <v>281</v>
      </c>
      <c r="BA22" s="97" t="s">
        <v>282</v>
      </c>
      <c r="BB22" s="97" t="s">
        <v>283</v>
      </c>
      <c r="BC22" s="97" t="s">
        <v>280</v>
      </c>
      <c r="BD22" s="87"/>
    </row>
    <row r="23" spans="12:56">
      <c r="AY23" s="98" t="s">
        <v>407</v>
      </c>
      <c r="AZ23" s="99">
        <f>'2a. % By Priority'!G28</f>
        <v>0.96153846153846156</v>
      </c>
      <c r="BA23" s="99">
        <f>'2a. % By Priority'!N28</f>
        <v>0.95</v>
      </c>
      <c r="BB23" s="99">
        <f>'2a. % By Priority'!U28</f>
        <v>0.95161290322580649</v>
      </c>
      <c r="BC23" s="99">
        <f>'2a. % By Priority'!AB28</f>
        <v>0.89230769230769236</v>
      </c>
      <c r="BD23" s="87"/>
    </row>
    <row r="24" spans="12:56">
      <c r="L24" s="91"/>
      <c r="M24" s="91"/>
      <c r="AY24" s="98" t="s">
        <v>408</v>
      </c>
      <c r="AZ24" s="99">
        <f>'2a. % By Priority'!G31</f>
        <v>1.9230769230769232E-2</v>
      </c>
      <c r="BA24" s="99">
        <f>'2a. % By Priority'!N31</f>
        <v>3.3333333333333333E-2</v>
      </c>
      <c r="BB24" s="99">
        <f>'2a. % By Priority'!U31</f>
        <v>0</v>
      </c>
      <c r="BC24" s="99">
        <f>'2a. % By Priority'!AB31</f>
        <v>4.6153846153846156E-2</v>
      </c>
      <c r="BD24" s="87"/>
    </row>
    <row r="25" spans="12:56">
      <c r="L25" s="91"/>
      <c r="M25" s="91"/>
      <c r="AY25" s="98" t="s">
        <v>409</v>
      </c>
      <c r="AZ25" s="99">
        <f>'2a. % By Priority'!G35</f>
        <v>1.9230769230769232E-2</v>
      </c>
      <c r="BA25" s="99">
        <f>'2a. % By Priority'!N35</f>
        <v>1.6666666666666666E-2</v>
      </c>
      <c r="BB25" s="99">
        <f>'2a. % By Priority'!U35</f>
        <v>4.8387096774193547E-2</v>
      </c>
      <c r="BC25" s="99">
        <f>'2a. % By Priority'!AB35</f>
        <v>6.1538461538461542E-2</v>
      </c>
      <c r="BD25" s="87"/>
    </row>
    <row r="26" spans="12:56">
      <c r="L26" s="91"/>
      <c r="M26" s="91"/>
      <c r="AY26" s="104"/>
      <c r="AZ26" s="95"/>
      <c r="BA26" s="95"/>
      <c r="BB26" s="95"/>
      <c r="BC26" s="95"/>
      <c r="BD26" s="87"/>
    </row>
    <row r="27" spans="12:56">
      <c r="AY27" s="101"/>
      <c r="AZ27" s="95"/>
      <c r="BA27" s="95"/>
      <c r="BB27" s="95"/>
      <c r="BC27" s="95"/>
      <c r="BD27" s="87"/>
    </row>
    <row r="28" spans="12:56">
      <c r="AY28" s="101"/>
      <c r="AZ28" s="95"/>
      <c r="BA28" s="95"/>
      <c r="BB28" s="95"/>
      <c r="BC28" s="95"/>
      <c r="BD28" s="87"/>
    </row>
    <row r="29" spans="12:56">
      <c r="AY29" s="101"/>
      <c r="AZ29" s="95"/>
      <c r="BA29" s="95"/>
      <c r="BB29" s="95"/>
      <c r="BC29" s="95"/>
      <c r="BD29" s="87"/>
    </row>
    <row r="30" spans="12:56">
      <c r="AY30" s="104"/>
      <c r="AZ30" s="95"/>
      <c r="BA30" s="95"/>
      <c r="BB30" s="95"/>
      <c r="BC30" s="95"/>
      <c r="BD30" s="87"/>
    </row>
    <row r="31" spans="12:56">
      <c r="AY31" s="104"/>
      <c r="AZ31" s="95"/>
      <c r="BA31" s="95"/>
      <c r="BB31" s="95"/>
      <c r="BC31" s="95"/>
      <c r="BD31" s="87"/>
    </row>
    <row r="32" spans="12:56">
      <c r="AY32" s="104"/>
      <c r="AZ32" s="95"/>
      <c r="BA32" s="95"/>
      <c r="BB32" s="95"/>
      <c r="BC32" s="95"/>
      <c r="BD32" s="87"/>
    </row>
    <row r="33" spans="11:56">
      <c r="AY33" s="104"/>
      <c r="AZ33" s="95"/>
      <c r="BA33" s="95"/>
      <c r="BB33" s="95"/>
      <c r="BC33" s="95"/>
      <c r="BD33" s="87"/>
    </row>
    <row r="34" spans="11:56">
      <c r="AY34" s="104"/>
      <c r="AZ34" s="95"/>
      <c r="BA34" s="95"/>
      <c r="BB34" s="95"/>
      <c r="BC34" s="95"/>
      <c r="BD34" s="87"/>
    </row>
    <row r="35" spans="11:56">
      <c r="AY35" s="104"/>
      <c r="AZ35" s="95"/>
      <c r="BA35" s="95"/>
      <c r="BB35" s="95"/>
      <c r="BC35" s="95"/>
      <c r="BD35" s="87"/>
    </row>
    <row r="36" spans="11:56">
      <c r="N36" s="88" t="s">
        <v>394</v>
      </c>
      <c r="W36" s="88" t="s">
        <v>394</v>
      </c>
      <c r="AF36" s="88" t="s">
        <v>394</v>
      </c>
      <c r="AO36" s="88" t="s">
        <v>394</v>
      </c>
      <c r="AY36" s="104"/>
      <c r="AZ36" s="95"/>
      <c r="BA36" s="95"/>
      <c r="BB36" s="95"/>
      <c r="BC36" s="95"/>
      <c r="BD36" s="87"/>
    </row>
    <row r="37" spans="11:56">
      <c r="AY37" s="94" t="s">
        <v>398</v>
      </c>
      <c r="AZ37" s="105"/>
      <c r="BA37" s="105"/>
      <c r="BB37" s="105"/>
      <c r="BC37" s="105"/>
      <c r="BD37" s="93"/>
    </row>
    <row r="38" spans="11:56">
      <c r="AY38" s="106"/>
      <c r="AZ38" s="97" t="s">
        <v>281</v>
      </c>
      <c r="BA38" s="97" t="s">
        <v>282</v>
      </c>
      <c r="BB38" s="97" t="s">
        <v>283</v>
      </c>
      <c r="BC38" s="97" t="s">
        <v>280</v>
      </c>
      <c r="BD38" s="93"/>
    </row>
    <row r="39" spans="11:56">
      <c r="AY39" s="98" t="s">
        <v>407</v>
      </c>
      <c r="AZ39" s="99">
        <f>'2a. % By Priority'!G50</f>
        <v>0.93333333333333335</v>
      </c>
      <c r="BA39" s="99">
        <f>'2a. % By Priority'!N50</f>
        <v>0.95454545454545459</v>
      </c>
      <c r="BB39" s="99">
        <f>'2a. % By Priority'!U50</f>
        <v>0.90476190476190466</v>
      </c>
      <c r="BC39" s="99">
        <f>'2a. % By Priority'!AB50</f>
        <v>0.91304347826086962</v>
      </c>
      <c r="BD39" s="93"/>
    </row>
    <row r="40" spans="11:56">
      <c r="K40" s="91"/>
      <c r="L40" s="91"/>
      <c r="AY40" s="98" t="s">
        <v>408</v>
      </c>
      <c r="AZ40" s="99">
        <f>'2a. % By Priority'!G53</f>
        <v>6.6666666666666666E-2</v>
      </c>
      <c r="BA40" s="99">
        <f>'2a. % By Priority'!N53</f>
        <v>0</v>
      </c>
      <c r="BB40" s="99">
        <f>'2a. % By Priority'!U53</f>
        <v>0</v>
      </c>
      <c r="BC40" s="99">
        <f>'2a. % By Priority'!AB53</f>
        <v>0</v>
      </c>
      <c r="BD40" s="93"/>
    </row>
    <row r="41" spans="11:56">
      <c r="K41" s="91"/>
      <c r="L41" s="91"/>
      <c r="AY41" s="98" t="s">
        <v>409</v>
      </c>
      <c r="AZ41" s="99">
        <f>'2a. % By Priority'!G57</f>
        <v>0</v>
      </c>
      <c r="BA41" s="99">
        <f>'2a. % By Priority'!N57</f>
        <v>4.5454545454545456E-2</v>
      </c>
      <c r="BB41" s="99">
        <f>'2a. % By Priority'!U57</f>
        <v>9.5238095238095233E-2</v>
      </c>
      <c r="BC41" s="99">
        <f>'2a. % By Priority'!AB57</f>
        <v>8.6956521739130432E-2</v>
      </c>
      <c r="BD41" s="93"/>
    </row>
    <row r="42" spans="11:56">
      <c r="K42" s="91"/>
      <c r="L42" s="91"/>
      <c r="AY42" s="104"/>
      <c r="AZ42" s="95"/>
      <c r="BA42" s="95"/>
      <c r="BB42" s="95"/>
      <c r="BC42" s="95"/>
      <c r="BD42" s="87"/>
    </row>
    <row r="43" spans="11:56">
      <c r="AY43" s="101"/>
      <c r="AZ43" s="95"/>
      <c r="BA43" s="95"/>
      <c r="BB43" s="95"/>
      <c r="BC43" s="95"/>
      <c r="BD43" s="87"/>
    </row>
    <row r="44" spans="11:56">
      <c r="AY44" s="101"/>
      <c r="AZ44" s="95"/>
      <c r="BA44" s="95"/>
      <c r="BB44" s="95"/>
      <c r="BC44" s="95"/>
      <c r="BD44" s="87"/>
    </row>
    <row r="45" spans="11:56">
      <c r="AY45" s="101"/>
      <c r="AZ45" s="95"/>
      <c r="BA45" s="95"/>
      <c r="BB45" s="95"/>
      <c r="BC45" s="95"/>
      <c r="BD45" s="87"/>
    </row>
    <row r="46" spans="11:56">
      <c r="AY46" s="104"/>
      <c r="AZ46" s="95"/>
      <c r="BA46" s="95"/>
      <c r="BB46" s="95"/>
      <c r="BC46" s="95"/>
      <c r="BD46" s="87"/>
    </row>
    <row r="47" spans="11:56">
      <c r="AY47" s="104"/>
      <c r="AZ47" s="95"/>
      <c r="BA47" s="95"/>
      <c r="BB47" s="95"/>
      <c r="BC47" s="95"/>
      <c r="BD47" s="87"/>
    </row>
    <row r="48" spans="11:56">
      <c r="AY48" s="104"/>
      <c r="AZ48" s="95"/>
      <c r="BA48" s="95"/>
      <c r="BB48" s="95"/>
      <c r="BC48" s="95"/>
      <c r="BD48" s="87"/>
    </row>
    <row r="49" spans="12:56">
      <c r="AY49" s="104"/>
      <c r="AZ49" s="95"/>
      <c r="BA49" s="95"/>
      <c r="BB49" s="95"/>
      <c r="BC49" s="95"/>
      <c r="BD49" s="87"/>
    </row>
    <row r="50" spans="12:56">
      <c r="AY50" s="104"/>
      <c r="AZ50" s="95"/>
      <c r="BA50" s="95"/>
      <c r="BB50" s="95"/>
      <c r="BC50" s="95"/>
      <c r="BD50" s="87"/>
    </row>
    <row r="51" spans="12:56">
      <c r="AY51" s="104"/>
      <c r="AZ51" s="95"/>
      <c r="BA51" s="95"/>
      <c r="BB51" s="95"/>
      <c r="BC51" s="95"/>
      <c r="BD51" s="87"/>
    </row>
    <row r="52" spans="12:56">
      <c r="N52" s="88" t="s">
        <v>394</v>
      </c>
      <c r="W52" s="88" t="s">
        <v>394</v>
      </c>
      <c r="AF52" s="88" t="s">
        <v>394</v>
      </c>
      <c r="AP52" s="88" t="s">
        <v>394</v>
      </c>
      <c r="AY52" s="104"/>
      <c r="AZ52" s="95"/>
      <c r="BA52" s="95"/>
      <c r="BB52" s="95"/>
      <c r="BC52" s="95"/>
      <c r="BD52" s="87"/>
    </row>
    <row r="53" spans="12:56">
      <c r="AY53" s="94" t="s">
        <v>399</v>
      </c>
      <c r="AZ53" s="105"/>
      <c r="BA53" s="105"/>
      <c r="BB53" s="105"/>
      <c r="BC53" s="105"/>
      <c r="BD53" s="87"/>
    </row>
    <row r="54" spans="12:56">
      <c r="AY54" s="106"/>
      <c r="AZ54" s="97" t="s">
        <v>281</v>
      </c>
      <c r="BA54" s="97" t="s">
        <v>282</v>
      </c>
      <c r="BB54" s="97" t="s">
        <v>283</v>
      </c>
      <c r="BC54" s="97" t="s">
        <v>280</v>
      </c>
      <c r="BD54" s="87"/>
    </row>
    <row r="55" spans="12:56">
      <c r="AY55" s="98" t="s">
        <v>407</v>
      </c>
      <c r="AZ55" s="99">
        <f>'2a. % By Priority'!G72</f>
        <v>1</v>
      </c>
      <c r="BA55" s="99">
        <f>'2a. % By Priority'!N72</f>
        <v>1</v>
      </c>
      <c r="BB55" s="99">
        <f>'2a. % By Priority'!U72</f>
        <v>0.94117647058823528</v>
      </c>
      <c r="BC55" s="99">
        <f>'2a. % By Priority'!AB72</f>
        <v>1</v>
      </c>
      <c r="BD55" s="87"/>
    </row>
    <row r="56" spans="12:56">
      <c r="L56" s="91"/>
      <c r="M56" s="91"/>
      <c r="AY56" s="98" t="s">
        <v>408</v>
      </c>
      <c r="AZ56" s="99">
        <f>'2a. % By Priority'!G75</f>
        <v>0</v>
      </c>
      <c r="BA56" s="99">
        <f>'2a. % By Priority'!N75</f>
        <v>0</v>
      </c>
      <c r="BB56" s="99">
        <f>'2a. % By Priority'!U75</f>
        <v>5.8823529411764705E-2</v>
      </c>
      <c r="BC56" s="99">
        <f>'2a. % By Priority'!AB75</f>
        <v>0</v>
      </c>
      <c r="BD56" s="87"/>
    </row>
    <row r="57" spans="12:56">
      <c r="L57" s="91"/>
      <c r="M57" s="91"/>
      <c r="AY57" s="98" t="s">
        <v>409</v>
      </c>
      <c r="AZ57" s="99">
        <f>'2a. % By Priority'!G79</f>
        <v>0</v>
      </c>
      <c r="BA57" s="99">
        <f>'2a. % By Priority'!N79</f>
        <v>0</v>
      </c>
      <c r="BB57" s="99">
        <f>'2a. % By Priority'!U79</f>
        <v>0</v>
      </c>
      <c r="BC57" s="99">
        <f>'2a. % By Priority'!AB79</f>
        <v>0</v>
      </c>
      <c r="BD57" s="87"/>
    </row>
    <row r="58" spans="12:56">
      <c r="L58" s="91"/>
      <c r="M58" s="91"/>
      <c r="AY58" s="87"/>
      <c r="AZ58" s="90"/>
      <c r="BA58" s="90"/>
      <c r="BB58" s="90"/>
      <c r="BC58" s="90"/>
      <c r="BD58" s="87"/>
    </row>
    <row r="59" spans="12:56">
      <c r="AY59" s="92"/>
      <c r="AZ59" s="90"/>
      <c r="BA59" s="90"/>
      <c r="BB59" s="90"/>
      <c r="BC59" s="90"/>
      <c r="BD59" s="87"/>
    </row>
    <row r="60" spans="12:56">
      <c r="AY60" s="92"/>
      <c r="AZ60" s="90"/>
      <c r="BA60" s="90"/>
      <c r="BB60" s="90"/>
      <c r="BC60" s="90"/>
      <c r="BD60" s="87"/>
    </row>
    <row r="61" spans="12:56">
      <c r="AY61" s="92"/>
      <c r="AZ61" s="90"/>
      <c r="BA61" s="90"/>
      <c r="BB61" s="90"/>
      <c r="BC61" s="90"/>
      <c r="BD61" s="87"/>
    </row>
    <row r="62" spans="12:56">
      <c r="AY62" s="87"/>
      <c r="AZ62" s="90"/>
      <c r="BA62" s="90"/>
      <c r="BB62" s="90"/>
      <c r="BC62" s="90"/>
      <c r="BD62" s="87"/>
    </row>
    <row r="63" spans="12:56">
      <c r="AY63" s="87"/>
      <c r="AZ63" s="90"/>
      <c r="BA63" s="90"/>
      <c r="BB63" s="90"/>
      <c r="BC63" s="90"/>
      <c r="BD63" s="87"/>
    </row>
    <row r="64" spans="12:56">
      <c r="AY64" s="87"/>
      <c r="AZ64" s="90"/>
      <c r="BA64" s="90"/>
      <c r="BB64" s="90"/>
      <c r="BC64" s="90"/>
      <c r="BD64" s="87"/>
    </row>
    <row r="65" spans="51:56">
      <c r="AY65" s="87"/>
      <c r="AZ65" s="90"/>
      <c r="BA65" s="90"/>
      <c r="BB65" s="90"/>
      <c r="BC65" s="90"/>
      <c r="BD65" s="87"/>
    </row>
    <row r="66" spans="51:56">
      <c r="AY66" s="87"/>
      <c r="AZ66" s="90"/>
      <c r="BA66" s="90"/>
      <c r="BB66" s="90"/>
      <c r="BC66" s="90"/>
      <c r="BD66" s="87"/>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V1" zoomScale="80" zoomScaleNormal="80" workbookViewId="0">
      <selection activeCell="W2" sqref="W2"/>
    </sheetView>
  </sheetViews>
  <sheetFormatPr defaultColWidth="9.140625" defaultRowHeight="14.25"/>
  <cols>
    <col min="1" max="1" width="3.42578125" style="15" customWidth="1"/>
    <col min="2" max="2" width="38.85546875" style="15" customWidth="1"/>
    <col min="3" max="3" width="13.7109375" style="12" customWidth="1"/>
    <col min="4" max="4" width="13.85546875" style="12" customWidth="1"/>
    <col min="5" max="5" width="16.28515625" style="12" customWidth="1"/>
    <col min="6" max="6" width="14.140625" style="15" customWidth="1"/>
    <col min="7" max="7" width="17.140625" style="12" customWidth="1"/>
    <col min="8" max="8" width="4.7109375" style="15" customWidth="1"/>
    <col min="9" max="9" width="38.85546875" style="15" customWidth="1"/>
    <col min="10" max="10" width="13.7109375" style="12" customWidth="1"/>
    <col min="11" max="11" width="13.85546875" style="12" customWidth="1"/>
    <col min="12" max="12" width="16.28515625" style="12" customWidth="1"/>
    <col min="13" max="13" width="14.140625" style="15" customWidth="1"/>
    <col min="14" max="14" width="17.140625" style="12" customWidth="1"/>
    <col min="15" max="15" width="4.7109375" style="15" customWidth="1"/>
    <col min="16" max="16" width="38.85546875" style="15" customWidth="1"/>
    <col min="17" max="17" width="13.7109375" style="12" customWidth="1"/>
    <col min="18" max="18" width="13.85546875" style="12" customWidth="1"/>
    <col min="19" max="19" width="16.28515625" style="12" customWidth="1"/>
    <col min="20" max="20" width="14.140625" style="15" customWidth="1"/>
    <col min="21" max="21" width="17.140625" style="12" customWidth="1"/>
    <col min="22" max="22" width="4.7109375" style="15" customWidth="1"/>
    <col min="23" max="23" width="55.28515625" style="12" customWidth="1"/>
    <col min="24" max="24" width="14.5703125" style="12" customWidth="1"/>
    <col min="25" max="27" width="17.140625" style="12" customWidth="1"/>
    <col min="28" max="28" width="17.140625" style="39" customWidth="1"/>
    <col min="29" max="29" width="9.140625" style="15" customWidth="1"/>
    <col min="30" max="16384" width="9.140625" style="15"/>
  </cols>
  <sheetData>
    <row r="1" spans="2:28" s="9" customFormat="1" ht="20.25">
      <c r="B1" s="156" t="s">
        <v>400</v>
      </c>
      <c r="C1" s="157"/>
      <c r="D1" s="158"/>
      <c r="E1" s="158"/>
      <c r="F1" s="159"/>
      <c r="G1" s="158"/>
      <c r="I1" s="156" t="s">
        <v>401</v>
      </c>
      <c r="J1" s="157"/>
      <c r="K1" s="158"/>
      <c r="L1" s="158"/>
      <c r="M1" s="159"/>
      <c r="N1" s="158"/>
      <c r="P1" s="156" t="s">
        <v>402</v>
      </c>
      <c r="Q1" s="157"/>
      <c r="R1" s="158"/>
      <c r="S1" s="158"/>
      <c r="T1" s="159"/>
      <c r="U1" s="158"/>
      <c r="W1" s="166" t="s">
        <v>403</v>
      </c>
      <c r="X1" s="167"/>
      <c r="Y1" s="167"/>
      <c r="Z1" s="167"/>
      <c r="AA1" s="167"/>
      <c r="AB1" s="168"/>
    </row>
    <row r="2" spans="2:28" ht="15.75">
      <c r="B2" s="10"/>
      <c r="C2" s="11"/>
      <c r="D2" s="11"/>
      <c r="E2" s="11"/>
      <c r="F2" s="10"/>
      <c r="G2" s="11"/>
      <c r="I2" s="10"/>
      <c r="J2" s="11"/>
      <c r="K2" s="11"/>
      <c r="L2" s="11"/>
      <c r="M2" s="10"/>
      <c r="N2" s="11"/>
      <c r="P2" s="10"/>
      <c r="Q2" s="11"/>
      <c r="R2" s="11"/>
      <c r="S2" s="11"/>
      <c r="T2" s="10"/>
      <c r="U2" s="11"/>
      <c r="W2" s="13"/>
      <c r="X2" s="13"/>
      <c r="Y2" s="13"/>
      <c r="Z2" s="13"/>
      <c r="AA2" s="13"/>
      <c r="AB2" s="14"/>
    </row>
    <row r="3" spans="2:28" s="23" customFormat="1" ht="15.75">
      <c r="B3" s="151" t="s">
        <v>421</v>
      </c>
      <c r="C3" s="152"/>
      <c r="D3" s="152"/>
      <c r="E3" s="152"/>
      <c r="F3" s="153"/>
      <c r="G3" s="152"/>
      <c r="I3" s="151" t="s">
        <v>421</v>
      </c>
      <c r="J3" s="152"/>
      <c r="K3" s="152"/>
      <c r="L3" s="152"/>
      <c r="M3" s="153"/>
      <c r="N3" s="152"/>
      <c r="P3" s="151" t="s">
        <v>421</v>
      </c>
      <c r="Q3" s="152"/>
      <c r="R3" s="152"/>
      <c r="S3" s="152"/>
      <c r="T3" s="153"/>
      <c r="U3" s="152"/>
      <c r="W3" s="151" t="s">
        <v>421</v>
      </c>
      <c r="X3" s="152"/>
      <c r="Y3" s="152"/>
      <c r="Z3" s="152"/>
      <c r="AA3" s="153"/>
      <c r="AB3" s="152"/>
    </row>
    <row r="4" spans="2:28" ht="42" customHeight="1">
      <c r="B4" s="154" t="s">
        <v>386</v>
      </c>
      <c r="C4" s="155" t="s">
        <v>387</v>
      </c>
      <c r="D4" s="155" t="s">
        <v>388</v>
      </c>
      <c r="E4" s="155" t="s">
        <v>389</v>
      </c>
      <c r="F4" s="154" t="s">
        <v>390</v>
      </c>
      <c r="G4" s="155" t="s">
        <v>391</v>
      </c>
      <c r="I4" s="154" t="s">
        <v>386</v>
      </c>
      <c r="J4" s="155" t="s">
        <v>387</v>
      </c>
      <c r="K4" s="155" t="s">
        <v>388</v>
      </c>
      <c r="L4" s="155" t="s">
        <v>389</v>
      </c>
      <c r="M4" s="154" t="s">
        <v>390</v>
      </c>
      <c r="N4" s="155" t="s">
        <v>391</v>
      </c>
      <c r="P4" s="154" t="s">
        <v>386</v>
      </c>
      <c r="Q4" s="155" t="s">
        <v>387</v>
      </c>
      <c r="R4" s="155" t="s">
        <v>388</v>
      </c>
      <c r="S4" s="155" t="s">
        <v>389</v>
      </c>
      <c r="T4" s="154" t="s">
        <v>390</v>
      </c>
      <c r="U4" s="155" t="s">
        <v>391</v>
      </c>
      <c r="W4" s="73" t="s">
        <v>386</v>
      </c>
      <c r="X4" s="73" t="s">
        <v>387</v>
      </c>
      <c r="Y4" s="73" t="s">
        <v>388</v>
      </c>
      <c r="Z4" s="73" t="s">
        <v>389</v>
      </c>
      <c r="AA4" s="73" t="s">
        <v>390</v>
      </c>
      <c r="AB4" s="73" t="s">
        <v>391</v>
      </c>
    </row>
    <row r="5" spans="2:28" s="23" customFormat="1" ht="6" customHeight="1">
      <c r="B5" s="20"/>
      <c r="C5" s="21"/>
      <c r="D5" s="21"/>
      <c r="E5" s="21"/>
      <c r="F5" s="20"/>
      <c r="G5" s="21"/>
      <c r="I5" s="20"/>
      <c r="J5" s="21"/>
      <c r="K5" s="21"/>
      <c r="L5" s="21"/>
      <c r="M5" s="20"/>
      <c r="N5" s="21"/>
      <c r="P5" s="20"/>
      <c r="Q5" s="21"/>
      <c r="R5" s="21"/>
      <c r="S5" s="21"/>
      <c r="T5" s="20"/>
      <c r="U5" s="21"/>
      <c r="W5" s="20"/>
      <c r="X5" s="21"/>
      <c r="Y5" s="21"/>
      <c r="Z5" s="21"/>
      <c r="AA5" s="21"/>
      <c r="AB5" s="21"/>
    </row>
    <row r="6" spans="2:28" ht="21.75" customHeight="1">
      <c r="B6" s="140" t="s">
        <v>392</v>
      </c>
      <c r="C6" s="141">
        <f>COUNTIFS('1. All Data'!$AD$3:$AD$129,"LEADER",'1. All Data'!$I$3:$I$129,"Fully Achieved")</f>
        <v>1</v>
      </c>
      <c r="D6" s="142">
        <f>C6/C20</f>
        <v>5.8823529411764705E-2</v>
      </c>
      <c r="E6" s="431">
        <f>D6+D7</f>
        <v>0.6470588235294118</v>
      </c>
      <c r="F6" s="143">
        <f>C6/C21</f>
        <v>9.0909090909090912E-2</v>
      </c>
      <c r="G6" s="447">
        <f>F6+F7</f>
        <v>1</v>
      </c>
      <c r="I6" s="140" t="s">
        <v>392</v>
      </c>
      <c r="J6" s="141">
        <f>COUNTIFS('1. All Data'!$AD$3:$AD$129,"LEADER",'1. All Data'!$N$3:$N$129,"Fully Achieved")</f>
        <v>5</v>
      </c>
      <c r="K6" s="142">
        <f>J6/J20</f>
        <v>0.29411764705882354</v>
      </c>
      <c r="L6" s="431">
        <f>K6+K7</f>
        <v>0.82352941176470584</v>
      </c>
      <c r="M6" s="143">
        <f>J6/J21</f>
        <v>0.33333333333333331</v>
      </c>
      <c r="N6" s="447">
        <f>M6+M7</f>
        <v>0.93333333333333335</v>
      </c>
      <c r="P6" s="140" t="s">
        <v>392</v>
      </c>
      <c r="Q6" s="141">
        <f>COUNTIFS('1. All Data'!$AD$3:$AD$129,"LEADER",'1. All Data'!$S$3:$S$129,"Fully Achieved")</f>
        <v>7</v>
      </c>
      <c r="R6" s="142">
        <f>Q6/Q20</f>
        <v>0.41176470588235292</v>
      </c>
      <c r="S6" s="431">
        <f>R6+R7</f>
        <v>0.94117647058823528</v>
      </c>
      <c r="T6" s="143">
        <f>Q6/Q21</f>
        <v>0.41176470588235292</v>
      </c>
      <c r="U6" s="447">
        <f>T6+T7</f>
        <v>0.94117647058823528</v>
      </c>
      <c r="W6" s="59" t="s">
        <v>392</v>
      </c>
      <c r="X6" s="141">
        <f>COUNTIFS('1. All Data'!$AD$3:$AD$129,"LEADER",'1. All Data'!$W$3:$W$129,"Fully Achieved")</f>
        <v>14</v>
      </c>
      <c r="Y6" s="346">
        <f>X6/X20</f>
        <v>0.82352941176470584</v>
      </c>
      <c r="Z6" s="431">
        <f>Y6+Y7</f>
        <v>0.82352941176470584</v>
      </c>
      <c r="AA6" s="346">
        <f>X6/X21</f>
        <v>0.82352941176470584</v>
      </c>
      <c r="AB6" s="405">
        <f>AA6+AA7</f>
        <v>0.82352941176470584</v>
      </c>
    </row>
    <row r="7" spans="2:28" ht="18.75" customHeight="1">
      <c r="B7" s="140" t="s">
        <v>343</v>
      </c>
      <c r="C7" s="141">
        <f>COUNTIFS('1. All Data'!$AD$3:$AD$129,"LEADER",'1. All Data'!$I$3:$I$129,"On Track to be Achieved")</f>
        <v>10</v>
      </c>
      <c r="D7" s="142">
        <f>C7/C20</f>
        <v>0.58823529411764708</v>
      </c>
      <c r="E7" s="431"/>
      <c r="F7" s="143">
        <f>C7/C21</f>
        <v>0.90909090909090906</v>
      </c>
      <c r="G7" s="447"/>
      <c r="I7" s="140" t="s">
        <v>343</v>
      </c>
      <c r="J7" s="141">
        <f>COUNTIFS('1. All Data'!$AD$3:$AD$129,"LEADER",'1. All Data'!$N$3:$N$129,"On Track to be Achieved")</f>
        <v>9</v>
      </c>
      <c r="K7" s="142">
        <f>J7/J20</f>
        <v>0.52941176470588236</v>
      </c>
      <c r="L7" s="431"/>
      <c r="M7" s="143">
        <f>J7/J21</f>
        <v>0.6</v>
      </c>
      <c r="N7" s="447"/>
      <c r="P7" s="140" t="s">
        <v>343</v>
      </c>
      <c r="Q7" s="141">
        <f>COUNTIFS('1. All Data'!$AD$3:$AD$129,"LEADER",'1. All Data'!$S$3:$S$129,"On Track to be Achieved")</f>
        <v>9</v>
      </c>
      <c r="R7" s="142">
        <f>Q7/Q20</f>
        <v>0.52941176470588236</v>
      </c>
      <c r="S7" s="431"/>
      <c r="T7" s="143">
        <f>Q7/Q21</f>
        <v>0.52941176470588236</v>
      </c>
      <c r="U7" s="447"/>
      <c r="W7" s="59" t="s">
        <v>335</v>
      </c>
      <c r="X7" s="141">
        <f>COUNTIFS('1. All Data'!$AD$3:$AD$129,"LEADER",'1. All Data'!$W$3:$W$129,"Numerical Outturn Within 5% Tolerance")</f>
        <v>0</v>
      </c>
      <c r="Y7" s="346">
        <f>X7/X20</f>
        <v>0</v>
      </c>
      <c r="Z7" s="431"/>
      <c r="AA7" s="346">
        <f>X7/X21</f>
        <v>0</v>
      </c>
      <c r="AB7" s="405"/>
    </row>
    <row r="8" spans="2:28" s="23" customFormat="1" ht="6" customHeight="1">
      <c r="B8" s="20"/>
      <c r="C8" s="33"/>
      <c r="D8" s="31"/>
      <c r="E8" s="31"/>
      <c r="F8" s="107"/>
      <c r="G8" s="32"/>
      <c r="I8" s="20"/>
      <c r="J8" s="33"/>
      <c r="K8" s="31"/>
      <c r="L8" s="31"/>
      <c r="M8" s="107"/>
      <c r="N8" s="32"/>
      <c r="P8" s="20"/>
      <c r="Q8" s="33"/>
      <c r="R8" s="31"/>
      <c r="S8" s="31"/>
      <c r="T8" s="107"/>
      <c r="U8" s="32"/>
      <c r="W8" s="24"/>
      <c r="X8" s="25"/>
      <c r="Y8" s="26"/>
      <c r="Z8" s="26"/>
      <c r="AA8" s="26"/>
      <c r="AB8" s="27"/>
    </row>
    <row r="9" spans="2:28" ht="21" customHeight="1">
      <c r="B9" s="432" t="s">
        <v>344</v>
      </c>
      <c r="C9" s="435">
        <f>COUNTIFS('1. All Data'!$AD$3:$AD$129,"LEADER",'1. All Data'!$I$3:$I$129,"In Danger of Falling Behind Target")</f>
        <v>0</v>
      </c>
      <c r="D9" s="438">
        <f>C9/C20</f>
        <v>0</v>
      </c>
      <c r="E9" s="438">
        <f>D9</f>
        <v>0</v>
      </c>
      <c r="F9" s="441">
        <f>C9/C21</f>
        <v>0</v>
      </c>
      <c r="G9" s="444">
        <f>F9</f>
        <v>0</v>
      </c>
      <c r="I9" s="432" t="s">
        <v>344</v>
      </c>
      <c r="J9" s="435">
        <f>COUNTIFS('1. All Data'!$AD$3:$AD$129,"LEADER",'1. All Data'!$N$3:$N$129,"In Danger of Falling Behind Target")</f>
        <v>1</v>
      </c>
      <c r="K9" s="438">
        <f>J9/J20</f>
        <v>5.8823529411764705E-2</v>
      </c>
      <c r="L9" s="438">
        <f>K9</f>
        <v>5.8823529411764705E-2</v>
      </c>
      <c r="M9" s="441">
        <f>J9/J21</f>
        <v>6.6666666666666666E-2</v>
      </c>
      <c r="N9" s="444">
        <f>M9</f>
        <v>6.6666666666666666E-2</v>
      </c>
      <c r="P9" s="432" t="s">
        <v>344</v>
      </c>
      <c r="Q9" s="435">
        <f>COUNTIFS('1. All Data'!$AD$3:$AD$129,"LEADER",'1. All Data'!$S$3:$S$129,"In Danger of Falling Behind Target")</f>
        <v>0</v>
      </c>
      <c r="R9" s="438">
        <f>Q9/Q20</f>
        <v>0</v>
      </c>
      <c r="S9" s="438">
        <f>R9</f>
        <v>0</v>
      </c>
      <c r="T9" s="441">
        <f>Q9/Q21</f>
        <v>0</v>
      </c>
      <c r="U9" s="444">
        <f>T9</f>
        <v>0</v>
      </c>
      <c r="W9" s="80" t="s">
        <v>336</v>
      </c>
      <c r="X9" s="81">
        <f>COUNTIFS('1. All Data'!$AD$3:$AD$129,"LEADER",'1. All Data'!$W$3:$W$129,"Numerical Outturn Within 10% Tolerance")</f>
        <v>1</v>
      </c>
      <c r="Y9" s="62">
        <f>X9/$X$20</f>
        <v>5.8823529411764705E-2</v>
      </c>
      <c r="Z9" s="404">
        <f>SUM(Y9:Y11)</f>
        <v>0.11764705882352941</v>
      </c>
      <c r="AA9" s="62">
        <f>X9/$X$21</f>
        <v>5.8823529411764705E-2</v>
      </c>
      <c r="AB9" s="418">
        <f>SUM(AA9:AA11)</f>
        <v>0.11764705882352941</v>
      </c>
    </row>
    <row r="10" spans="2:28" ht="20.25" customHeight="1">
      <c r="B10" s="433"/>
      <c r="C10" s="436"/>
      <c r="D10" s="439"/>
      <c r="E10" s="439"/>
      <c r="F10" s="442"/>
      <c r="G10" s="445"/>
      <c r="I10" s="433"/>
      <c r="J10" s="436"/>
      <c r="K10" s="439"/>
      <c r="L10" s="439"/>
      <c r="M10" s="442"/>
      <c r="N10" s="445"/>
      <c r="P10" s="433"/>
      <c r="Q10" s="436"/>
      <c r="R10" s="439"/>
      <c r="S10" s="439"/>
      <c r="T10" s="442"/>
      <c r="U10" s="445"/>
      <c r="W10" s="80" t="s">
        <v>337</v>
      </c>
      <c r="X10" s="81">
        <f>COUNTIFS('1. All Data'!$AD$3:$AD$129,"LEADER",'1. All Data'!$W$3:$W$129,"Target Partially Met")</f>
        <v>1</v>
      </c>
      <c r="Y10" s="345">
        <f>X10/$X$20</f>
        <v>5.8823529411764705E-2</v>
      </c>
      <c r="Z10" s="404"/>
      <c r="AA10" s="345">
        <f>X10/$X$21</f>
        <v>5.8823529411764705E-2</v>
      </c>
      <c r="AB10" s="418"/>
    </row>
    <row r="11" spans="2:28" ht="18.75" customHeight="1">
      <c r="B11" s="434"/>
      <c r="C11" s="437"/>
      <c r="D11" s="440"/>
      <c r="E11" s="440"/>
      <c r="F11" s="443"/>
      <c r="G11" s="446"/>
      <c r="I11" s="434"/>
      <c r="J11" s="437"/>
      <c r="K11" s="440"/>
      <c r="L11" s="440"/>
      <c r="M11" s="443"/>
      <c r="N11" s="446"/>
      <c r="P11" s="434"/>
      <c r="Q11" s="437"/>
      <c r="R11" s="440"/>
      <c r="S11" s="440"/>
      <c r="T11" s="443"/>
      <c r="U11" s="446"/>
      <c r="W11" s="80" t="s">
        <v>340</v>
      </c>
      <c r="X11" s="81">
        <f>COUNTIFS('1. All Data'!$AD$3:$AD$129,"LEADER",'1. All Data'!$W$3:$W$129,"Completion Date Within Reasonable Tolerance")</f>
        <v>0</v>
      </c>
      <c r="Y11" s="345">
        <f>X11/$X$20</f>
        <v>0</v>
      </c>
      <c r="Z11" s="404"/>
      <c r="AA11" s="345">
        <f>X11/$X$21</f>
        <v>0</v>
      </c>
      <c r="AB11" s="418"/>
    </row>
    <row r="12" spans="2:28" s="23" customFormat="1" ht="6" customHeight="1">
      <c r="B12" s="20"/>
      <c r="C12" s="21"/>
      <c r="D12" s="31"/>
      <c r="E12" s="31"/>
      <c r="F12" s="107"/>
      <c r="G12" s="32"/>
      <c r="I12" s="20"/>
      <c r="J12" s="21"/>
      <c r="K12" s="31"/>
      <c r="L12" s="31"/>
      <c r="M12" s="107"/>
      <c r="N12" s="32"/>
      <c r="P12" s="20"/>
      <c r="Q12" s="21"/>
      <c r="R12" s="31"/>
      <c r="S12" s="31"/>
      <c r="T12" s="107"/>
      <c r="U12" s="32"/>
      <c r="W12" s="20"/>
      <c r="X12" s="21"/>
      <c r="Y12" s="31"/>
      <c r="Z12" s="31"/>
      <c r="AA12" s="31"/>
      <c r="AB12" s="32"/>
    </row>
    <row r="13" spans="2:28" ht="20.25" customHeight="1">
      <c r="B13" s="144" t="s">
        <v>345</v>
      </c>
      <c r="C13" s="141">
        <f>COUNTIFS('1. All Data'!$AD$3:$AD$129,"LEADER",'1. All Data'!$I$3:$I$129,"Completed Behind Schedule")</f>
        <v>0</v>
      </c>
      <c r="D13" s="142">
        <f>C13/C20</f>
        <v>0</v>
      </c>
      <c r="E13" s="431">
        <f>D13+D14</f>
        <v>0</v>
      </c>
      <c r="F13" s="143">
        <f>C13/C21</f>
        <v>0</v>
      </c>
      <c r="G13" s="448">
        <f>F13+F14</f>
        <v>0</v>
      </c>
      <c r="I13" s="144" t="s">
        <v>345</v>
      </c>
      <c r="J13" s="141">
        <f>COUNTIFS('1. All Data'!$AD$3:$AD$129,"LEADER",'1. All Data'!$N$3:$N$129,"Completed Behind Schedule")</f>
        <v>0</v>
      </c>
      <c r="K13" s="142">
        <f>J13/J20</f>
        <v>0</v>
      </c>
      <c r="L13" s="431">
        <f>K13+K14</f>
        <v>0</v>
      </c>
      <c r="M13" s="143">
        <f>J13/J21</f>
        <v>0</v>
      </c>
      <c r="N13" s="448">
        <f>M13+M14</f>
        <v>0</v>
      </c>
      <c r="P13" s="347" t="s">
        <v>345</v>
      </c>
      <c r="Q13" s="141">
        <f>COUNTIFS('1. All Data'!$AD$3:$AD$129,"LEADER",'1. All Data'!$S$3:$S$129,"Completed Behind Schedule")</f>
        <v>0</v>
      </c>
      <c r="R13" s="142">
        <f>Q13/Q20</f>
        <v>0</v>
      </c>
      <c r="S13" s="431">
        <f>R13+R14</f>
        <v>5.8823529411764705E-2</v>
      </c>
      <c r="T13" s="143">
        <f>Q13/Q21</f>
        <v>0</v>
      </c>
      <c r="U13" s="449">
        <f>T13+T14</f>
        <v>5.8823529411764705E-2</v>
      </c>
      <c r="W13" s="63" t="s">
        <v>339</v>
      </c>
      <c r="X13" s="141">
        <f>COUNTIFS('1. All Data'!$AD$3:$AD$129,"LEADER",'1. All Data'!$W$3:$W$129,"Completed Significantly After Target Deadline")</f>
        <v>0</v>
      </c>
      <c r="Y13" s="346">
        <f>X13/X20</f>
        <v>0</v>
      </c>
      <c r="Z13" s="431">
        <f>Y13+Y14</f>
        <v>5.8823529411764705E-2</v>
      </c>
      <c r="AA13" s="345">
        <f>X13/$X$21</f>
        <v>0</v>
      </c>
      <c r="AB13" s="419">
        <f>AA13+AA14</f>
        <v>5.8823529411764705E-2</v>
      </c>
    </row>
    <row r="14" spans="2:28" ht="20.25" customHeight="1">
      <c r="B14" s="144" t="s">
        <v>338</v>
      </c>
      <c r="C14" s="141">
        <f>COUNTIFS('1. All Data'!$AD$3:$AD$129,"LEADER",'1. All Data'!$I$3:$I$129,"Off Target")</f>
        <v>0</v>
      </c>
      <c r="D14" s="142">
        <f>C14/C20</f>
        <v>0</v>
      </c>
      <c r="E14" s="431"/>
      <c r="F14" s="143">
        <f>C14/C21</f>
        <v>0</v>
      </c>
      <c r="G14" s="448"/>
      <c r="I14" s="144" t="s">
        <v>338</v>
      </c>
      <c r="J14" s="141">
        <f>COUNTIFS('1. All Data'!$AD$3:$AD$129,"LEADER",'1. All Data'!$N$3:$N$129,"Off Target")</f>
        <v>0</v>
      </c>
      <c r="K14" s="142">
        <f>J14/J20</f>
        <v>0</v>
      </c>
      <c r="L14" s="431"/>
      <c r="M14" s="143">
        <f>J14/J21</f>
        <v>0</v>
      </c>
      <c r="N14" s="448"/>
      <c r="P14" s="347" t="s">
        <v>338</v>
      </c>
      <c r="Q14" s="141">
        <f>COUNTIFS('1. All Data'!$AD$3:$AD$129,"LEADER",'1. All Data'!$S$3:$S$129,"Off Target")</f>
        <v>1</v>
      </c>
      <c r="R14" s="142">
        <f>Q14/Q20</f>
        <v>5.8823529411764705E-2</v>
      </c>
      <c r="S14" s="431"/>
      <c r="T14" s="143">
        <f>Q14/Q21</f>
        <v>5.8823529411764705E-2</v>
      </c>
      <c r="U14" s="449"/>
      <c r="W14" s="63" t="s">
        <v>338</v>
      </c>
      <c r="X14" s="141">
        <f>COUNTIFS('1. All Data'!$AD$3:$AD$129,"LEADER",'1. All Data'!$S$3:$S$129,"Off Target")</f>
        <v>1</v>
      </c>
      <c r="Y14" s="346">
        <f>X14/X20</f>
        <v>5.8823529411764705E-2</v>
      </c>
      <c r="Z14" s="431"/>
      <c r="AA14" s="345">
        <f>X14/$X$21</f>
        <v>5.8823529411764705E-2</v>
      </c>
      <c r="AB14" s="419"/>
    </row>
    <row r="15" spans="2:28" s="23" customFormat="1" ht="6.75" customHeight="1">
      <c r="B15" s="20"/>
      <c r="C15" s="33"/>
      <c r="D15" s="31"/>
      <c r="E15" s="31"/>
      <c r="F15" s="107"/>
      <c r="G15" s="34"/>
      <c r="I15" s="20"/>
      <c r="J15" s="33"/>
      <c r="K15" s="31"/>
      <c r="L15" s="31"/>
      <c r="M15" s="107"/>
      <c r="N15" s="34"/>
      <c r="P15" s="20"/>
      <c r="Q15" s="33"/>
      <c r="R15" s="31"/>
      <c r="S15" s="31"/>
      <c r="T15" s="107"/>
      <c r="U15" s="34"/>
      <c r="W15" s="20"/>
      <c r="X15" s="33"/>
      <c r="Y15" s="31"/>
      <c r="Z15" s="31"/>
      <c r="AA15" s="31"/>
      <c r="AB15" s="34"/>
    </row>
    <row r="16" spans="2:28" ht="15" customHeight="1">
      <c r="B16" s="147" t="s">
        <v>393</v>
      </c>
      <c r="C16" s="141">
        <f>COUNTIFS('1. All Data'!$AD$3:$AD$129,"LEADER",'1. All Data'!$I$3:$I$129,"Not yet due")</f>
        <v>6</v>
      </c>
      <c r="D16" s="145">
        <f>C16/C20</f>
        <v>0.35294117647058826</v>
      </c>
      <c r="E16" s="145">
        <f>D16</f>
        <v>0.35294117647058826</v>
      </c>
      <c r="F16" s="108"/>
      <c r="G16" s="36"/>
      <c r="I16" s="147" t="s">
        <v>393</v>
      </c>
      <c r="J16" s="141">
        <f>COUNTIFS('1. All Data'!$AD$3:$AD$129,"LEADER",'1. All Data'!$N$3:$N$129,"Not yet due")</f>
        <v>2</v>
      </c>
      <c r="K16" s="145">
        <f>J16/J20</f>
        <v>0.11764705882352941</v>
      </c>
      <c r="L16" s="145">
        <f>K16</f>
        <v>0.11764705882352941</v>
      </c>
      <c r="M16" s="108"/>
      <c r="N16" s="36"/>
      <c r="P16" s="147" t="s">
        <v>393</v>
      </c>
      <c r="Q16" s="141">
        <f>COUNTIFS('1. All Data'!$AD$3:$AD$129,"LEADER",'1. All Data'!$S$3:$S$129,"Not yet due")</f>
        <v>0</v>
      </c>
      <c r="R16" s="145">
        <f>Q16/Q20</f>
        <v>0</v>
      </c>
      <c r="S16" s="145">
        <f>R16</f>
        <v>0</v>
      </c>
      <c r="T16" s="108"/>
      <c r="U16" s="36"/>
      <c r="W16" s="64" t="s">
        <v>393</v>
      </c>
      <c r="X16" s="141">
        <f>COUNTIFS('1. All Data'!$AD$3:$AD$129,"LEADER",'1. All Data'!$W$3:$W$129,"Not yet due")</f>
        <v>0</v>
      </c>
      <c r="Y16" s="145">
        <f>X16/X20</f>
        <v>0</v>
      </c>
      <c r="Z16" s="145">
        <f>Y16</f>
        <v>0</v>
      </c>
      <c r="AA16" s="35"/>
      <c r="AB16" s="36"/>
    </row>
    <row r="17" spans="2:29" ht="15" customHeight="1">
      <c r="B17" s="147" t="s">
        <v>333</v>
      </c>
      <c r="C17" s="141">
        <f>COUNTIFS('1. All Data'!$AD$3:$AD$129,"LEADER",'1. All Data'!$I$3:$I$129,"Update not provided")</f>
        <v>0</v>
      </c>
      <c r="D17" s="145">
        <f>C17/C20</f>
        <v>0</v>
      </c>
      <c r="E17" s="145">
        <f>D17</f>
        <v>0</v>
      </c>
      <c r="F17" s="108"/>
      <c r="G17" s="38"/>
      <c r="I17" s="147" t="s">
        <v>333</v>
      </c>
      <c r="J17" s="141">
        <f>COUNTIFS('1. All Data'!$AD$3:$AD$129,"LEADER",'1. All Data'!$N$3:$N$129,"Update not provided")</f>
        <v>0</v>
      </c>
      <c r="K17" s="145">
        <f>J17/J20</f>
        <v>0</v>
      </c>
      <c r="L17" s="145">
        <f>K17</f>
        <v>0</v>
      </c>
      <c r="M17" s="108"/>
      <c r="N17" s="38"/>
      <c r="P17" s="147" t="s">
        <v>333</v>
      </c>
      <c r="Q17" s="141">
        <f>COUNTIFS('1. All Data'!$AD$3:$AD$129,"LEADER",'1. All Data'!$S$3:$S$129,"Update not provided")</f>
        <v>0</v>
      </c>
      <c r="R17" s="145">
        <f>Q17/Q20</f>
        <v>0</v>
      </c>
      <c r="S17" s="145">
        <f>R17</f>
        <v>0</v>
      </c>
      <c r="T17" s="108"/>
      <c r="U17" s="38"/>
      <c r="W17" s="64" t="s">
        <v>333</v>
      </c>
      <c r="X17" s="141">
        <f>COUNTIFS('1. All Data'!$AD$3:$AD$129,"LEADER",'1. All Data'!$W$3:$W$129,"Update not provided")</f>
        <v>0</v>
      </c>
      <c r="Y17" s="145">
        <f>X17/X20</f>
        <v>0</v>
      </c>
      <c r="Z17" s="145">
        <f>Y17</f>
        <v>0</v>
      </c>
      <c r="AA17" s="35"/>
      <c r="AB17" s="38"/>
    </row>
    <row r="18" spans="2:29" ht="15.75" customHeight="1">
      <c r="B18" s="148" t="s">
        <v>341</v>
      </c>
      <c r="C18" s="141">
        <f>COUNTIFS('1. All Data'!$AD$3:$AD$129,"LEADER",'1. All Data'!$I$3:$I$129,"Deferred")</f>
        <v>0</v>
      </c>
      <c r="D18" s="146">
        <f>C18/C20</f>
        <v>0</v>
      </c>
      <c r="E18" s="146">
        <f>D18</f>
        <v>0</v>
      </c>
      <c r="F18" s="109"/>
      <c r="G18" s="36"/>
      <c r="I18" s="148" t="s">
        <v>341</v>
      </c>
      <c r="J18" s="141">
        <f>COUNTIFS('1. All Data'!$AD$3:$AD$129,"LEADER",'1. All Data'!$N$3:$N$129,"Deferred")</f>
        <v>0</v>
      </c>
      <c r="K18" s="146">
        <f>J18/J20</f>
        <v>0</v>
      </c>
      <c r="L18" s="146">
        <f>K18</f>
        <v>0</v>
      </c>
      <c r="M18" s="109"/>
      <c r="N18" s="36"/>
      <c r="P18" s="148" t="s">
        <v>341</v>
      </c>
      <c r="Q18" s="141">
        <f>COUNTIFS('1. All Data'!$AD$3:$AD$129,"LEADER",'1. All Data'!$S$3:$S$129,"Deferred")</f>
        <v>0</v>
      </c>
      <c r="R18" s="146">
        <f>Q18/Q20</f>
        <v>0</v>
      </c>
      <c r="S18" s="146">
        <f>R18</f>
        <v>0</v>
      </c>
      <c r="T18" s="109"/>
      <c r="U18" s="36"/>
      <c r="W18" s="66" t="s">
        <v>341</v>
      </c>
      <c r="X18" s="141">
        <f>COUNTIFS('1. All Data'!$AD$3:$AD$129,"LEADER",'1. All Data'!$W$3:$W$129,"Deferred")</f>
        <v>0</v>
      </c>
      <c r="Y18" s="146">
        <f>X18/X20</f>
        <v>0</v>
      </c>
      <c r="Z18" s="146">
        <f>Y18</f>
        <v>0</v>
      </c>
      <c r="AA18" s="40"/>
      <c r="AB18" s="36"/>
    </row>
    <row r="19" spans="2:29" ht="15.75" customHeight="1">
      <c r="B19" s="148" t="s">
        <v>342</v>
      </c>
      <c r="C19" s="141">
        <f>COUNTIFS('1. All Data'!$AD$3:$AD$129,"LEADER",'1. All Data'!$I$3:$I$129,"Deleted")</f>
        <v>0</v>
      </c>
      <c r="D19" s="146">
        <f>C19/C20</f>
        <v>0</v>
      </c>
      <c r="E19" s="146">
        <f>D19</f>
        <v>0</v>
      </c>
      <c r="F19" s="109"/>
      <c r="G19" s="110" t="s">
        <v>394</v>
      </c>
      <c r="I19" s="148" t="s">
        <v>342</v>
      </c>
      <c r="J19" s="141">
        <f>COUNTIFS('1. All Data'!$AD$3:$AD$129,"LEADER",'1. All Data'!$N$3:$N$129,"Deleted")</f>
        <v>0</v>
      </c>
      <c r="K19" s="146">
        <f>J19/J20</f>
        <v>0</v>
      </c>
      <c r="L19" s="146">
        <f>K19</f>
        <v>0</v>
      </c>
      <c r="M19" s="109"/>
      <c r="N19" s="110" t="s">
        <v>394</v>
      </c>
      <c r="P19" s="148" t="s">
        <v>342</v>
      </c>
      <c r="Q19" s="141">
        <f>COUNTIFS('1. All Data'!$AD$3:$AD$129,"LEADER",'1. All Data'!$S$3:$S$129,"Deleted")</f>
        <v>0</v>
      </c>
      <c r="R19" s="146">
        <f>Q19/Q20</f>
        <v>0</v>
      </c>
      <c r="S19" s="146">
        <f>R19</f>
        <v>0</v>
      </c>
      <c r="T19" s="109"/>
      <c r="U19" s="110" t="s">
        <v>394</v>
      </c>
      <c r="W19" s="66" t="s">
        <v>342</v>
      </c>
      <c r="X19" s="141">
        <f>COUNTIFS('1. All Data'!$AD$3:$AD$129,"LEADER",'1. All Data'!$W$3:$W$129,"Deleted")</f>
        <v>0</v>
      </c>
      <c r="Y19" s="146">
        <f>X19/X20</f>
        <v>0</v>
      </c>
      <c r="Z19" s="146">
        <f>Y19</f>
        <v>0</v>
      </c>
      <c r="AA19" s="40"/>
      <c r="AB19" s="42" t="s">
        <v>394</v>
      </c>
    </row>
    <row r="20" spans="2:29" ht="15.75" customHeight="1">
      <c r="B20" s="149" t="s">
        <v>395</v>
      </c>
      <c r="C20" s="150">
        <f>SUM(C6:C19)</f>
        <v>17</v>
      </c>
      <c r="D20" s="40"/>
      <c r="E20" s="40"/>
      <c r="F20" s="111"/>
      <c r="G20" s="36"/>
      <c r="I20" s="149" t="s">
        <v>395</v>
      </c>
      <c r="J20" s="150">
        <f>SUM(J6:J19)</f>
        <v>17</v>
      </c>
      <c r="K20" s="40"/>
      <c r="L20" s="40"/>
      <c r="M20" s="111"/>
      <c r="N20" s="36"/>
      <c r="P20" s="149" t="s">
        <v>395</v>
      </c>
      <c r="Q20" s="150">
        <f>SUM(Q6:Q19)</f>
        <v>17</v>
      </c>
      <c r="R20" s="40"/>
      <c r="S20" s="40"/>
      <c r="T20" s="111"/>
      <c r="U20" s="36"/>
      <c r="W20" s="68" t="s">
        <v>395</v>
      </c>
      <c r="X20" s="150">
        <f>SUM(X6:X19)</f>
        <v>17</v>
      </c>
      <c r="Y20" s="40"/>
      <c r="Z20" s="40"/>
      <c r="AA20" s="36"/>
      <c r="AB20" s="36"/>
    </row>
    <row r="21" spans="2:29" ht="15.75" customHeight="1">
      <c r="B21" s="149" t="s">
        <v>396</v>
      </c>
      <c r="C21" s="150">
        <f>C20-C19-C18-C17-C16</f>
        <v>11</v>
      </c>
      <c r="D21" s="36"/>
      <c r="E21" s="36"/>
      <c r="F21" s="111"/>
      <c r="G21" s="36"/>
      <c r="I21" s="149" t="s">
        <v>396</v>
      </c>
      <c r="J21" s="150">
        <f>J20-J19-J18-J17-J16</f>
        <v>15</v>
      </c>
      <c r="K21" s="36"/>
      <c r="L21" s="36"/>
      <c r="M21" s="111"/>
      <c r="N21" s="36"/>
      <c r="P21" s="149" t="s">
        <v>396</v>
      </c>
      <c r="Q21" s="150">
        <f>Q20-Q19-Q18-Q17-Q16</f>
        <v>17</v>
      </c>
      <c r="R21" s="36"/>
      <c r="S21" s="36"/>
      <c r="T21" s="111"/>
      <c r="U21" s="36"/>
      <c r="W21" s="68" t="s">
        <v>396</v>
      </c>
      <c r="X21" s="150">
        <f>X20-X19-X18-X17-X16</f>
        <v>17</v>
      </c>
      <c r="Y21" s="36"/>
      <c r="Z21" s="36"/>
      <c r="AA21" s="36"/>
      <c r="AB21" s="36"/>
    </row>
    <row r="22" spans="2:29" ht="15.75" customHeight="1">
      <c r="W22" s="43"/>
      <c r="AA22" s="37"/>
    </row>
    <row r="23" spans="2:29" ht="15.75" customHeight="1">
      <c r="AA23" s="37"/>
    </row>
    <row r="24" spans="2:29" s="23" customFormat="1" ht="15.75" customHeight="1">
      <c r="B24" s="49"/>
      <c r="C24" s="22"/>
      <c r="D24" s="22"/>
      <c r="E24" s="22"/>
      <c r="F24" s="111"/>
      <c r="G24" s="22"/>
      <c r="I24" s="49"/>
      <c r="J24" s="22"/>
      <c r="K24" s="22"/>
      <c r="L24" s="22"/>
      <c r="M24" s="111"/>
      <c r="N24" s="22"/>
      <c r="P24" s="49"/>
      <c r="Q24" s="22"/>
      <c r="R24" s="22"/>
      <c r="S24" s="22"/>
      <c r="T24" s="111"/>
      <c r="U24" s="22"/>
      <c r="W24" s="22"/>
      <c r="X24" s="22"/>
      <c r="Y24" s="22"/>
      <c r="Z24" s="22"/>
      <c r="AA24" s="161"/>
      <c r="AB24" s="41"/>
    </row>
    <row r="25" spans="2:29" ht="15" customHeight="1">
      <c r="W25" s="163"/>
      <c r="X25" s="36"/>
      <c r="Y25" s="36"/>
      <c r="Z25" s="36"/>
      <c r="AA25" s="36"/>
      <c r="AB25" s="40"/>
      <c r="AC25" s="23"/>
    </row>
    <row r="26" spans="2:29" s="23" customFormat="1" ht="15.75">
      <c r="B26" s="151" t="s">
        <v>422</v>
      </c>
      <c r="C26" s="152"/>
      <c r="D26" s="152"/>
      <c r="E26" s="152"/>
      <c r="F26" s="153"/>
      <c r="G26" s="152"/>
      <c r="I26" s="151" t="s">
        <v>422</v>
      </c>
      <c r="J26" s="152"/>
      <c r="K26" s="152"/>
      <c r="L26" s="152"/>
      <c r="M26" s="153"/>
      <c r="N26" s="152"/>
      <c r="P26" s="151" t="s">
        <v>422</v>
      </c>
      <c r="Q26" s="152"/>
      <c r="R26" s="152"/>
      <c r="S26" s="152"/>
      <c r="T26" s="153"/>
      <c r="U26" s="152"/>
      <c r="W26" s="151" t="s">
        <v>422</v>
      </c>
      <c r="X26" s="152"/>
      <c r="Y26" s="152"/>
      <c r="Z26" s="152"/>
      <c r="AA26" s="153"/>
      <c r="AB26" s="152"/>
    </row>
    <row r="27" spans="2:29" ht="42" customHeight="1">
      <c r="B27" s="154" t="s">
        <v>386</v>
      </c>
      <c r="C27" s="155" t="s">
        <v>387</v>
      </c>
      <c r="D27" s="155" t="s">
        <v>388</v>
      </c>
      <c r="E27" s="155" t="s">
        <v>389</v>
      </c>
      <c r="F27" s="154" t="s">
        <v>390</v>
      </c>
      <c r="G27" s="155" t="s">
        <v>391</v>
      </c>
      <c r="I27" s="154" t="s">
        <v>386</v>
      </c>
      <c r="J27" s="155" t="s">
        <v>387</v>
      </c>
      <c r="K27" s="155" t="s">
        <v>388</v>
      </c>
      <c r="L27" s="155" t="s">
        <v>389</v>
      </c>
      <c r="M27" s="154" t="s">
        <v>390</v>
      </c>
      <c r="N27" s="155" t="s">
        <v>391</v>
      </c>
      <c r="P27" s="154" t="s">
        <v>386</v>
      </c>
      <c r="Q27" s="155" t="s">
        <v>387</v>
      </c>
      <c r="R27" s="155" t="s">
        <v>388</v>
      </c>
      <c r="S27" s="155" t="s">
        <v>389</v>
      </c>
      <c r="T27" s="154" t="s">
        <v>390</v>
      </c>
      <c r="U27" s="155" t="s">
        <v>391</v>
      </c>
      <c r="W27" s="73" t="s">
        <v>386</v>
      </c>
      <c r="X27" s="73" t="s">
        <v>387</v>
      </c>
      <c r="Y27" s="73" t="s">
        <v>388</v>
      </c>
      <c r="Z27" s="73" t="s">
        <v>389</v>
      </c>
      <c r="AA27" s="73" t="s">
        <v>390</v>
      </c>
      <c r="AB27" s="73" t="s">
        <v>391</v>
      </c>
      <c r="AC27" s="23"/>
    </row>
    <row r="28" spans="2:29" s="23" customFormat="1" ht="6" customHeight="1">
      <c r="B28" s="20"/>
      <c r="C28" s="21"/>
      <c r="D28" s="21"/>
      <c r="E28" s="21"/>
      <c r="F28" s="20"/>
      <c r="G28" s="21"/>
      <c r="I28" s="20"/>
      <c r="J28" s="21"/>
      <c r="K28" s="21"/>
      <c r="L28" s="21"/>
      <c r="M28" s="20"/>
      <c r="N28" s="21"/>
      <c r="P28" s="20"/>
      <c r="Q28" s="21"/>
      <c r="R28" s="21"/>
      <c r="S28" s="21"/>
      <c r="T28" s="20"/>
      <c r="U28" s="21"/>
      <c r="W28" s="20"/>
      <c r="X28" s="21"/>
      <c r="Y28" s="21"/>
      <c r="Z28" s="21"/>
      <c r="AA28" s="21"/>
      <c r="AB28" s="21"/>
    </row>
    <row r="29" spans="2:29" ht="21.75" customHeight="1">
      <c r="B29" s="140" t="s">
        <v>392</v>
      </c>
      <c r="C29" s="141">
        <f>COUNTIFS('1. All Data'!$AD$3:$AD$129,"Environment &amp; Housing",'1. All Data'!$I$3:$I$129,"Fully Achieved")</f>
        <v>3</v>
      </c>
      <c r="D29" s="142">
        <f>C29/C43</f>
        <v>9.0909090909090912E-2</v>
      </c>
      <c r="E29" s="431">
        <f>D29+D30</f>
        <v>0.60606060606060608</v>
      </c>
      <c r="F29" s="143">
        <f>C29/C44</f>
        <v>0.13636363636363635</v>
      </c>
      <c r="G29" s="447">
        <f>F29+F30</f>
        <v>0.90909090909090906</v>
      </c>
      <c r="I29" s="140" t="s">
        <v>392</v>
      </c>
      <c r="J29" s="141">
        <f>COUNTIFS('1. All Data'!$AD$3:$AD$129,"Environment &amp; Housing",'1. All Data'!$N$3:$N$129,"Fully Achieved")</f>
        <v>7</v>
      </c>
      <c r="K29" s="142">
        <f>J29/J43</f>
        <v>0.21212121212121213</v>
      </c>
      <c r="L29" s="431">
        <f>K29+K30</f>
        <v>0.87878787878787878</v>
      </c>
      <c r="M29" s="143">
        <f>J29/J44</f>
        <v>0.23333333333333334</v>
      </c>
      <c r="N29" s="447">
        <f>M29+M30</f>
        <v>0.96666666666666656</v>
      </c>
      <c r="P29" s="140" t="s">
        <v>392</v>
      </c>
      <c r="Q29" s="141">
        <f>COUNTIFS('1. All Data'!$AD$3:$AD$129,"Environment &amp; Housing",'1. All Data'!$S$3:$S$129,"Fully Achieved")</f>
        <v>10</v>
      </c>
      <c r="R29" s="142">
        <f>Q29/Q43</f>
        <v>0.30303030303030304</v>
      </c>
      <c r="S29" s="431">
        <f>R29+R30</f>
        <v>0.8787878787878789</v>
      </c>
      <c r="T29" s="143">
        <f>Q29/Q44</f>
        <v>0.33333333333333331</v>
      </c>
      <c r="U29" s="447">
        <f>T29+T30</f>
        <v>0.96666666666666656</v>
      </c>
      <c r="W29" s="59" t="s">
        <v>392</v>
      </c>
      <c r="X29" s="141">
        <f>COUNTIFS('1. All Data'!$AD$3:$AD$129,"Environment &amp; Housing",'1. All Data'!$W$3:$W$129,"Fully Achieved")</f>
        <v>26</v>
      </c>
      <c r="Y29" s="346">
        <f>X29/X43</f>
        <v>0.78787878787878785</v>
      </c>
      <c r="Z29" s="431">
        <f>Y29+Y30</f>
        <v>0.90909090909090906</v>
      </c>
      <c r="AA29" s="389">
        <f>X29/X44</f>
        <v>0.78787878787878785</v>
      </c>
      <c r="AB29" s="405">
        <f>AA29+AA30</f>
        <v>0.90909090909090906</v>
      </c>
      <c r="AC29" s="23"/>
    </row>
    <row r="30" spans="2:29" ht="18.75" customHeight="1">
      <c r="B30" s="140" t="s">
        <v>343</v>
      </c>
      <c r="C30" s="141">
        <f>COUNTIFS('1. All Data'!$AD$3:$AD$129,"Environment &amp; Housing",'1. All Data'!$I$3:$I$129,"On Track to be Achieved")</f>
        <v>17</v>
      </c>
      <c r="D30" s="142">
        <f>C30/C43</f>
        <v>0.51515151515151514</v>
      </c>
      <c r="E30" s="431"/>
      <c r="F30" s="143">
        <f>C30/C44</f>
        <v>0.77272727272727271</v>
      </c>
      <c r="G30" s="447"/>
      <c r="I30" s="140" t="s">
        <v>343</v>
      </c>
      <c r="J30" s="141">
        <f>COUNTIFS('1. All Data'!$AD$3:$AD$129,"Environment &amp; Housing",'1. All Data'!$N$3:$N$129,"On Track to be Achieved")</f>
        <v>22</v>
      </c>
      <c r="K30" s="142">
        <f>J30/J43</f>
        <v>0.66666666666666663</v>
      </c>
      <c r="L30" s="431"/>
      <c r="M30" s="143">
        <f>J30/J44</f>
        <v>0.73333333333333328</v>
      </c>
      <c r="N30" s="447"/>
      <c r="P30" s="140" t="s">
        <v>343</v>
      </c>
      <c r="Q30" s="141">
        <f>COUNTIFS('1. All Data'!$AD$3:$AD$129,"Environment &amp; Housing",'1. All Data'!$S$3:$S$129,"On Track to be Achieved")</f>
        <v>19</v>
      </c>
      <c r="R30" s="142">
        <f>Q30/Q43</f>
        <v>0.5757575757575758</v>
      </c>
      <c r="S30" s="431"/>
      <c r="T30" s="143">
        <f>Q30/Q44</f>
        <v>0.6333333333333333</v>
      </c>
      <c r="U30" s="447"/>
      <c r="W30" s="59" t="s">
        <v>335</v>
      </c>
      <c r="X30" s="141">
        <f>COUNTIFS('1. All Data'!$AD$3:$AD$129,"Environment &amp; Housing",'1. All Data'!$W$3:$W$129,"Numerical Outturn Within 5% Tolerance")</f>
        <v>4</v>
      </c>
      <c r="Y30" s="346">
        <f>X30/X43</f>
        <v>0.12121212121212122</v>
      </c>
      <c r="Z30" s="431"/>
      <c r="AA30" s="389">
        <f>X30/X44</f>
        <v>0.12121212121212122</v>
      </c>
      <c r="AB30" s="405"/>
      <c r="AC30" s="23"/>
    </row>
    <row r="31" spans="2:29" s="23" customFormat="1" ht="6" customHeight="1">
      <c r="B31" s="20"/>
      <c r="C31" s="33"/>
      <c r="D31" s="31"/>
      <c r="E31" s="31"/>
      <c r="F31" s="107"/>
      <c r="G31" s="32"/>
      <c r="I31" s="20"/>
      <c r="J31" s="33"/>
      <c r="K31" s="31"/>
      <c r="L31" s="31"/>
      <c r="M31" s="107"/>
      <c r="N31" s="32"/>
      <c r="P31" s="20"/>
      <c r="Q31" s="33"/>
      <c r="R31" s="31"/>
      <c r="S31" s="31"/>
      <c r="T31" s="107"/>
      <c r="U31" s="32"/>
      <c r="W31" s="24"/>
      <c r="X31" s="25"/>
      <c r="Y31" s="26"/>
      <c r="Z31" s="26"/>
      <c r="AA31" s="26"/>
      <c r="AB31" s="27"/>
    </row>
    <row r="32" spans="2:29" ht="21" customHeight="1">
      <c r="B32" s="432" t="s">
        <v>344</v>
      </c>
      <c r="C32" s="435">
        <f>COUNTIFS('1. All Data'!$AD$3:$AD$129,"Environment &amp; Housing",'1. All Data'!$I$3:$I$129,"In Danger of Falling Behind Target")</f>
        <v>2</v>
      </c>
      <c r="D32" s="438">
        <f>C32/C43</f>
        <v>6.0606060606060608E-2</v>
      </c>
      <c r="E32" s="438">
        <f>D32</f>
        <v>6.0606060606060608E-2</v>
      </c>
      <c r="F32" s="441">
        <f>C32/C44</f>
        <v>9.0909090909090912E-2</v>
      </c>
      <c r="G32" s="444">
        <f>F32</f>
        <v>9.0909090909090912E-2</v>
      </c>
      <c r="I32" s="432" t="s">
        <v>344</v>
      </c>
      <c r="J32" s="435">
        <f>COUNTIFS('1. All Data'!$AD$3:$AD$129,"Environment &amp; Housing",'1. All Data'!$N$3:$N$129,"In Danger of Falling Behind Target")</f>
        <v>1</v>
      </c>
      <c r="K32" s="438">
        <f>J32/J43</f>
        <v>3.0303030303030304E-2</v>
      </c>
      <c r="L32" s="438">
        <f>K32</f>
        <v>3.0303030303030304E-2</v>
      </c>
      <c r="M32" s="441">
        <f>J32/J44</f>
        <v>3.3333333333333333E-2</v>
      </c>
      <c r="N32" s="444">
        <f>M32</f>
        <v>3.3333333333333333E-2</v>
      </c>
      <c r="P32" s="432" t="s">
        <v>344</v>
      </c>
      <c r="Q32" s="435">
        <f>COUNTIFS('1. All Data'!$AD$3:$AD$129,"Environment &amp; Housing",'1. All Data'!$S$3:$S$129,"In Danger of Falling Behind Target")</f>
        <v>0</v>
      </c>
      <c r="R32" s="438">
        <f>Q32/Q43</f>
        <v>0</v>
      </c>
      <c r="S32" s="438">
        <f>R32</f>
        <v>0</v>
      </c>
      <c r="T32" s="441">
        <f>Q32/Q44</f>
        <v>0</v>
      </c>
      <c r="U32" s="444">
        <f>T32</f>
        <v>0</v>
      </c>
      <c r="W32" s="80" t="s">
        <v>336</v>
      </c>
      <c r="X32" s="81">
        <f>COUNTIFS('1. All Data'!$AD$3:$AD$129,"Environment &amp; Housing",'1. All Data'!$W$3:$W$129,"Numerical Outturn Within 10% Tolerance")</f>
        <v>1</v>
      </c>
      <c r="Y32" s="345">
        <f>X32/X43</f>
        <v>3.0303030303030304E-2</v>
      </c>
      <c r="Z32" s="404">
        <f>SUM(Y32:Y34)</f>
        <v>3.0303030303030304E-2</v>
      </c>
      <c r="AA32" s="388">
        <f>X32/X44</f>
        <v>3.0303030303030304E-2</v>
      </c>
      <c r="AB32" s="418">
        <f>SUM(AA32:AA34)</f>
        <v>3.0303030303030304E-2</v>
      </c>
      <c r="AC32" s="23"/>
    </row>
    <row r="33" spans="2:29" ht="20.25" customHeight="1">
      <c r="B33" s="433"/>
      <c r="C33" s="436"/>
      <c r="D33" s="439"/>
      <c r="E33" s="439"/>
      <c r="F33" s="442"/>
      <c r="G33" s="445"/>
      <c r="I33" s="433"/>
      <c r="J33" s="436"/>
      <c r="K33" s="439"/>
      <c r="L33" s="439"/>
      <c r="M33" s="442"/>
      <c r="N33" s="445"/>
      <c r="P33" s="433"/>
      <c r="Q33" s="436"/>
      <c r="R33" s="439"/>
      <c r="S33" s="439"/>
      <c r="T33" s="442"/>
      <c r="U33" s="445"/>
      <c r="W33" s="80" t="s">
        <v>337</v>
      </c>
      <c r="X33" s="81">
        <f>COUNTIFS('1. All Data'!$AD$3:$AD$129,"Environment &amp; Housing",'1. All Data'!$W$3:$W$129,"Target Partially Met")</f>
        <v>0</v>
      </c>
      <c r="Y33" s="345">
        <f>X33/X43</f>
        <v>0</v>
      </c>
      <c r="Z33" s="404"/>
      <c r="AA33" s="388">
        <f>X33/X44</f>
        <v>0</v>
      </c>
      <c r="AB33" s="418"/>
      <c r="AC33" s="23"/>
    </row>
    <row r="34" spans="2:29" ht="15.75" customHeight="1">
      <c r="B34" s="434"/>
      <c r="C34" s="437"/>
      <c r="D34" s="440"/>
      <c r="E34" s="440"/>
      <c r="F34" s="443"/>
      <c r="G34" s="446"/>
      <c r="I34" s="434"/>
      <c r="J34" s="437"/>
      <c r="K34" s="440"/>
      <c r="L34" s="440"/>
      <c r="M34" s="443"/>
      <c r="N34" s="446"/>
      <c r="P34" s="434"/>
      <c r="Q34" s="437"/>
      <c r="R34" s="440"/>
      <c r="S34" s="440"/>
      <c r="T34" s="443"/>
      <c r="U34" s="446"/>
      <c r="W34" s="80" t="s">
        <v>340</v>
      </c>
      <c r="X34" s="81">
        <f>COUNTIFS('1. All Data'!$AD$3:$AD$129,"Environment &amp; Housing",'1. All Data'!$W$3:$W$129,"Completion Date Within Reasonable Tolerance")</f>
        <v>0</v>
      </c>
      <c r="Y34" s="345">
        <f>X34/X43</f>
        <v>0</v>
      </c>
      <c r="Z34" s="404"/>
      <c r="AA34" s="388">
        <f>X34/X44</f>
        <v>0</v>
      </c>
      <c r="AB34" s="418"/>
      <c r="AC34" s="23"/>
    </row>
    <row r="35" spans="2:29" s="23" customFormat="1" ht="6" customHeight="1">
      <c r="B35" s="20"/>
      <c r="C35" s="21"/>
      <c r="D35" s="31"/>
      <c r="E35" s="31"/>
      <c r="F35" s="107"/>
      <c r="G35" s="32"/>
      <c r="I35" s="20"/>
      <c r="J35" s="21"/>
      <c r="K35" s="31"/>
      <c r="L35" s="31"/>
      <c r="M35" s="107"/>
      <c r="N35" s="32"/>
      <c r="P35" s="20"/>
      <c r="Q35" s="21"/>
      <c r="R35" s="31"/>
      <c r="S35" s="31"/>
      <c r="T35" s="107"/>
      <c r="U35" s="32"/>
      <c r="W35" s="20"/>
      <c r="X35" s="21"/>
      <c r="Y35" s="31"/>
      <c r="Z35" s="31"/>
      <c r="AA35" s="31"/>
      <c r="AB35" s="32"/>
    </row>
    <row r="36" spans="2:29" ht="20.25" customHeight="1">
      <c r="B36" s="144" t="s">
        <v>345</v>
      </c>
      <c r="C36" s="141">
        <f>COUNTIFS('1. All Data'!$AD$3:$AD$129,"Environment &amp; Housing",'1. All Data'!$I$3:$I$129,"Completed Behind Schedule")</f>
        <v>0</v>
      </c>
      <c r="D36" s="142">
        <f>C36/C43</f>
        <v>0</v>
      </c>
      <c r="E36" s="431">
        <f>D36+D37</f>
        <v>0</v>
      </c>
      <c r="F36" s="143">
        <f>C36/C44</f>
        <v>0</v>
      </c>
      <c r="G36" s="448">
        <f>F36+F37</f>
        <v>0</v>
      </c>
      <c r="I36" s="144" t="s">
        <v>345</v>
      </c>
      <c r="J36" s="141">
        <f>COUNTIFS('1. All Data'!$AD$3:$AD$129,"Environment &amp; Housing",'1. All Data'!$N$3:$N$129,"Completed Behind Schedule")</f>
        <v>0</v>
      </c>
      <c r="K36" s="142">
        <f>J36/J43</f>
        <v>0</v>
      </c>
      <c r="L36" s="431">
        <f>K36+K37</f>
        <v>0</v>
      </c>
      <c r="M36" s="143">
        <f>J36/J44</f>
        <v>0</v>
      </c>
      <c r="N36" s="448">
        <f>M36+M37</f>
        <v>0</v>
      </c>
      <c r="P36" s="144" t="s">
        <v>345</v>
      </c>
      <c r="Q36" s="141">
        <f>COUNTIFS('1. All Data'!$AD$3:$AD$129,"Environment &amp; Housing",'1. All Data'!$S$3:$S$129,"Completed Behind Schedule")</f>
        <v>0</v>
      </c>
      <c r="R36" s="142">
        <f>Q36/Q43</f>
        <v>0</v>
      </c>
      <c r="S36" s="431">
        <f>R36+R37</f>
        <v>3.0303030303030304E-2</v>
      </c>
      <c r="T36" s="143">
        <f>Q36/Q44</f>
        <v>0</v>
      </c>
      <c r="U36" s="448">
        <f>T36+T37</f>
        <v>3.3333333333333333E-2</v>
      </c>
      <c r="W36" s="63" t="s">
        <v>339</v>
      </c>
      <c r="X36" s="141">
        <f>COUNTIFS('1. All Data'!$AD$3:$AD$129,"Environment &amp; Housing",'1. All Data'!$W$3:$W$129,"Completed Significantly After Target Deadline")</f>
        <v>0</v>
      </c>
      <c r="Y36" s="346">
        <f>X36/X43</f>
        <v>0</v>
      </c>
      <c r="Z36" s="431">
        <f>Y36+Y37</f>
        <v>6.0606060606060608E-2</v>
      </c>
      <c r="AA36" s="389">
        <f>X36/X44</f>
        <v>0</v>
      </c>
      <c r="AB36" s="419">
        <f>AA36+AA37</f>
        <v>6.0606060606060608E-2</v>
      </c>
      <c r="AC36" s="23"/>
    </row>
    <row r="37" spans="2:29" ht="20.25" customHeight="1">
      <c r="B37" s="144" t="s">
        <v>338</v>
      </c>
      <c r="C37" s="141">
        <f>COUNTIFS('1. All Data'!$AD$3:$AD$129,"Environment &amp; Housing",'1. All Data'!$I$3:$I$129,"Off Target")</f>
        <v>0</v>
      </c>
      <c r="D37" s="142">
        <f>C37/C43</f>
        <v>0</v>
      </c>
      <c r="E37" s="431"/>
      <c r="F37" s="143">
        <f>C37/C44</f>
        <v>0</v>
      </c>
      <c r="G37" s="448"/>
      <c r="I37" s="144" t="s">
        <v>338</v>
      </c>
      <c r="J37" s="141">
        <f>COUNTIFS('1. All Data'!$AD$3:$AD$129,"Environment &amp; Housing",'1. All Data'!$N$3:$N$129,"Off Target")</f>
        <v>0</v>
      </c>
      <c r="K37" s="142">
        <f>J37/J43</f>
        <v>0</v>
      </c>
      <c r="L37" s="431"/>
      <c r="M37" s="143">
        <f>J37/J44</f>
        <v>0</v>
      </c>
      <c r="N37" s="448"/>
      <c r="P37" s="144" t="s">
        <v>338</v>
      </c>
      <c r="Q37" s="141">
        <f>COUNTIFS('1. All Data'!$AD$3:$AD$129,"Environment &amp; Housing",'1. All Data'!$S$3:$S$129,"Off Target")</f>
        <v>1</v>
      </c>
      <c r="R37" s="142">
        <f>Q37/Q43</f>
        <v>3.0303030303030304E-2</v>
      </c>
      <c r="S37" s="431"/>
      <c r="T37" s="143">
        <f>Q37/Q44</f>
        <v>3.3333333333333333E-2</v>
      </c>
      <c r="U37" s="448"/>
      <c r="W37" s="63" t="s">
        <v>338</v>
      </c>
      <c r="X37" s="141">
        <f>COUNTIFS('1. All Data'!$AD$3:$AD$129,"Environment &amp; Housing",'1. All Data'!$W$3:$W$129,"Off Target")</f>
        <v>2</v>
      </c>
      <c r="Y37" s="346">
        <f>X37/X43</f>
        <v>6.0606060606060608E-2</v>
      </c>
      <c r="Z37" s="431"/>
      <c r="AA37" s="389">
        <f>X37/X44</f>
        <v>6.0606060606060608E-2</v>
      </c>
      <c r="AB37" s="419"/>
      <c r="AC37" s="23"/>
    </row>
    <row r="38" spans="2:29" s="23" customFormat="1" ht="6.75" customHeight="1">
      <c r="B38" s="20"/>
      <c r="C38" s="33"/>
      <c r="D38" s="31"/>
      <c r="E38" s="31"/>
      <c r="F38" s="107"/>
      <c r="G38" s="34"/>
      <c r="I38" s="20"/>
      <c r="J38" s="33"/>
      <c r="K38" s="31"/>
      <c r="L38" s="31"/>
      <c r="M38" s="107"/>
      <c r="N38" s="34"/>
      <c r="P38" s="20"/>
      <c r="Q38" s="33"/>
      <c r="R38" s="31"/>
      <c r="S38" s="31"/>
      <c r="T38" s="107"/>
      <c r="U38" s="34"/>
      <c r="W38" s="20"/>
      <c r="X38" s="33"/>
      <c r="Y38" s="31"/>
      <c r="Z38" s="31"/>
      <c r="AA38" s="31"/>
      <c r="AB38" s="34"/>
    </row>
    <row r="39" spans="2:29" ht="15" customHeight="1">
      <c r="B39" s="147" t="s">
        <v>393</v>
      </c>
      <c r="C39" s="141">
        <f>COUNTIFS('1. All Data'!$AD$3:$AD$129,"Environment &amp; Housing",'1. All Data'!$I$3:$I$129,"Not yet due")</f>
        <v>11</v>
      </c>
      <c r="D39" s="145">
        <f>C39/C43</f>
        <v>0.33333333333333331</v>
      </c>
      <c r="E39" s="145">
        <f>D39</f>
        <v>0.33333333333333331</v>
      </c>
      <c r="F39" s="108"/>
      <c r="G39" s="36"/>
      <c r="I39" s="147" t="s">
        <v>393</v>
      </c>
      <c r="J39" s="141">
        <f>COUNTIFS('1. All Data'!$AD$3:$AD$129,"Environment &amp; Housing",'1. All Data'!$N$3:$N$129,"Not yet due")</f>
        <v>3</v>
      </c>
      <c r="K39" s="145">
        <f>J39/J43</f>
        <v>9.0909090909090912E-2</v>
      </c>
      <c r="L39" s="145">
        <f>K39</f>
        <v>9.0909090909090912E-2</v>
      </c>
      <c r="M39" s="108"/>
      <c r="N39" s="36"/>
      <c r="P39" s="147" t="s">
        <v>393</v>
      </c>
      <c r="Q39" s="141">
        <f>COUNTIFS('1. All Data'!$AD$3:$AD$129,"Environment &amp; Housing",'1. All Data'!$S$3:$S$129,"Not yet due")</f>
        <v>3</v>
      </c>
      <c r="R39" s="145">
        <f>Q39/Q43</f>
        <v>9.0909090909090912E-2</v>
      </c>
      <c r="S39" s="145">
        <f>R39</f>
        <v>9.0909090909090912E-2</v>
      </c>
      <c r="T39" s="108"/>
      <c r="U39" s="36"/>
      <c r="W39" s="64" t="s">
        <v>393</v>
      </c>
      <c r="X39" s="141">
        <f>COUNTIFS('1. All Data'!$AD$3:$AD$129,"Environment &amp; Housing",'1. All Data'!$W$3:$W$129,"Not yet due")</f>
        <v>0</v>
      </c>
      <c r="Y39" s="145">
        <f>X39/X43</f>
        <v>0</v>
      </c>
      <c r="Z39" s="145">
        <f>Y39</f>
        <v>0</v>
      </c>
      <c r="AA39" s="35"/>
      <c r="AB39" s="36"/>
      <c r="AC39" s="23"/>
    </row>
    <row r="40" spans="2:29" ht="15" customHeight="1">
      <c r="B40" s="147" t="s">
        <v>333</v>
      </c>
      <c r="C40" s="141">
        <f>COUNTIFS('1. All Data'!$AD$3:$AD$129,"Environment &amp; Housing",'1. All Data'!$I$3:$I$129,"Update not provided")</f>
        <v>0</v>
      </c>
      <c r="D40" s="145">
        <f>C40/C43</f>
        <v>0</v>
      </c>
      <c r="E40" s="145">
        <f>D40</f>
        <v>0</v>
      </c>
      <c r="F40" s="108"/>
      <c r="G40" s="38"/>
      <c r="I40" s="147" t="s">
        <v>333</v>
      </c>
      <c r="J40" s="141">
        <f>COUNTIFS('1. All Data'!$AD$3:$AD$129,"Environment &amp; Housing",'1. All Data'!$N$3:$N$129,"Update not provided")</f>
        <v>0</v>
      </c>
      <c r="K40" s="145">
        <f>J40/J43</f>
        <v>0</v>
      </c>
      <c r="L40" s="145">
        <f>K40</f>
        <v>0</v>
      </c>
      <c r="M40" s="108"/>
      <c r="N40" s="38"/>
      <c r="P40" s="147" t="s">
        <v>333</v>
      </c>
      <c r="Q40" s="141">
        <f>COUNTIFS('1. All Data'!$AD$3:$AD$129,"Environment &amp; Housing",'1. All Data'!$S$3:$S$129,"Update not provided")</f>
        <v>0</v>
      </c>
      <c r="R40" s="145">
        <f>Q40/Q43</f>
        <v>0</v>
      </c>
      <c r="S40" s="145">
        <f>R40</f>
        <v>0</v>
      </c>
      <c r="T40" s="108"/>
      <c r="U40" s="38"/>
      <c r="W40" s="64" t="s">
        <v>333</v>
      </c>
      <c r="X40" s="141">
        <f>COUNTIFS('1. All Data'!$AD$3:$AD$129,"Environment &amp; Housing",'1. All Data'!$W$3:$W$129,"Update not provided")</f>
        <v>0</v>
      </c>
      <c r="Y40" s="145">
        <f>X40/X43</f>
        <v>0</v>
      </c>
      <c r="Z40" s="145">
        <f>Y40</f>
        <v>0</v>
      </c>
      <c r="AA40" s="35"/>
      <c r="AB40" s="38"/>
      <c r="AC40" s="23"/>
    </row>
    <row r="41" spans="2:29" ht="15.75" customHeight="1">
      <c r="B41" s="148" t="s">
        <v>341</v>
      </c>
      <c r="C41" s="141">
        <f>COUNTIFS('1. All Data'!$AD$3:$AD$129,"Environment &amp; Housing",'1. All Data'!$I$3:$I$129,"Deferred")</f>
        <v>0</v>
      </c>
      <c r="D41" s="146">
        <f>C41/C43</f>
        <v>0</v>
      </c>
      <c r="E41" s="146">
        <f>D41</f>
        <v>0</v>
      </c>
      <c r="F41" s="109"/>
      <c r="G41" s="36"/>
      <c r="I41" s="148" t="s">
        <v>341</v>
      </c>
      <c r="J41" s="141">
        <f>COUNTIFS('1. All Data'!$AD$3:$AD$129,"Environment &amp; Housing",'1. All Data'!$N$3:$N$129,"Deferred")</f>
        <v>0</v>
      </c>
      <c r="K41" s="146">
        <f>J41/J43</f>
        <v>0</v>
      </c>
      <c r="L41" s="146">
        <f>K41</f>
        <v>0</v>
      </c>
      <c r="M41" s="109"/>
      <c r="N41" s="36"/>
      <c r="P41" s="148" t="s">
        <v>341</v>
      </c>
      <c r="Q41" s="141">
        <f>COUNTIFS('1. All Data'!$AD$3:$AD$129,"Environment &amp; Housing",'1. All Data'!$S$3:$S$129,"Deferred")</f>
        <v>0</v>
      </c>
      <c r="R41" s="146">
        <f>Q41/Q43</f>
        <v>0</v>
      </c>
      <c r="S41" s="146">
        <f>R41</f>
        <v>0</v>
      </c>
      <c r="T41" s="109"/>
      <c r="U41" s="36"/>
      <c r="W41" s="66" t="s">
        <v>341</v>
      </c>
      <c r="X41" s="141">
        <f>COUNTIFS('1. All Data'!$AD$3:$AD$129,"Environment &amp; Housing",'1. All Data'!$W$3:$W$129,"Deferred")</f>
        <v>0</v>
      </c>
      <c r="Y41" s="146">
        <f>X41/X43</f>
        <v>0</v>
      </c>
      <c r="Z41" s="146">
        <f>Y41</f>
        <v>0</v>
      </c>
      <c r="AA41" s="40"/>
      <c r="AB41" s="36"/>
      <c r="AC41" s="23"/>
    </row>
    <row r="42" spans="2:29" ht="15.75" customHeight="1">
      <c r="B42" s="148" t="s">
        <v>342</v>
      </c>
      <c r="C42" s="141">
        <f>COUNTIFS('1. All Data'!$AD$3:$AD$129,"Environment &amp; Housing",'1. All Data'!$I$3:$I$129,"Deleted")</f>
        <v>0</v>
      </c>
      <c r="D42" s="146">
        <f>C42/C43</f>
        <v>0</v>
      </c>
      <c r="E42" s="146">
        <f>D42</f>
        <v>0</v>
      </c>
      <c r="F42" s="109"/>
      <c r="G42" s="110" t="s">
        <v>394</v>
      </c>
      <c r="I42" s="148" t="s">
        <v>342</v>
      </c>
      <c r="J42" s="141">
        <f>COUNTIFS('1. All Data'!$AD$3:$AD$129,"Environment &amp; Housing",'1. All Data'!$N$3:$N$129,"Deleted")</f>
        <v>0</v>
      </c>
      <c r="K42" s="146">
        <f>J42/J43</f>
        <v>0</v>
      </c>
      <c r="L42" s="146">
        <f>K42</f>
        <v>0</v>
      </c>
      <c r="M42" s="109"/>
      <c r="N42" s="110" t="s">
        <v>394</v>
      </c>
      <c r="P42" s="148" t="s">
        <v>342</v>
      </c>
      <c r="Q42" s="141">
        <f>COUNTIFS('1. All Data'!$AD$3:$AD$129,"Environment &amp; Housing",'1. All Data'!$S$3:$S$129,"Deleted")</f>
        <v>0</v>
      </c>
      <c r="R42" s="146">
        <f>Q42/Q43</f>
        <v>0</v>
      </c>
      <c r="S42" s="146">
        <f>R42</f>
        <v>0</v>
      </c>
      <c r="T42" s="109"/>
      <c r="U42" s="110" t="s">
        <v>394</v>
      </c>
      <c r="W42" s="66" t="s">
        <v>342</v>
      </c>
      <c r="X42" s="141">
        <f>COUNTIFS('1. All Data'!$AD$3:$AD$129,"Environment &amp; Housing",'1. All Data'!$W$3:$W$129,"Deleted")</f>
        <v>0</v>
      </c>
      <c r="Y42" s="146">
        <f>X42/X43</f>
        <v>0</v>
      </c>
      <c r="Z42" s="146">
        <f>Y42</f>
        <v>0</v>
      </c>
      <c r="AA42" s="40"/>
      <c r="AB42" s="42" t="s">
        <v>394</v>
      </c>
      <c r="AC42" s="23"/>
    </row>
    <row r="43" spans="2:29" ht="15.75" customHeight="1">
      <c r="B43" s="149" t="s">
        <v>395</v>
      </c>
      <c r="C43" s="150">
        <f>SUM(C29:C42)</f>
        <v>33</v>
      </c>
      <c r="D43" s="40"/>
      <c r="E43" s="40"/>
      <c r="F43" s="111"/>
      <c r="G43" s="36"/>
      <c r="I43" s="149" t="s">
        <v>395</v>
      </c>
      <c r="J43" s="150">
        <f>SUM(J29:J42)</f>
        <v>33</v>
      </c>
      <c r="K43" s="40"/>
      <c r="L43" s="40"/>
      <c r="M43" s="111"/>
      <c r="N43" s="36"/>
      <c r="P43" s="149" t="s">
        <v>395</v>
      </c>
      <c r="Q43" s="150">
        <f>SUM(Q29:Q42)</f>
        <v>33</v>
      </c>
      <c r="R43" s="40"/>
      <c r="S43" s="40"/>
      <c r="T43" s="111"/>
      <c r="U43" s="36"/>
      <c r="W43" s="68" t="s">
        <v>395</v>
      </c>
      <c r="X43" s="150">
        <f>SUM(X29:X42)</f>
        <v>33</v>
      </c>
      <c r="Y43" s="40"/>
      <c r="Z43" s="40"/>
      <c r="AA43" s="36"/>
      <c r="AB43" s="36"/>
      <c r="AC43" s="23"/>
    </row>
    <row r="44" spans="2:29" ht="15.75" customHeight="1">
      <c r="B44" s="149" t="s">
        <v>396</v>
      </c>
      <c r="C44" s="150">
        <f>C43-C42-C41-C40-C39</f>
        <v>22</v>
      </c>
      <c r="D44" s="36"/>
      <c r="E44" s="36"/>
      <c r="F44" s="111"/>
      <c r="G44" s="36"/>
      <c r="I44" s="149" t="s">
        <v>396</v>
      </c>
      <c r="J44" s="150">
        <f>J43-J42-J41-J40-J39</f>
        <v>30</v>
      </c>
      <c r="K44" s="36"/>
      <c r="L44" s="36"/>
      <c r="M44" s="111"/>
      <c r="N44" s="36"/>
      <c r="P44" s="149" t="s">
        <v>396</v>
      </c>
      <c r="Q44" s="150">
        <f>Q43-Q42-Q41-Q40-Q39</f>
        <v>30</v>
      </c>
      <c r="R44" s="36"/>
      <c r="S44" s="36"/>
      <c r="T44" s="111"/>
      <c r="U44" s="36"/>
      <c r="W44" s="68" t="s">
        <v>396</v>
      </c>
      <c r="X44" s="150">
        <f>X43-X42-X41-X40-X39</f>
        <v>33</v>
      </c>
      <c r="Y44" s="36"/>
      <c r="Z44" s="36"/>
      <c r="AA44" s="36"/>
      <c r="AB44" s="36"/>
      <c r="AC44" s="23"/>
    </row>
    <row r="45" spans="2:29" ht="15.75" customHeight="1">
      <c r="W45" s="43"/>
      <c r="AA45" s="37"/>
      <c r="AC45" s="23"/>
    </row>
    <row r="46" spans="2:29" ht="15.75" customHeight="1">
      <c r="W46" s="22"/>
      <c r="X46" s="22"/>
      <c r="Y46" s="22"/>
      <c r="Z46" s="22"/>
      <c r="AA46" s="22"/>
      <c r="AB46" s="41"/>
      <c r="AC46" s="23"/>
    </row>
    <row r="47" spans="2:29" s="23" customFormat="1" ht="15.75" customHeight="1">
      <c r="B47" s="49"/>
      <c r="C47" s="22"/>
      <c r="D47" s="22"/>
      <c r="E47" s="22"/>
      <c r="F47" s="111"/>
      <c r="G47" s="22"/>
      <c r="I47" s="49"/>
      <c r="J47" s="22"/>
      <c r="K47" s="22"/>
      <c r="L47" s="22"/>
      <c r="M47" s="111"/>
      <c r="N47" s="22"/>
      <c r="P47" s="49"/>
      <c r="Q47" s="22"/>
      <c r="R47" s="22"/>
      <c r="S47" s="22"/>
      <c r="T47" s="111"/>
      <c r="U47" s="22"/>
      <c r="W47" s="163"/>
      <c r="X47" s="36"/>
      <c r="Y47" s="36"/>
      <c r="Z47" s="36"/>
      <c r="AA47" s="36"/>
      <c r="AB47" s="40"/>
    </row>
    <row r="48" spans="2:29" s="23" customFormat="1" ht="15.75" customHeight="1">
      <c r="B48" s="151" t="s">
        <v>423</v>
      </c>
      <c r="C48" s="152"/>
      <c r="D48" s="152"/>
      <c r="E48" s="152"/>
      <c r="F48" s="153"/>
      <c r="G48" s="152"/>
      <c r="I48" s="151" t="s">
        <v>423</v>
      </c>
      <c r="J48" s="152"/>
      <c r="K48" s="152"/>
      <c r="L48" s="152"/>
      <c r="M48" s="153"/>
      <c r="N48" s="152"/>
      <c r="P48" s="151" t="s">
        <v>423</v>
      </c>
      <c r="Q48" s="152"/>
      <c r="R48" s="152"/>
      <c r="S48" s="152"/>
      <c r="T48" s="153"/>
      <c r="U48" s="152"/>
      <c r="W48" s="151" t="s">
        <v>423</v>
      </c>
      <c r="X48" s="152"/>
      <c r="Y48" s="152"/>
      <c r="Z48" s="152"/>
      <c r="AA48" s="153"/>
      <c r="AB48" s="152"/>
    </row>
    <row r="49" spans="2:29" ht="36" customHeight="1">
      <c r="B49" s="154" t="s">
        <v>386</v>
      </c>
      <c r="C49" s="155" t="s">
        <v>387</v>
      </c>
      <c r="D49" s="155" t="s">
        <v>388</v>
      </c>
      <c r="E49" s="155" t="s">
        <v>389</v>
      </c>
      <c r="F49" s="154" t="s">
        <v>390</v>
      </c>
      <c r="G49" s="155" t="s">
        <v>391</v>
      </c>
      <c r="I49" s="154" t="s">
        <v>386</v>
      </c>
      <c r="J49" s="155" t="s">
        <v>387</v>
      </c>
      <c r="K49" s="155" t="s">
        <v>388</v>
      </c>
      <c r="L49" s="155" t="s">
        <v>389</v>
      </c>
      <c r="M49" s="154" t="s">
        <v>390</v>
      </c>
      <c r="N49" s="155" t="s">
        <v>391</v>
      </c>
      <c r="P49" s="154" t="s">
        <v>386</v>
      </c>
      <c r="Q49" s="155" t="s">
        <v>387</v>
      </c>
      <c r="R49" s="155" t="s">
        <v>388</v>
      </c>
      <c r="S49" s="155" t="s">
        <v>389</v>
      </c>
      <c r="T49" s="154" t="s">
        <v>390</v>
      </c>
      <c r="U49" s="155" t="s">
        <v>391</v>
      </c>
      <c r="W49" s="73" t="s">
        <v>386</v>
      </c>
      <c r="X49" s="73" t="s">
        <v>387</v>
      </c>
      <c r="Y49" s="73" t="s">
        <v>388</v>
      </c>
      <c r="Z49" s="73" t="s">
        <v>389</v>
      </c>
      <c r="AA49" s="73" t="s">
        <v>390</v>
      </c>
      <c r="AB49" s="73" t="s">
        <v>391</v>
      </c>
      <c r="AC49" s="23"/>
    </row>
    <row r="50" spans="2:29" s="23" customFormat="1" ht="7.5" customHeight="1">
      <c r="B50" s="20"/>
      <c r="C50" s="21"/>
      <c r="D50" s="21"/>
      <c r="E50" s="21"/>
      <c r="F50" s="20"/>
      <c r="G50" s="21"/>
      <c r="I50" s="20"/>
      <c r="J50" s="21"/>
      <c r="K50" s="21"/>
      <c r="L50" s="21"/>
      <c r="M50" s="20"/>
      <c r="N50" s="21"/>
      <c r="P50" s="20"/>
      <c r="Q50" s="21"/>
      <c r="R50" s="21"/>
      <c r="S50" s="21"/>
      <c r="T50" s="20"/>
      <c r="U50" s="21"/>
      <c r="W50" s="20"/>
      <c r="X50" s="21"/>
      <c r="Y50" s="21"/>
      <c r="Z50" s="21"/>
      <c r="AA50" s="21"/>
      <c r="AB50" s="21"/>
    </row>
    <row r="51" spans="2:29" ht="18.75" customHeight="1">
      <c r="B51" s="140" t="s">
        <v>392</v>
      </c>
      <c r="C51" s="141">
        <f>COUNTIFS('1. All Data'!$AD$3:$AD$129,"Leisure, Culture &amp; Tourism",'1. All Data'!$I$3:$I$129,"Fully Achieved")</f>
        <v>1</v>
      </c>
      <c r="D51" s="142">
        <f>C51/C65</f>
        <v>5.8823529411764705E-2</v>
      </c>
      <c r="E51" s="431">
        <f>D51+D52</f>
        <v>0.70588235294117652</v>
      </c>
      <c r="F51" s="143">
        <f>C51/C66</f>
        <v>8.3333333333333329E-2</v>
      </c>
      <c r="G51" s="447">
        <f>F51+F52</f>
        <v>1</v>
      </c>
      <c r="I51" s="140" t="s">
        <v>392</v>
      </c>
      <c r="J51" s="141">
        <f>COUNTIFS('1. All Data'!$AD$3:$AD$129,"Leisure, Culture &amp; Tourism",'1. All Data'!$N$3:$N$129,"Fully Achieved")</f>
        <v>4</v>
      </c>
      <c r="K51" s="142">
        <f>J51/J65</f>
        <v>0.23529411764705882</v>
      </c>
      <c r="L51" s="431">
        <f>K51+K52</f>
        <v>0.76470588235294112</v>
      </c>
      <c r="M51" s="143">
        <f>J51/J66</f>
        <v>0.2857142857142857</v>
      </c>
      <c r="N51" s="447">
        <f>M51+M52</f>
        <v>0.9285714285714286</v>
      </c>
      <c r="P51" s="140" t="s">
        <v>392</v>
      </c>
      <c r="Q51" s="141">
        <f>COUNTIFS('1. All Data'!$AD$3:$AD$129,"Leisure, Culture &amp; Tourism",'1. All Data'!$S$3:$S$129,"Fully Achieved")</f>
        <v>6</v>
      </c>
      <c r="R51" s="142">
        <f>Q51/Q65</f>
        <v>0.35294117647058826</v>
      </c>
      <c r="S51" s="431">
        <f>R51+R52</f>
        <v>0.82352941176470584</v>
      </c>
      <c r="T51" s="143">
        <f>Q51/Q66</f>
        <v>0.4</v>
      </c>
      <c r="U51" s="447">
        <f>T51+T52</f>
        <v>0.93333333333333335</v>
      </c>
      <c r="W51" s="59" t="s">
        <v>392</v>
      </c>
      <c r="X51" s="141">
        <f>COUNTIFS('1. All Data'!$AD$3:$AD$129,"Leisure, Culture &amp; Tourism",'1. All Data'!$W$3:$W$129,"Fully Achieved")</f>
        <v>13</v>
      </c>
      <c r="Y51" s="346">
        <f>X51/X65</f>
        <v>0.76470588235294112</v>
      </c>
      <c r="Z51" s="431">
        <f>Y51+Y52</f>
        <v>0.82352941176470584</v>
      </c>
      <c r="AA51" s="389">
        <f>X51/X66</f>
        <v>0.8666666666666667</v>
      </c>
      <c r="AB51" s="405">
        <f>AA51+AA52</f>
        <v>0.93333333333333335</v>
      </c>
      <c r="AC51" s="23"/>
    </row>
    <row r="52" spans="2:29" ht="18.75" customHeight="1">
      <c r="B52" s="140" t="s">
        <v>343</v>
      </c>
      <c r="C52" s="141">
        <f>COUNTIFS('1. All Data'!$AD$3:$AD$129,"Leisure, Culture &amp; Tourism",'1. All Data'!$I$3:$I$129,"On Track to be Achieved")</f>
        <v>11</v>
      </c>
      <c r="D52" s="142">
        <f>C52/C65</f>
        <v>0.6470588235294118</v>
      </c>
      <c r="E52" s="431"/>
      <c r="F52" s="143">
        <f>C52/C66</f>
        <v>0.91666666666666663</v>
      </c>
      <c r="G52" s="447"/>
      <c r="I52" s="140" t="s">
        <v>343</v>
      </c>
      <c r="J52" s="141">
        <f>COUNTIFS('1. All Data'!$AD$3:$AD$129,"Leisure, Culture &amp; Tourism",'1. All Data'!$N$3:$N$129,"On Track to be Achieved")</f>
        <v>9</v>
      </c>
      <c r="K52" s="142">
        <f>J52/J65</f>
        <v>0.52941176470588236</v>
      </c>
      <c r="L52" s="431"/>
      <c r="M52" s="143">
        <f>J52/J66</f>
        <v>0.6428571428571429</v>
      </c>
      <c r="N52" s="447"/>
      <c r="P52" s="140" t="s">
        <v>343</v>
      </c>
      <c r="Q52" s="141">
        <f>COUNTIFS('1. All Data'!$AD$3:$AD$129,"Leisure, Culture &amp; Tourism",'1. All Data'!$S$3:$S$129,"On Track to be Achieved")</f>
        <v>8</v>
      </c>
      <c r="R52" s="142">
        <f>Q52/Q65</f>
        <v>0.47058823529411764</v>
      </c>
      <c r="S52" s="431"/>
      <c r="T52" s="143">
        <f>Q52/Q66</f>
        <v>0.53333333333333333</v>
      </c>
      <c r="U52" s="447"/>
      <c r="W52" s="59" t="s">
        <v>335</v>
      </c>
      <c r="X52" s="141">
        <f>COUNTIFS('1. All Data'!$AD$3:$AD$129,"Leisure, Culture &amp; Tourism",'1. All Data'!$W$3:$W$129,"Numerical Outturn Within 5% Tolerance")</f>
        <v>1</v>
      </c>
      <c r="Y52" s="346">
        <f>X52/X65</f>
        <v>5.8823529411764705E-2</v>
      </c>
      <c r="Z52" s="431"/>
      <c r="AA52" s="389">
        <f>X52/X66</f>
        <v>6.6666666666666666E-2</v>
      </c>
      <c r="AB52" s="405"/>
      <c r="AC52" s="23"/>
    </row>
    <row r="53" spans="2:29" s="23" customFormat="1" ht="6.75" customHeight="1">
      <c r="B53" s="20"/>
      <c r="C53" s="33"/>
      <c r="D53" s="31"/>
      <c r="E53" s="31"/>
      <c r="F53" s="107"/>
      <c r="G53" s="32"/>
      <c r="I53" s="20"/>
      <c r="J53" s="33"/>
      <c r="K53" s="31"/>
      <c r="L53" s="31"/>
      <c r="M53" s="107"/>
      <c r="N53" s="32"/>
      <c r="P53" s="20"/>
      <c r="Q53" s="33"/>
      <c r="R53" s="31"/>
      <c r="S53" s="31"/>
      <c r="T53" s="107"/>
      <c r="U53" s="32"/>
      <c r="W53" s="24"/>
      <c r="X53" s="25"/>
      <c r="Y53" s="26"/>
      <c r="Z53" s="26"/>
      <c r="AA53" s="26"/>
      <c r="AB53" s="27"/>
    </row>
    <row r="54" spans="2:29" ht="16.5" customHeight="1">
      <c r="B54" s="432" t="s">
        <v>344</v>
      </c>
      <c r="C54" s="435">
        <f>COUNTIFS('1. All Data'!$AD$3:$AD$129,"Leisure, Culture &amp; Tourism",'1. All Data'!$I$3:$I$129,"In Danger of Falling Behind Target")</f>
        <v>0</v>
      </c>
      <c r="D54" s="438">
        <f>C54/C65</f>
        <v>0</v>
      </c>
      <c r="E54" s="438">
        <f>D54</f>
        <v>0</v>
      </c>
      <c r="F54" s="441">
        <f>C54/C66</f>
        <v>0</v>
      </c>
      <c r="G54" s="444">
        <f>F54</f>
        <v>0</v>
      </c>
      <c r="I54" s="432" t="s">
        <v>344</v>
      </c>
      <c r="J54" s="435">
        <f>COUNTIFS('1. All Data'!$AD$3:$AD$129,"Leisure, Culture &amp; Tourism",'1. All Data'!$N$3:$N$129,"In Danger of Falling Behind Target")</f>
        <v>0</v>
      </c>
      <c r="K54" s="438">
        <f>J54/J65</f>
        <v>0</v>
      </c>
      <c r="L54" s="438">
        <f>K54</f>
        <v>0</v>
      </c>
      <c r="M54" s="441">
        <f>J54/J66</f>
        <v>0</v>
      </c>
      <c r="N54" s="444">
        <f>M54</f>
        <v>0</v>
      </c>
      <c r="P54" s="432" t="s">
        <v>344</v>
      </c>
      <c r="Q54" s="435">
        <f>COUNTIFS('1. All Data'!$AD$3:$AD$129,"Leisure, Culture &amp; Tourism",'1. All Data'!$S$3:$S$129,"In Danger of Falling Behind Target")</f>
        <v>0</v>
      </c>
      <c r="R54" s="438">
        <f>Q54/Q65</f>
        <v>0</v>
      </c>
      <c r="S54" s="438">
        <f>R54</f>
        <v>0</v>
      </c>
      <c r="T54" s="441">
        <f>Q54/Q66</f>
        <v>0</v>
      </c>
      <c r="U54" s="444">
        <f>T54</f>
        <v>0</v>
      </c>
      <c r="W54" s="80" t="s">
        <v>336</v>
      </c>
      <c r="X54" s="81">
        <f>COUNTIFS('1. All Data'!$AD$3:$AD$129,"Leisure, Culture &amp; Tourism",'1. All Data'!$W$3:$W$129,"Numerical Outturn Within 10% Tolerance")</f>
        <v>0</v>
      </c>
      <c r="Y54" s="345">
        <f>X54/X65</f>
        <v>0</v>
      </c>
      <c r="Z54" s="404">
        <f>SUM(Y54:Y56)</f>
        <v>0</v>
      </c>
      <c r="AA54" s="388">
        <f>X54/X66</f>
        <v>0</v>
      </c>
      <c r="AB54" s="418">
        <f>SUM(AA54:AA56)</f>
        <v>0</v>
      </c>
      <c r="AC54" s="23"/>
    </row>
    <row r="55" spans="2:29" ht="16.5" customHeight="1">
      <c r="B55" s="433"/>
      <c r="C55" s="436"/>
      <c r="D55" s="439"/>
      <c r="E55" s="439"/>
      <c r="F55" s="442"/>
      <c r="G55" s="445"/>
      <c r="I55" s="433"/>
      <c r="J55" s="436"/>
      <c r="K55" s="439"/>
      <c r="L55" s="439"/>
      <c r="M55" s="442"/>
      <c r="N55" s="445"/>
      <c r="P55" s="433"/>
      <c r="Q55" s="436"/>
      <c r="R55" s="439"/>
      <c r="S55" s="439"/>
      <c r="T55" s="442"/>
      <c r="U55" s="445"/>
      <c r="W55" s="80" t="s">
        <v>337</v>
      </c>
      <c r="X55" s="81">
        <f>COUNTIFS('1. All Data'!$AD$3:$AD$129,"Leisure, Culture &amp; Tourism",'1. All Data'!$W$3:$W$129,"Target Partially Met")</f>
        <v>0</v>
      </c>
      <c r="Y55" s="345">
        <f>X55/X65</f>
        <v>0</v>
      </c>
      <c r="Z55" s="404"/>
      <c r="AA55" s="388">
        <f>X55/X66</f>
        <v>0</v>
      </c>
      <c r="AB55" s="418"/>
      <c r="AC55" s="23"/>
    </row>
    <row r="56" spans="2:29" ht="16.5" customHeight="1">
      <c r="B56" s="434"/>
      <c r="C56" s="437"/>
      <c r="D56" s="440"/>
      <c r="E56" s="440"/>
      <c r="F56" s="443"/>
      <c r="G56" s="446"/>
      <c r="I56" s="434"/>
      <c r="J56" s="437"/>
      <c r="K56" s="440"/>
      <c r="L56" s="440"/>
      <c r="M56" s="443"/>
      <c r="N56" s="446"/>
      <c r="P56" s="434"/>
      <c r="Q56" s="437"/>
      <c r="R56" s="440"/>
      <c r="S56" s="440"/>
      <c r="T56" s="443"/>
      <c r="U56" s="446"/>
      <c r="W56" s="80" t="s">
        <v>340</v>
      </c>
      <c r="X56" s="81">
        <f>COUNTIFS('1. All Data'!$AD$3:$AD$129,"Leisure, Culture &amp; Tourism",'1. All Data'!$W$3:$W$129,"Completion Date Within Reasonable Tolerance")</f>
        <v>0</v>
      </c>
      <c r="Y56" s="345">
        <f>X56/X65</f>
        <v>0</v>
      </c>
      <c r="Z56" s="404"/>
      <c r="AA56" s="388">
        <f>X56/X66</f>
        <v>0</v>
      </c>
      <c r="AB56" s="418"/>
      <c r="AC56" s="23"/>
    </row>
    <row r="57" spans="2:29" s="23" customFormat="1" ht="6" customHeight="1">
      <c r="B57" s="20"/>
      <c r="C57" s="21"/>
      <c r="D57" s="31"/>
      <c r="E57" s="31"/>
      <c r="F57" s="107"/>
      <c r="G57" s="32"/>
      <c r="I57" s="20"/>
      <c r="J57" s="21"/>
      <c r="K57" s="31"/>
      <c r="L57" s="31"/>
      <c r="M57" s="107"/>
      <c r="N57" s="32"/>
      <c r="P57" s="20"/>
      <c r="Q57" s="21"/>
      <c r="R57" s="31"/>
      <c r="S57" s="31"/>
      <c r="T57" s="107"/>
      <c r="U57" s="32"/>
      <c r="W57" s="20"/>
      <c r="X57" s="21"/>
      <c r="Y57" s="31"/>
      <c r="Z57" s="31"/>
      <c r="AA57" s="31"/>
      <c r="AB57" s="32"/>
    </row>
    <row r="58" spans="2:29" ht="22.5" customHeight="1">
      <c r="B58" s="144" t="s">
        <v>345</v>
      </c>
      <c r="C58" s="141">
        <f>COUNTIFS('1. All Data'!$AD$3:$AD$129,"Leisure, Culture &amp; Tourism",'1. All Data'!$I$3:$I$129,"Completed Behind Schedule")</f>
        <v>0</v>
      </c>
      <c r="D58" s="142">
        <f>C58/C65</f>
        <v>0</v>
      </c>
      <c r="E58" s="431">
        <f>D58+D59</f>
        <v>0</v>
      </c>
      <c r="F58" s="143">
        <f>C58/C66</f>
        <v>0</v>
      </c>
      <c r="G58" s="448">
        <f>F58+F59</f>
        <v>0</v>
      </c>
      <c r="I58" s="144" t="s">
        <v>345</v>
      </c>
      <c r="J58" s="141">
        <f>COUNTIFS('1. All Data'!$AD$3:$AD$129,"Leisure, Culture &amp; Tourism",'1. All Data'!$N$3:$N$129,"Completed Behind Schedule")</f>
        <v>0</v>
      </c>
      <c r="K58" s="142">
        <f>J58/J65</f>
        <v>0</v>
      </c>
      <c r="L58" s="431">
        <f>K58+K59</f>
        <v>5.8823529411764705E-2</v>
      </c>
      <c r="M58" s="143">
        <f>J58/J66</f>
        <v>0</v>
      </c>
      <c r="N58" s="448">
        <f>M58+M59</f>
        <v>7.1428571428571425E-2</v>
      </c>
      <c r="P58" s="144" t="s">
        <v>345</v>
      </c>
      <c r="Q58" s="141">
        <f>COUNTIFS('1. All Data'!$AD$3:$AD$129,"Leisure, Culture &amp; Tourism",'1. All Data'!$S$3:$S$129,"Completed Behind Schedule")</f>
        <v>0</v>
      </c>
      <c r="R58" s="142">
        <f>Q58/Q65</f>
        <v>0</v>
      </c>
      <c r="S58" s="431">
        <f>R58+R59</f>
        <v>5.8823529411764705E-2</v>
      </c>
      <c r="T58" s="143">
        <f>Q58/Q66</f>
        <v>0</v>
      </c>
      <c r="U58" s="448">
        <f>T58+T59</f>
        <v>6.6666666666666666E-2</v>
      </c>
      <c r="W58" s="63" t="s">
        <v>339</v>
      </c>
      <c r="X58" s="141">
        <f>COUNTIFS('1. All Data'!$AD$3:$AD$129,"Leisure, Culture &amp; Tourism",'1. All Data'!$W$3:$W$129,"Completed Significantly After Target Deadline")</f>
        <v>0</v>
      </c>
      <c r="Y58" s="346">
        <f>X58/X65</f>
        <v>0</v>
      </c>
      <c r="Z58" s="431">
        <f>Y58+Y59</f>
        <v>5.8823529411764705E-2</v>
      </c>
      <c r="AA58" s="389">
        <f>X58/X66</f>
        <v>0</v>
      </c>
      <c r="AB58" s="419">
        <f>AA58+AA59</f>
        <v>6.6666666666666666E-2</v>
      </c>
      <c r="AC58" s="23"/>
    </row>
    <row r="59" spans="2:29" ht="22.5" customHeight="1">
      <c r="B59" s="144" t="s">
        <v>338</v>
      </c>
      <c r="C59" s="141">
        <f>COUNTIFS('1. All Data'!$AD$3:$AD$129,"Leisure, Culture &amp; Tourism",'1. All Data'!$I$3:$I$129,"Off Target")</f>
        <v>0</v>
      </c>
      <c r="D59" s="142">
        <f>C59/C65</f>
        <v>0</v>
      </c>
      <c r="E59" s="431"/>
      <c r="F59" s="143">
        <f>C59/C66</f>
        <v>0</v>
      </c>
      <c r="G59" s="448"/>
      <c r="I59" s="144" t="s">
        <v>338</v>
      </c>
      <c r="J59" s="141">
        <f>COUNTIFS('1. All Data'!$AD$3:$AD$129,"Leisure, Culture &amp; Tourism",'1. All Data'!$N$3:$N$129,"Off Target")</f>
        <v>1</v>
      </c>
      <c r="K59" s="142">
        <f>J59/J65</f>
        <v>5.8823529411764705E-2</v>
      </c>
      <c r="L59" s="431"/>
      <c r="M59" s="143">
        <f>J59/J66</f>
        <v>7.1428571428571425E-2</v>
      </c>
      <c r="N59" s="448"/>
      <c r="P59" s="144" t="s">
        <v>338</v>
      </c>
      <c r="Q59" s="141">
        <f>COUNTIFS('1. All Data'!$AD$3:$AD$129,"Leisure, Culture &amp; Tourism",'1. All Data'!$S$3:$S$129,"Off Target")</f>
        <v>1</v>
      </c>
      <c r="R59" s="142">
        <f>Q59/Q65</f>
        <v>5.8823529411764705E-2</v>
      </c>
      <c r="S59" s="431"/>
      <c r="T59" s="143">
        <f>Q59/Q66</f>
        <v>6.6666666666666666E-2</v>
      </c>
      <c r="U59" s="448"/>
      <c r="W59" s="63" t="s">
        <v>338</v>
      </c>
      <c r="X59" s="141">
        <f>COUNTIFS('1. All Data'!$AD$3:$AD$129,"Leisure, Culture &amp; Tourism",'1. All Data'!$W$3:$W$129,"Off Target")</f>
        <v>1</v>
      </c>
      <c r="Y59" s="346">
        <f>X59/X65</f>
        <v>5.8823529411764705E-2</v>
      </c>
      <c r="Z59" s="431"/>
      <c r="AA59" s="389">
        <f>X59/X66</f>
        <v>6.6666666666666666E-2</v>
      </c>
      <c r="AB59" s="419"/>
      <c r="AC59" s="23"/>
    </row>
    <row r="60" spans="2:29" s="23" customFormat="1" ht="6.75" customHeight="1">
      <c r="B60" s="20"/>
      <c r="C60" s="33"/>
      <c r="D60" s="31"/>
      <c r="E60" s="31"/>
      <c r="F60" s="107"/>
      <c r="G60" s="34"/>
      <c r="I60" s="20"/>
      <c r="J60" s="33"/>
      <c r="K60" s="31"/>
      <c r="L60" s="31"/>
      <c r="M60" s="107"/>
      <c r="N60" s="34"/>
      <c r="P60" s="20"/>
      <c r="Q60" s="33"/>
      <c r="R60" s="31"/>
      <c r="S60" s="31"/>
      <c r="T60" s="107"/>
      <c r="U60" s="34"/>
      <c r="W60" s="20"/>
      <c r="X60" s="33"/>
      <c r="Y60" s="31"/>
      <c r="Z60" s="31"/>
      <c r="AA60" s="31"/>
      <c r="AB60" s="34"/>
    </row>
    <row r="61" spans="2:29" ht="15.75" customHeight="1">
      <c r="B61" s="147" t="s">
        <v>393</v>
      </c>
      <c r="C61" s="141">
        <f>COUNTIFS('1. All Data'!$AD$3:$AD$129,"Leisure, Culture &amp; Tourism",'1. All Data'!$I$3:$I$129,"Not yet due")</f>
        <v>5</v>
      </c>
      <c r="D61" s="145">
        <f>C61/C65</f>
        <v>0.29411764705882354</v>
      </c>
      <c r="E61" s="145">
        <f>D61</f>
        <v>0.29411764705882354</v>
      </c>
      <c r="F61" s="108"/>
      <c r="G61" s="36"/>
      <c r="I61" s="147" t="s">
        <v>393</v>
      </c>
      <c r="J61" s="141">
        <f>COUNTIFS('1. All Data'!$AD$3:$AD$129,"Leisure, Culture &amp; Tourism",'1. All Data'!$N$3:$N$129,"Not yet due")</f>
        <v>3</v>
      </c>
      <c r="K61" s="145">
        <f>J61/J65</f>
        <v>0.17647058823529413</v>
      </c>
      <c r="L61" s="145">
        <f>K61</f>
        <v>0.17647058823529413</v>
      </c>
      <c r="M61" s="108"/>
      <c r="N61" s="36"/>
      <c r="P61" s="147" t="s">
        <v>393</v>
      </c>
      <c r="Q61" s="141">
        <f>COUNTIFS('1. All Data'!$AD$3:$AD$129,"Leisure, Culture &amp; Tourism",'1. All Data'!$S$3:$S$129,"Not yet due")</f>
        <v>0</v>
      </c>
      <c r="R61" s="145">
        <f>Q61/Q65</f>
        <v>0</v>
      </c>
      <c r="S61" s="145">
        <f>R61</f>
        <v>0</v>
      </c>
      <c r="T61" s="108"/>
      <c r="U61" s="36"/>
      <c r="W61" s="64" t="s">
        <v>393</v>
      </c>
      <c r="X61" s="141">
        <f>COUNTIFS('1. All Data'!$AD$3:$AD$129,"Leisure, Culture &amp; Tourism",'1. All Data'!$W$3:$W$129,"Not yet due")</f>
        <v>0</v>
      </c>
      <c r="Y61" s="145">
        <f>X61/X65</f>
        <v>0</v>
      </c>
      <c r="Z61" s="145">
        <f>Y61</f>
        <v>0</v>
      </c>
      <c r="AA61" s="35"/>
      <c r="AB61" s="36"/>
      <c r="AC61" s="23"/>
    </row>
    <row r="62" spans="2:29" ht="15.75" customHeight="1">
      <c r="B62" s="147" t="s">
        <v>333</v>
      </c>
      <c r="C62" s="141">
        <f>COUNTIFS('1. All Data'!$AD$3:$AD$129,"Leisure, Culture &amp; Tourism",'1. All Data'!$I$3:$I$129,"Update not provided")</f>
        <v>0</v>
      </c>
      <c r="D62" s="145">
        <f>C62/C65</f>
        <v>0</v>
      </c>
      <c r="E62" s="145">
        <f>D62</f>
        <v>0</v>
      </c>
      <c r="F62" s="108"/>
      <c r="G62" s="38"/>
      <c r="I62" s="147" t="s">
        <v>333</v>
      </c>
      <c r="J62" s="141">
        <f>COUNTIFS('1. All Data'!$AD$3:$AD$129,"Leisure, Culture &amp; Tourism",'1. All Data'!$N$3:$N$129,"Update not provided")</f>
        <v>0</v>
      </c>
      <c r="K62" s="145">
        <f>J62/J65</f>
        <v>0</v>
      </c>
      <c r="L62" s="145">
        <f>K62</f>
        <v>0</v>
      </c>
      <c r="M62" s="108"/>
      <c r="N62" s="38"/>
      <c r="P62" s="147" t="s">
        <v>333</v>
      </c>
      <c r="Q62" s="141">
        <f>COUNTIFS('1. All Data'!$AD$3:$AD$129,"Leisure, Culture &amp; Tourism",'1. All Data'!$S$3:$S$129,"Update not provided")</f>
        <v>0</v>
      </c>
      <c r="R62" s="145">
        <f>Q62/Q65</f>
        <v>0</v>
      </c>
      <c r="S62" s="145">
        <f>R62</f>
        <v>0</v>
      </c>
      <c r="T62" s="108"/>
      <c r="U62" s="38"/>
      <c r="W62" s="64" t="s">
        <v>333</v>
      </c>
      <c r="X62" s="141">
        <f>COUNTIFS('1. All Data'!$AD$3:$AD$129,"Leisure, Culture &amp; Tourism",'1. All Data'!$W$3:$W$129,"Update not provided")</f>
        <v>0</v>
      </c>
      <c r="Y62" s="145">
        <f>X62/X65</f>
        <v>0</v>
      </c>
      <c r="Z62" s="145">
        <f>Y62</f>
        <v>0</v>
      </c>
      <c r="AA62" s="35"/>
      <c r="AB62" s="38"/>
      <c r="AC62" s="23"/>
    </row>
    <row r="63" spans="2:29" ht="15.75" customHeight="1">
      <c r="B63" s="148" t="s">
        <v>341</v>
      </c>
      <c r="C63" s="141">
        <f>COUNTIFS('1. All Data'!$AD$3:$AD$129,"Leisure, Culture &amp; Tourism",'1. All Data'!$I$3:$I$129,"Deferred")</f>
        <v>0</v>
      </c>
      <c r="D63" s="146">
        <f>C63/C65</f>
        <v>0</v>
      </c>
      <c r="E63" s="146">
        <f>D63</f>
        <v>0</v>
      </c>
      <c r="F63" s="109"/>
      <c r="G63" s="36"/>
      <c r="I63" s="148" t="s">
        <v>341</v>
      </c>
      <c r="J63" s="141">
        <f>COUNTIFS('1. All Data'!$AD$3:$AD$129,"Leisure, Culture &amp; Tourism",'1. All Data'!$N$3:$N$129,"Deferred")</f>
        <v>0</v>
      </c>
      <c r="K63" s="146">
        <f>J63/J65</f>
        <v>0</v>
      </c>
      <c r="L63" s="146">
        <f>K63</f>
        <v>0</v>
      </c>
      <c r="M63" s="109"/>
      <c r="N63" s="36"/>
      <c r="P63" s="148" t="s">
        <v>341</v>
      </c>
      <c r="Q63" s="141">
        <f>COUNTIFS('1. All Data'!$AD$3:$AD$129,"Leisure, Culture &amp; Tourism",'1. All Data'!$S$3:$S$129,"Deferred")</f>
        <v>2</v>
      </c>
      <c r="R63" s="146">
        <f>Q63/Q65</f>
        <v>0.11764705882352941</v>
      </c>
      <c r="S63" s="146">
        <f>R63</f>
        <v>0.11764705882352941</v>
      </c>
      <c r="T63" s="109"/>
      <c r="U63" s="36"/>
      <c r="W63" s="66" t="s">
        <v>341</v>
      </c>
      <c r="X63" s="141">
        <f>COUNTIFS('1. All Data'!$AD$3:$AD$129,"Leisure, Culture &amp; Tourism",'1. All Data'!$W$3:$W$129,"Deferred")</f>
        <v>2</v>
      </c>
      <c r="Y63" s="146">
        <f>X63/X65</f>
        <v>0.11764705882352941</v>
      </c>
      <c r="Z63" s="146">
        <f>Y63</f>
        <v>0.11764705882352941</v>
      </c>
      <c r="AA63" s="40"/>
      <c r="AB63" s="36"/>
      <c r="AC63" s="23"/>
    </row>
    <row r="64" spans="2:29" ht="15.75" customHeight="1">
      <c r="B64" s="148" t="s">
        <v>342</v>
      </c>
      <c r="C64" s="141">
        <f>COUNTIFS('1. All Data'!$AD$3:$AD$129,"Leisure, Culture &amp; Tourism",'1. All Data'!$I$3:$I$129,"Deleted")</f>
        <v>0</v>
      </c>
      <c r="D64" s="146">
        <f>C64/C65</f>
        <v>0</v>
      </c>
      <c r="E64" s="146">
        <f>D64</f>
        <v>0</v>
      </c>
      <c r="F64" s="109"/>
      <c r="G64" s="110" t="s">
        <v>394</v>
      </c>
      <c r="I64" s="148" t="s">
        <v>342</v>
      </c>
      <c r="J64" s="141">
        <f>COUNTIFS('1. All Data'!$AD$3:$AD$129,"Leisure, Culture &amp; Tourism",'1. All Data'!$N$3:$N$129,"Deleted")</f>
        <v>0</v>
      </c>
      <c r="K64" s="146">
        <f>J64/J65</f>
        <v>0</v>
      </c>
      <c r="L64" s="146">
        <f>K64</f>
        <v>0</v>
      </c>
      <c r="M64" s="109"/>
      <c r="N64" s="110" t="s">
        <v>394</v>
      </c>
      <c r="P64" s="148" t="s">
        <v>342</v>
      </c>
      <c r="Q64" s="141">
        <f>COUNTIFS('1. All Data'!$AD$3:$AD$129,"Leisure, Culture &amp; Tourism",'1. All Data'!$S$3:$S$129,"Deleted")</f>
        <v>0</v>
      </c>
      <c r="R64" s="146">
        <f>Q64/Q65</f>
        <v>0</v>
      </c>
      <c r="S64" s="146">
        <f>R64</f>
        <v>0</v>
      </c>
      <c r="T64" s="109"/>
      <c r="U64" s="110" t="s">
        <v>394</v>
      </c>
      <c r="W64" s="66" t="s">
        <v>342</v>
      </c>
      <c r="X64" s="141">
        <f>COUNTIFS('1. All Data'!$AD$3:$AD$129,"Leisure, Culture &amp; Tourism",'1. All Data'!$W$3:$W$129,"Deleted")</f>
        <v>0</v>
      </c>
      <c r="Y64" s="146">
        <f>X64/X65</f>
        <v>0</v>
      </c>
      <c r="Z64" s="146">
        <f>Y64</f>
        <v>0</v>
      </c>
      <c r="AA64" s="40"/>
      <c r="AB64" s="42" t="s">
        <v>394</v>
      </c>
      <c r="AC64" s="23"/>
    </row>
    <row r="65" spans="2:29" ht="15.75" customHeight="1">
      <c r="B65" s="149" t="s">
        <v>395</v>
      </c>
      <c r="C65" s="150">
        <f>SUM(C51:C64)</f>
        <v>17</v>
      </c>
      <c r="D65" s="40"/>
      <c r="E65" s="40"/>
      <c r="F65" s="111"/>
      <c r="G65" s="36"/>
      <c r="I65" s="149" t="s">
        <v>395</v>
      </c>
      <c r="J65" s="150">
        <f>SUM(J51:J64)</f>
        <v>17</v>
      </c>
      <c r="K65" s="40"/>
      <c r="L65" s="40"/>
      <c r="M65" s="111"/>
      <c r="N65" s="36"/>
      <c r="P65" s="149" t="s">
        <v>395</v>
      </c>
      <c r="Q65" s="150">
        <f>SUM(Q51:Q64)</f>
        <v>17</v>
      </c>
      <c r="R65" s="40"/>
      <c r="S65" s="40"/>
      <c r="T65" s="111"/>
      <c r="U65" s="36"/>
      <c r="W65" s="68" t="s">
        <v>395</v>
      </c>
      <c r="X65" s="150">
        <f>SUM(X51:X64)</f>
        <v>17</v>
      </c>
      <c r="Y65" s="40"/>
      <c r="Z65" s="40"/>
      <c r="AA65" s="36"/>
      <c r="AB65" s="36"/>
      <c r="AC65" s="23"/>
    </row>
    <row r="66" spans="2:29" ht="15.75" customHeight="1">
      <c r="B66" s="149" t="s">
        <v>396</v>
      </c>
      <c r="C66" s="150">
        <f>C65-C64-C63-C62-C61</f>
        <v>12</v>
      </c>
      <c r="D66" s="36"/>
      <c r="E66" s="36"/>
      <c r="F66" s="111"/>
      <c r="G66" s="36"/>
      <c r="I66" s="149" t="s">
        <v>396</v>
      </c>
      <c r="J66" s="150">
        <f>J65-J64-J63-J62-J61</f>
        <v>14</v>
      </c>
      <c r="K66" s="36"/>
      <c r="L66" s="36"/>
      <c r="M66" s="111"/>
      <c r="N66" s="36"/>
      <c r="P66" s="149" t="s">
        <v>396</v>
      </c>
      <c r="Q66" s="150">
        <f>Q65-Q64-Q63-Q62-Q61</f>
        <v>15</v>
      </c>
      <c r="R66" s="36"/>
      <c r="S66" s="36"/>
      <c r="T66" s="111"/>
      <c r="U66" s="36"/>
      <c r="W66" s="68" t="s">
        <v>396</v>
      </c>
      <c r="X66" s="150">
        <f>X65-X64-X63-X62-X61</f>
        <v>15</v>
      </c>
      <c r="Y66" s="36"/>
      <c r="Z66" s="36"/>
      <c r="AA66" s="36"/>
      <c r="AB66" s="36"/>
      <c r="AC66" s="23"/>
    </row>
    <row r="67" spans="2:29" ht="15.75" customHeight="1">
      <c r="W67" s="43"/>
      <c r="AA67" s="37"/>
      <c r="AC67" s="23"/>
    </row>
    <row r="68" spans="2:29" ht="15.75" customHeight="1">
      <c r="W68" s="22"/>
      <c r="X68" s="162"/>
      <c r="Y68" s="22"/>
      <c r="Z68" s="22"/>
      <c r="AA68" s="22"/>
      <c r="AB68" s="41"/>
      <c r="AC68" s="23"/>
    </row>
    <row r="69" spans="2:29" ht="15.75" customHeight="1">
      <c r="W69" s="164"/>
      <c r="X69" s="165"/>
      <c r="Y69" s="36"/>
      <c r="Z69" s="36"/>
      <c r="AA69" s="36"/>
      <c r="AB69" s="40"/>
      <c r="AC69" s="23"/>
    </row>
    <row r="70" spans="2:29" s="23" customFormat="1" ht="15.75">
      <c r="B70" s="160" t="s">
        <v>424</v>
      </c>
      <c r="C70" s="152"/>
      <c r="D70" s="152"/>
      <c r="E70" s="152"/>
      <c r="F70" s="153"/>
      <c r="G70" s="152"/>
      <c r="I70" s="160" t="s">
        <v>424</v>
      </c>
      <c r="J70" s="152"/>
      <c r="K70" s="152"/>
      <c r="L70" s="152"/>
      <c r="M70" s="153"/>
      <c r="N70" s="152"/>
      <c r="P70" s="160" t="s">
        <v>424</v>
      </c>
      <c r="Q70" s="152"/>
      <c r="R70" s="152"/>
      <c r="S70" s="152"/>
      <c r="T70" s="153"/>
      <c r="U70" s="152"/>
      <c r="W70" s="160" t="s">
        <v>424</v>
      </c>
      <c r="X70" s="152"/>
      <c r="Y70" s="152"/>
      <c r="Z70" s="152"/>
      <c r="AA70" s="153"/>
      <c r="AB70" s="152"/>
    </row>
    <row r="71" spans="2:29" ht="41.25" customHeight="1">
      <c r="B71" s="154" t="s">
        <v>386</v>
      </c>
      <c r="C71" s="155" t="s">
        <v>387</v>
      </c>
      <c r="D71" s="155" t="s">
        <v>388</v>
      </c>
      <c r="E71" s="155" t="s">
        <v>389</v>
      </c>
      <c r="F71" s="154" t="s">
        <v>390</v>
      </c>
      <c r="G71" s="155" t="s">
        <v>391</v>
      </c>
      <c r="I71" s="154" t="s">
        <v>386</v>
      </c>
      <c r="J71" s="155" t="s">
        <v>387</v>
      </c>
      <c r="K71" s="155" t="s">
        <v>388</v>
      </c>
      <c r="L71" s="155" t="s">
        <v>389</v>
      </c>
      <c r="M71" s="154" t="s">
        <v>390</v>
      </c>
      <c r="N71" s="155" t="s">
        <v>391</v>
      </c>
      <c r="P71" s="154" t="s">
        <v>386</v>
      </c>
      <c r="Q71" s="155" t="s">
        <v>387</v>
      </c>
      <c r="R71" s="155" t="s">
        <v>388</v>
      </c>
      <c r="S71" s="155" t="s">
        <v>389</v>
      </c>
      <c r="T71" s="154" t="s">
        <v>390</v>
      </c>
      <c r="U71" s="155" t="s">
        <v>391</v>
      </c>
      <c r="W71" s="73" t="s">
        <v>386</v>
      </c>
      <c r="X71" s="73" t="s">
        <v>387</v>
      </c>
      <c r="Y71" s="73" t="s">
        <v>388</v>
      </c>
      <c r="Z71" s="73" t="s">
        <v>389</v>
      </c>
      <c r="AA71" s="73" t="s">
        <v>390</v>
      </c>
      <c r="AB71" s="73" t="s">
        <v>391</v>
      </c>
      <c r="AC71" s="23"/>
    </row>
    <row r="72" spans="2:29" ht="6.75" customHeight="1">
      <c r="B72" s="20"/>
      <c r="C72" s="21"/>
      <c r="D72" s="21"/>
      <c r="E72" s="21"/>
      <c r="F72" s="20"/>
      <c r="G72" s="21"/>
      <c r="I72" s="20"/>
      <c r="J72" s="21"/>
      <c r="K72" s="21"/>
      <c r="L72" s="21"/>
      <c r="M72" s="20"/>
      <c r="N72" s="21"/>
      <c r="P72" s="20"/>
      <c r="Q72" s="21"/>
      <c r="R72" s="21"/>
      <c r="S72" s="21"/>
      <c r="T72" s="20"/>
      <c r="U72" s="21"/>
      <c r="W72" s="20"/>
      <c r="X72" s="21"/>
      <c r="Y72" s="21"/>
      <c r="Z72" s="21"/>
      <c r="AA72" s="21"/>
      <c r="AB72" s="21"/>
      <c r="AC72" s="23"/>
    </row>
    <row r="73" spans="2:29" ht="27.75" customHeight="1">
      <c r="B73" s="140" t="s">
        <v>392</v>
      </c>
      <c r="C73" s="141">
        <f>COUNTIFS('1. All Data'!$AD$3:$AD$129,"Regeneration &amp; Planning Policy",'1. All Data'!$I$3:$I$129,"Fully Achieved")</f>
        <v>2</v>
      </c>
      <c r="D73" s="142">
        <f>C73/C87</f>
        <v>6.8965517241379309E-2</v>
      </c>
      <c r="E73" s="431">
        <f>D73+D74</f>
        <v>0.86206896551724144</v>
      </c>
      <c r="F73" s="143">
        <f>C73/C88</f>
        <v>7.6923076923076927E-2</v>
      </c>
      <c r="G73" s="447">
        <f>F73+F74</f>
        <v>0.96153846153846145</v>
      </c>
      <c r="I73" s="140" t="s">
        <v>392</v>
      </c>
      <c r="J73" s="141">
        <f>COUNTIFS('1. All Data'!$AD$3:$AD$129,"Regeneration &amp; Planning Policy",'1. All Data'!$N$3:$N$129,"Fully Achieved")</f>
        <v>2</v>
      </c>
      <c r="K73" s="142">
        <f>J73/J87</f>
        <v>6.8965517241379309E-2</v>
      </c>
      <c r="L73" s="431">
        <f>K73+K74</f>
        <v>0.89655172413793105</v>
      </c>
      <c r="M73" s="143">
        <f>J73/J88</f>
        <v>7.407407407407407E-2</v>
      </c>
      <c r="N73" s="447">
        <f>M73+M74</f>
        <v>0.96296296296296291</v>
      </c>
      <c r="P73" s="140" t="s">
        <v>392</v>
      </c>
      <c r="Q73" s="141">
        <f>COUNTIFS('1. All Data'!$AD$3:$AD$129,"Regeneration &amp; Planning Policy",'1. All Data'!$S$3:$S$129,"Fully Achieved")</f>
        <v>9</v>
      </c>
      <c r="R73" s="142">
        <f>Q73/Q87</f>
        <v>0.31034482758620691</v>
      </c>
      <c r="S73" s="431">
        <f>R73+R74</f>
        <v>0.75862068965517238</v>
      </c>
      <c r="T73" s="143">
        <f>Q73/Q88</f>
        <v>0.36</v>
      </c>
      <c r="U73" s="447">
        <f>T73+T74</f>
        <v>0.88</v>
      </c>
      <c r="W73" s="59" t="s">
        <v>392</v>
      </c>
      <c r="X73" s="141">
        <f>COUNTIFS('1. All Data'!$AD$3:$AD$129,"Regeneration &amp; Planning Policy",'1. All Data'!$W$3:$W$129,"Fully Achieved")</f>
        <v>24</v>
      </c>
      <c r="Y73" s="346">
        <f>X73/X87</f>
        <v>0.8571428571428571</v>
      </c>
      <c r="Z73" s="431">
        <f>Y73+Y74</f>
        <v>0.92857142857142849</v>
      </c>
      <c r="AA73" s="346">
        <f>X73/X88</f>
        <v>0.88888888888888884</v>
      </c>
      <c r="AB73" s="405">
        <f>AA73+AA74</f>
        <v>0.96296296296296291</v>
      </c>
      <c r="AC73" s="23"/>
    </row>
    <row r="74" spans="2:29" ht="27.75" customHeight="1">
      <c r="B74" s="140" t="s">
        <v>343</v>
      </c>
      <c r="C74" s="141">
        <f>COUNTIFS('1. All Data'!$AD$3:$AD$129,"Regeneration &amp; Planning Policy",'1. All Data'!$I$3:$I$129,"On Track to be Achieved")</f>
        <v>23</v>
      </c>
      <c r="D74" s="142">
        <f>C74/C87</f>
        <v>0.7931034482758621</v>
      </c>
      <c r="E74" s="431"/>
      <c r="F74" s="143">
        <f>C74/C88</f>
        <v>0.88461538461538458</v>
      </c>
      <c r="G74" s="447"/>
      <c r="I74" s="140" t="s">
        <v>343</v>
      </c>
      <c r="J74" s="141">
        <f>COUNTIFS('1. All Data'!$AD$3:$AD$129,"Regeneration &amp; Planning Policy",'1. All Data'!$N$3:$N$129,"On Track to be Achieved")</f>
        <v>24</v>
      </c>
      <c r="K74" s="142">
        <f>J74/J87</f>
        <v>0.82758620689655171</v>
      </c>
      <c r="L74" s="431"/>
      <c r="M74" s="143">
        <f>J74/J88</f>
        <v>0.88888888888888884</v>
      </c>
      <c r="N74" s="447"/>
      <c r="P74" s="140" t="s">
        <v>343</v>
      </c>
      <c r="Q74" s="141">
        <f>COUNTIFS('1. All Data'!$AD$3:$AD$129,"Regeneration &amp; Planning Policy",'1. All Data'!$S$3:$S$129,"On Track to be Achieved")</f>
        <v>13</v>
      </c>
      <c r="R74" s="142">
        <f>Q74/Q87</f>
        <v>0.44827586206896552</v>
      </c>
      <c r="S74" s="431"/>
      <c r="T74" s="143">
        <f>Q74/Q88</f>
        <v>0.52</v>
      </c>
      <c r="U74" s="447"/>
      <c r="W74" s="59" t="s">
        <v>335</v>
      </c>
      <c r="X74" s="141">
        <f>COUNTIFS('1. All Data'!$AD$3:$AD$129,"Regeneration &amp; Planning Policy",'1. All Data'!$W$3:$W$129,"Numerical Outturn Within 5% Tolerance")</f>
        <v>2</v>
      </c>
      <c r="Y74" s="346">
        <f>X74/X87</f>
        <v>7.1428571428571425E-2</v>
      </c>
      <c r="Z74" s="431"/>
      <c r="AA74" s="346">
        <f>X74/X88</f>
        <v>7.407407407407407E-2</v>
      </c>
      <c r="AB74" s="405"/>
      <c r="AC74" s="23"/>
    </row>
    <row r="75" spans="2:29" ht="7.5" customHeight="1">
      <c r="B75" s="20"/>
      <c r="C75" s="33"/>
      <c r="D75" s="31"/>
      <c r="E75" s="31"/>
      <c r="F75" s="107"/>
      <c r="G75" s="32"/>
      <c r="I75" s="20"/>
      <c r="J75" s="33"/>
      <c r="K75" s="31"/>
      <c r="L75" s="31"/>
      <c r="M75" s="107"/>
      <c r="N75" s="32"/>
      <c r="P75" s="20"/>
      <c r="Q75" s="33"/>
      <c r="R75" s="31"/>
      <c r="S75" s="31"/>
      <c r="T75" s="107"/>
      <c r="U75" s="32"/>
      <c r="W75" s="24"/>
      <c r="X75" s="25"/>
      <c r="Y75" s="26"/>
      <c r="Z75" s="26"/>
      <c r="AA75" s="26"/>
      <c r="AB75" s="27"/>
      <c r="AC75" s="23"/>
    </row>
    <row r="76" spans="2:29" ht="21" customHeight="1">
      <c r="B76" s="432" t="s">
        <v>344</v>
      </c>
      <c r="C76" s="435">
        <f>COUNTIFS('1. All Data'!$AD$3:$AD$129,"Regeneration &amp; Planning Policy",'1. All Data'!$I$3:$I$129,"In Danger of Falling Behind Target")</f>
        <v>0</v>
      </c>
      <c r="D76" s="438">
        <f>C76/C87</f>
        <v>0</v>
      </c>
      <c r="E76" s="438">
        <f>D76</f>
        <v>0</v>
      </c>
      <c r="F76" s="441">
        <f>C76/C88</f>
        <v>0</v>
      </c>
      <c r="G76" s="444">
        <f>F76</f>
        <v>0</v>
      </c>
      <c r="I76" s="432" t="s">
        <v>344</v>
      </c>
      <c r="J76" s="435">
        <f>COUNTIFS('1. All Data'!$AD$3:$AD$129,"Regeneration &amp; Planning Policy",'1. All Data'!$N$3:$N$129,"In Danger of Falling Behind Target")</f>
        <v>0</v>
      </c>
      <c r="K76" s="438">
        <f>J76/J87</f>
        <v>0</v>
      </c>
      <c r="L76" s="438">
        <f>K76</f>
        <v>0</v>
      </c>
      <c r="M76" s="441">
        <f>J76/J88</f>
        <v>0</v>
      </c>
      <c r="N76" s="444">
        <f>M76</f>
        <v>0</v>
      </c>
      <c r="P76" s="432" t="s">
        <v>344</v>
      </c>
      <c r="Q76" s="435">
        <f>COUNTIFS('1. All Data'!$AD$3:$AD$129,"Regeneration &amp; Planning Policy",'1. All Data'!$S$3:$S$129,"In Danger of Falling Behind Target")</f>
        <v>1</v>
      </c>
      <c r="R76" s="438">
        <f>Q76/Q87</f>
        <v>3.4482758620689655E-2</v>
      </c>
      <c r="S76" s="438">
        <f>R76</f>
        <v>3.4482758620689655E-2</v>
      </c>
      <c r="T76" s="441">
        <f>Q76/Q88</f>
        <v>0.04</v>
      </c>
      <c r="U76" s="444">
        <f>T76</f>
        <v>0.04</v>
      </c>
      <c r="W76" s="80" t="s">
        <v>336</v>
      </c>
      <c r="X76" s="81">
        <f>COUNTIFS('1. All Data'!$AD$3:$AD$129,"Regeneration &amp; Planning Policy",'1. All Data'!$W$3:$W$129,"Numerical Outturn Within 10% Tolerance")</f>
        <v>0</v>
      </c>
      <c r="Y76" s="345">
        <f>X76/X87</f>
        <v>0</v>
      </c>
      <c r="Z76" s="404">
        <f>SUM(Y76:Y78)</f>
        <v>0</v>
      </c>
      <c r="AA76" s="345">
        <f>X76/X88</f>
        <v>0</v>
      </c>
      <c r="AB76" s="418">
        <f>SUM(AA76:AA78)</f>
        <v>0</v>
      </c>
      <c r="AC76" s="23"/>
    </row>
    <row r="77" spans="2:29" ht="18.75" customHeight="1">
      <c r="B77" s="433"/>
      <c r="C77" s="436"/>
      <c r="D77" s="439"/>
      <c r="E77" s="439"/>
      <c r="F77" s="442"/>
      <c r="G77" s="445"/>
      <c r="I77" s="433"/>
      <c r="J77" s="436"/>
      <c r="K77" s="439"/>
      <c r="L77" s="439"/>
      <c r="M77" s="442"/>
      <c r="N77" s="445"/>
      <c r="P77" s="433"/>
      <c r="Q77" s="436"/>
      <c r="R77" s="439"/>
      <c r="S77" s="439"/>
      <c r="T77" s="442"/>
      <c r="U77" s="445"/>
      <c r="W77" s="80" t="s">
        <v>337</v>
      </c>
      <c r="X77" s="81">
        <f>COUNTIFS('1. All Data'!$AD$3:$AD$129,"Regeneration &amp; Planning Policy",'1. All Data'!$W$3:$W$129,"Target Partially Met")</f>
        <v>0</v>
      </c>
      <c r="Y77" s="345">
        <f>X77/X87</f>
        <v>0</v>
      </c>
      <c r="Z77" s="404"/>
      <c r="AA77" s="345">
        <f>X77/X88</f>
        <v>0</v>
      </c>
      <c r="AB77" s="418"/>
      <c r="AC77" s="23"/>
    </row>
    <row r="78" spans="2:29" ht="20.25" customHeight="1">
      <c r="B78" s="434"/>
      <c r="C78" s="437"/>
      <c r="D78" s="440"/>
      <c r="E78" s="440"/>
      <c r="F78" s="443"/>
      <c r="G78" s="446"/>
      <c r="I78" s="434"/>
      <c r="J78" s="437"/>
      <c r="K78" s="440"/>
      <c r="L78" s="440"/>
      <c r="M78" s="443"/>
      <c r="N78" s="446"/>
      <c r="P78" s="434"/>
      <c r="Q78" s="437"/>
      <c r="R78" s="440"/>
      <c r="S78" s="440"/>
      <c r="T78" s="443"/>
      <c r="U78" s="446"/>
      <c r="W78" s="80" t="s">
        <v>340</v>
      </c>
      <c r="X78" s="81">
        <f>COUNTIFS('1. All Data'!$AD$3:$AD$129,"Regeneration &amp; Planning Policy",'1. All Data'!$W$3:$W$129,"Completion Date Within Reasonable Tolerance")</f>
        <v>0</v>
      </c>
      <c r="Y78" s="345">
        <f>X78/X87</f>
        <v>0</v>
      </c>
      <c r="Z78" s="404"/>
      <c r="AA78" s="345">
        <f>X78/X88</f>
        <v>0</v>
      </c>
      <c r="AB78" s="418"/>
      <c r="AC78" s="23"/>
    </row>
    <row r="79" spans="2:29" ht="6" customHeight="1">
      <c r="B79" s="20"/>
      <c r="C79" s="21"/>
      <c r="D79" s="31"/>
      <c r="E79" s="31"/>
      <c r="F79" s="107"/>
      <c r="G79" s="32"/>
      <c r="I79" s="20"/>
      <c r="J79" s="21"/>
      <c r="K79" s="31"/>
      <c r="L79" s="31"/>
      <c r="M79" s="107"/>
      <c r="N79" s="32"/>
      <c r="P79" s="20"/>
      <c r="Q79" s="21"/>
      <c r="R79" s="31"/>
      <c r="S79" s="31"/>
      <c r="T79" s="107"/>
      <c r="U79" s="32"/>
      <c r="W79" s="20"/>
      <c r="X79" s="21"/>
      <c r="Y79" s="31"/>
      <c r="Z79" s="31"/>
      <c r="AA79" s="31"/>
      <c r="AB79" s="32"/>
      <c r="AC79" s="23"/>
    </row>
    <row r="80" spans="2:29" ht="30" customHeight="1">
      <c r="B80" s="144" t="s">
        <v>345</v>
      </c>
      <c r="C80" s="141">
        <f>COUNTIFS('1. All Data'!$AD$3:$AD$129,"Regeneration &amp; Planning Policy",'1. All Data'!$I$3:$I$129,"Completed Behind Schedule")</f>
        <v>0</v>
      </c>
      <c r="D80" s="142">
        <f>C80/C87</f>
        <v>0</v>
      </c>
      <c r="E80" s="431">
        <f>D80+D81</f>
        <v>3.4482758620689655E-2</v>
      </c>
      <c r="F80" s="143">
        <f>C80/C88</f>
        <v>0</v>
      </c>
      <c r="G80" s="448">
        <f>F80+F81</f>
        <v>3.8461538461538464E-2</v>
      </c>
      <c r="I80" s="144" t="s">
        <v>345</v>
      </c>
      <c r="J80" s="141">
        <f>COUNTIFS('1. All Data'!$AD$3:$AD$129,"Regeneration &amp; Planning Policy",'1. All Data'!$N$3:$N$129,"Completed Behind Schedule")</f>
        <v>1</v>
      </c>
      <c r="K80" s="142">
        <f>J80/J87</f>
        <v>3.4482758620689655E-2</v>
      </c>
      <c r="L80" s="431">
        <f>K80+K81</f>
        <v>3.4482758620689655E-2</v>
      </c>
      <c r="M80" s="143">
        <f>J80/J88</f>
        <v>3.7037037037037035E-2</v>
      </c>
      <c r="N80" s="448">
        <f>M80+M81</f>
        <v>3.7037037037037035E-2</v>
      </c>
      <c r="P80" s="144" t="s">
        <v>345</v>
      </c>
      <c r="Q80" s="141">
        <f>COUNTIFS('1. All Data'!$AD$3:$AD$129,"Regeneration &amp; Planning Policy",'1. All Data'!$S$3:$S$129,"Completed Behind Schedule")</f>
        <v>1</v>
      </c>
      <c r="R80" s="142">
        <f>Q80/Q87</f>
        <v>3.4482758620689655E-2</v>
      </c>
      <c r="S80" s="431">
        <f>R80+R81</f>
        <v>6.8965517241379309E-2</v>
      </c>
      <c r="T80" s="143">
        <f>Q80/Q88</f>
        <v>0.04</v>
      </c>
      <c r="U80" s="448">
        <f>T80+T81</f>
        <v>0.08</v>
      </c>
      <c r="W80" s="63" t="s">
        <v>339</v>
      </c>
      <c r="X80" s="141">
        <f>COUNTIFS('1. All Data'!$AD$3:$AD$129,"Regeneration &amp; Planning Policy",'1. All Data'!$W$3:$W$129,"Completed Significantly After Target Deadline")</f>
        <v>0</v>
      </c>
      <c r="Y80" s="346">
        <f>X80/X87</f>
        <v>0</v>
      </c>
      <c r="Z80" s="431">
        <f>Y80+Y81</f>
        <v>3.5714285714285712E-2</v>
      </c>
      <c r="AA80" s="345">
        <f>X80/X88</f>
        <v>0</v>
      </c>
      <c r="AB80" s="419">
        <f>AA80+AA81</f>
        <v>3.7037037037037035E-2</v>
      </c>
      <c r="AC80" s="23"/>
    </row>
    <row r="81" spans="2:29" ht="30" customHeight="1">
      <c r="B81" s="144" t="s">
        <v>338</v>
      </c>
      <c r="C81" s="141">
        <f>COUNTIFS('1. All Data'!$AD$3:$AD$129,"Regeneration &amp; Planning Policy",'1. All Data'!$I$3:$I$129,"Off Target")</f>
        <v>1</v>
      </c>
      <c r="D81" s="142">
        <f>C81/C87</f>
        <v>3.4482758620689655E-2</v>
      </c>
      <c r="E81" s="431"/>
      <c r="F81" s="143">
        <f>C81/C88</f>
        <v>3.8461538461538464E-2</v>
      </c>
      <c r="G81" s="448"/>
      <c r="I81" s="144" t="s">
        <v>338</v>
      </c>
      <c r="J81" s="141">
        <f>COUNTIFS('1. All Data'!$AD$3:$AD$129,"Regeneration &amp; Planning Policy",'1. All Data'!$N$3:$N$129,"Off Target")</f>
        <v>0</v>
      </c>
      <c r="K81" s="142">
        <f>J81/J87</f>
        <v>0</v>
      </c>
      <c r="L81" s="431"/>
      <c r="M81" s="143">
        <f>J81/J88</f>
        <v>0</v>
      </c>
      <c r="N81" s="448"/>
      <c r="P81" s="144" t="s">
        <v>338</v>
      </c>
      <c r="Q81" s="141">
        <f>COUNTIFS('1. All Data'!$AD$3:$AD$129,"Regeneration &amp; Planning Policy",'1. All Data'!$S$3:$S$129,"Off Target")</f>
        <v>1</v>
      </c>
      <c r="R81" s="142">
        <f>Q81/Q87</f>
        <v>3.4482758620689655E-2</v>
      </c>
      <c r="S81" s="431"/>
      <c r="T81" s="143">
        <f>Q81/Q88</f>
        <v>0.04</v>
      </c>
      <c r="U81" s="448"/>
      <c r="W81" s="63" t="s">
        <v>338</v>
      </c>
      <c r="X81" s="141">
        <f>COUNTIFS('1. All Data'!$AD$3:$AD$129,"Regeneration &amp; Planning Policy",'1. All Data'!$S$3:$S$129,"Off Target")</f>
        <v>1</v>
      </c>
      <c r="Y81" s="346">
        <f>X81/X87</f>
        <v>3.5714285714285712E-2</v>
      </c>
      <c r="Z81" s="431"/>
      <c r="AA81" s="345">
        <f>X81/X88</f>
        <v>3.7037037037037035E-2</v>
      </c>
      <c r="AB81" s="419"/>
      <c r="AC81" s="23"/>
    </row>
    <row r="82" spans="2:29" ht="5.25" customHeight="1">
      <c r="B82" s="20"/>
      <c r="C82" s="33"/>
      <c r="D82" s="31"/>
      <c r="E82" s="31"/>
      <c r="F82" s="107"/>
      <c r="G82" s="34"/>
      <c r="I82" s="20"/>
      <c r="J82" s="33"/>
      <c r="K82" s="31"/>
      <c r="L82" s="31"/>
      <c r="M82" s="107"/>
      <c r="N82" s="34"/>
      <c r="P82" s="20"/>
      <c r="Q82" s="33"/>
      <c r="R82" s="31"/>
      <c r="S82" s="31"/>
      <c r="T82" s="107"/>
      <c r="U82" s="34"/>
      <c r="W82" s="20"/>
      <c r="X82" s="33"/>
      <c r="Y82" s="31"/>
      <c r="Z82" s="31"/>
      <c r="AA82" s="31"/>
      <c r="AB82" s="34"/>
      <c r="AC82" s="23"/>
    </row>
    <row r="83" spans="2:29" ht="15.75" customHeight="1">
      <c r="B83" s="147" t="s">
        <v>393</v>
      </c>
      <c r="C83" s="141">
        <f>COUNTIFS('1. All Data'!$AD$3:$AD$129,"Regeneration &amp; Planning Policy",'1. All Data'!$I$3:$I$129,"Not yet due")</f>
        <v>3</v>
      </c>
      <c r="D83" s="145">
        <f>C83/C87</f>
        <v>0.10344827586206896</v>
      </c>
      <c r="E83" s="145">
        <f>D83</f>
        <v>0.10344827586206896</v>
      </c>
      <c r="F83" s="108"/>
      <c r="G83" s="36"/>
      <c r="I83" s="147" t="s">
        <v>393</v>
      </c>
      <c r="J83" s="141">
        <f>COUNTIFS('1. All Data'!$AD$3:$AD$129,"Regeneration &amp; Planning Policy",'1. All Data'!$N$3:$N$129,"Not yet due")</f>
        <v>2</v>
      </c>
      <c r="K83" s="145">
        <f>J83/J87</f>
        <v>6.8965517241379309E-2</v>
      </c>
      <c r="L83" s="145">
        <f>K83</f>
        <v>6.8965517241379309E-2</v>
      </c>
      <c r="M83" s="108"/>
      <c r="N83" s="36"/>
      <c r="P83" s="147" t="s">
        <v>393</v>
      </c>
      <c r="Q83" s="141">
        <f>COUNTIFS('1. All Data'!$AD$3:$AD$129,"Regeneration &amp; Planning Policy",'1. All Data'!$S$3:$S$129,"Not yet due")</f>
        <v>3</v>
      </c>
      <c r="R83" s="145">
        <f>Q83/Q87</f>
        <v>0.10344827586206896</v>
      </c>
      <c r="S83" s="145">
        <f>R83</f>
        <v>0.10344827586206896</v>
      </c>
      <c r="T83" s="108"/>
      <c r="U83" s="36"/>
      <c r="W83" s="64" t="s">
        <v>393</v>
      </c>
      <c r="X83" s="141">
        <f>COUNTIFS('1. All Data'!$AD$3:$AD$129,"Regeneration &amp; Planning Policy",'1. All Data'!$W$3:$W$129,"Not yet due")</f>
        <v>0</v>
      </c>
      <c r="Y83" s="145">
        <f>X83/X87</f>
        <v>0</v>
      </c>
      <c r="Z83" s="145">
        <f>Y83</f>
        <v>0</v>
      </c>
      <c r="AA83" s="35"/>
      <c r="AB83" s="36"/>
      <c r="AC83" s="23"/>
    </row>
    <row r="84" spans="2:29" ht="15.75" customHeight="1">
      <c r="B84" s="147" t="s">
        <v>333</v>
      </c>
      <c r="C84" s="141">
        <f>COUNTIFS('1. All Data'!$AD$3:$AD$129,"Regeneration &amp; Planning Policy",'1. All Data'!$I$3:$I$129,"Update not provided")</f>
        <v>0</v>
      </c>
      <c r="D84" s="145">
        <f>C84/C87</f>
        <v>0</v>
      </c>
      <c r="E84" s="145">
        <f>D84</f>
        <v>0</v>
      </c>
      <c r="F84" s="108"/>
      <c r="G84" s="38"/>
      <c r="I84" s="147" t="s">
        <v>333</v>
      </c>
      <c r="J84" s="141">
        <f>COUNTIFS('1. All Data'!$AD$3:$AD$129,"Regeneration &amp; Planning Policy",'1. All Data'!$N$3:$N$129,"Update not provided")</f>
        <v>0</v>
      </c>
      <c r="K84" s="145">
        <f>J84/J87</f>
        <v>0</v>
      </c>
      <c r="L84" s="145">
        <f>K84</f>
        <v>0</v>
      </c>
      <c r="M84" s="108"/>
      <c r="N84" s="38"/>
      <c r="P84" s="147" t="s">
        <v>333</v>
      </c>
      <c r="Q84" s="141">
        <f>COUNTIFS('1. All Data'!$AD$3:$AD$129,"Regeneration &amp; Planning Policy",'1. All Data'!$S$3:$S$129,"Update not provided")</f>
        <v>0</v>
      </c>
      <c r="R84" s="145">
        <f>Q84/Q87</f>
        <v>0</v>
      </c>
      <c r="S84" s="145">
        <f>R84</f>
        <v>0</v>
      </c>
      <c r="T84" s="108"/>
      <c r="U84" s="38"/>
      <c r="W84" s="64" t="s">
        <v>333</v>
      </c>
      <c r="X84" s="141">
        <f>COUNTIFS('1. All Data'!$AD$3:$AD$129,"Regeneration &amp; Planning Policy",'1. All Data'!$W$3:$W$129,"Update not provided")</f>
        <v>0</v>
      </c>
      <c r="Y84" s="145">
        <f>X84/X87</f>
        <v>0</v>
      </c>
      <c r="Z84" s="145">
        <f>Y84</f>
        <v>0</v>
      </c>
      <c r="AA84" s="35"/>
      <c r="AB84" s="38"/>
      <c r="AC84" s="23"/>
    </row>
    <row r="85" spans="2:29" ht="15.75" customHeight="1">
      <c r="B85" s="148" t="s">
        <v>341</v>
      </c>
      <c r="C85" s="141">
        <f>COUNTIFS('1. All Data'!$AD$3:$AD$129,"Regeneration &amp; Planning Policy",'1. All Data'!$I$3:$I$129,"Deferred")</f>
        <v>0</v>
      </c>
      <c r="D85" s="146">
        <f>C85/C87</f>
        <v>0</v>
      </c>
      <c r="E85" s="146">
        <f>D85</f>
        <v>0</v>
      </c>
      <c r="F85" s="109"/>
      <c r="G85" s="36"/>
      <c r="I85" s="148" t="s">
        <v>341</v>
      </c>
      <c r="J85" s="141">
        <f>COUNTIFS('1. All Data'!$AD$3:$AD$129,"Regeneration &amp; Planning Policy",'1. All Data'!$N$3:$N$129,"Deferred")</f>
        <v>0</v>
      </c>
      <c r="K85" s="146">
        <f>J85/J87</f>
        <v>0</v>
      </c>
      <c r="L85" s="146">
        <f>K85</f>
        <v>0</v>
      </c>
      <c r="M85" s="109"/>
      <c r="N85" s="36"/>
      <c r="P85" s="148" t="s">
        <v>341</v>
      </c>
      <c r="Q85" s="141">
        <f>COUNTIFS('1. All Data'!$AD$3:$AD$129,"Regeneration &amp; Planning Policy",'1. All Data'!$S$3:$S$129,"Deferred")</f>
        <v>0</v>
      </c>
      <c r="R85" s="146">
        <f>Q85/Q87</f>
        <v>0</v>
      </c>
      <c r="S85" s="146">
        <f>R85</f>
        <v>0</v>
      </c>
      <c r="T85" s="109"/>
      <c r="U85" s="36"/>
      <c r="W85" s="66" t="s">
        <v>341</v>
      </c>
      <c r="X85" s="141">
        <f>COUNTIFS('1. All Data'!$AD$3:$AD$129,"Regeneration &amp; Planning Policy",'1. All Data'!$W$3:$W$129,"Deferred")</f>
        <v>0</v>
      </c>
      <c r="Y85" s="146">
        <f>X85/X87</f>
        <v>0</v>
      </c>
      <c r="Z85" s="146">
        <f>Y85</f>
        <v>0</v>
      </c>
      <c r="AA85" s="40"/>
      <c r="AB85" s="36"/>
      <c r="AC85" s="23"/>
    </row>
    <row r="86" spans="2:29" ht="15.75" customHeight="1">
      <c r="B86" s="148" t="s">
        <v>342</v>
      </c>
      <c r="C86" s="141">
        <f>COUNTIFS('1. All Data'!$AD$3:$AD$129,"Regeneration &amp; Planning Policy",'1. All Data'!$I$3:$I$129,"Deleted")</f>
        <v>0</v>
      </c>
      <c r="D86" s="146">
        <f>C86/C87</f>
        <v>0</v>
      </c>
      <c r="E86" s="146">
        <f>D86</f>
        <v>0</v>
      </c>
      <c r="F86" s="109"/>
      <c r="G86" s="110" t="s">
        <v>394</v>
      </c>
      <c r="I86" s="148" t="s">
        <v>342</v>
      </c>
      <c r="J86" s="141">
        <f>COUNTIFS('1. All Data'!$AD$3:$AD$129,"Regeneration &amp; Planning Policy",'1. All Data'!$N$3:$N$129,"Deleted")</f>
        <v>0</v>
      </c>
      <c r="K86" s="146">
        <f>J86/J87</f>
        <v>0</v>
      </c>
      <c r="L86" s="146">
        <f>K86</f>
        <v>0</v>
      </c>
      <c r="M86" s="109"/>
      <c r="N86" s="110" t="s">
        <v>394</v>
      </c>
      <c r="P86" s="148" t="s">
        <v>342</v>
      </c>
      <c r="Q86" s="141">
        <f>COUNTIFS('1. All Data'!$AD$3:$AD$129,"Regeneration &amp; Planning Policy",'1. All Data'!$S$3:$S$129,"Deleted")</f>
        <v>1</v>
      </c>
      <c r="R86" s="146">
        <f>Q86/Q87</f>
        <v>3.4482758620689655E-2</v>
      </c>
      <c r="S86" s="146">
        <f>R86</f>
        <v>3.4482758620689655E-2</v>
      </c>
      <c r="T86" s="109"/>
      <c r="U86" s="110" t="s">
        <v>394</v>
      </c>
      <c r="W86" s="66" t="s">
        <v>342</v>
      </c>
      <c r="X86" s="141">
        <f>COUNTIFS('1. All Data'!$AD$3:$AD$129,"Regeneration &amp; Planning Policy",'1. All Data'!$W$3:$W$129,"Deleted")</f>
        <v>1</v>
      </c>
      <c r="Y86" s="146">
        <f>X86/X87</f>
        <v>3.5714285714285712E-2</v>
      </c>
      <c r="Z86" s="146">
        <f>Y86</f>
        <v>3.5714285714285712E-2</v>
      </c>
      <c r="AA86" s="40"/>
      <c r="AB86" s="42" t="s">
        <v>394</v>
      </c>
      <c r="AC86" s="23"/>
    </row>
    <row r="87" spans="2:29" ht="15.75" customHeight="1">
      <c r="B87" s="149" t="s">
        <v>395</v>
      </c>
      <c r="C87" s="150">
        <f>SUM(C73:C86)</f>
        <v>29</v>
      </c>
      <c r="D87" s="40"/>
      <c r="E87" s="40"/>
      <c r="F87" s="111"/>
      <c r="G87" s="36"/>
      <c r="I87" s="149" t="s">
        <v>395</v>
      </c>
      <c r="J87" s="150">
        <f>SUM(J73:J86)</f>
        <v>29</v>
      </c>
      <c r="K87" s="40"/>
      <c r="L87" s="40"/>
      <c r="M87" s="111"/>
      <c r="N87" s="36"/>
      <c r="P87" s="149" t="s">
        <v>395</v>
      </c>
      <c r="Q87" s="150">
        <f>SUM(Q73:Q86)</f>
        <v>29</v>
      </c>
      <c r="R87" s="40"/>
      <c r="S87" s="40"/>
      <c r="T87" s="111"/>
      <c r="U87" s="36"/>
      <c r="W87" s="68" t="s">
        <v>395</v>
      </c>
      <c r="X87" s="150">
        <f>SUM(X73:X86)</f>
        <v>28</v>
      </c>
      <c r="Y87" s="40"/>
      <c r="Z87" s="40"/>
      <c r="AA87" s="36"/>
      <c r="AB87" s="36"/>
      <c r="AC87" s="23"/>
    </row>
    <row r="88" spans="2:29" ht="15.75" customHeight="1">
      <c r="B88" s="149" t="s">
        <v>396</v>
      </c>
      <c r="C88" s="150">
        <f>C87-C86-C85-C84-C83</f>
        <v>26</v>
      </c>
      <c r="D88" s="36"/>
      <c r="E88" s="36"/>
      <c r="F88" s="111"/>
      <c r="G88" s="36"/>
      <c r="I88" s="149" t="s">
        <v>396</v>
      </c>
      <c r="J88" s="150">
        <f>J87-J86-J85-J84-J83</f>
        <v>27</v>
      </c>
      <c r="K88" s="36"/>
      <c r="L88" s="36"/>
      <c r="M88" s="111"/>
      <c r="N88" s="36"/>
      <c r="P88" s="149" t="s">
        <v>396</v>
      </c>
      <c r="Q88" s="150">
        <f>Q87-Q86-Q85-Q84-Q83</f>
        <v>25</v>
      </c>
      <c r="R88" s="36"/>
      <c r="S88" s="36"/>
      <c r="T88" s="111"/>
      <c r="U88" s="36"/>
      <c r="W88" s="68" t="s">
        <v>396</v>
      </c>
      <c r="X88" s="150">
        <f>X87-X86-X85-X84-X83</f>
        <v>27</v>
      </c>
      <c r="Y88" s="36"/>
      <c r="Z88" s="36"/>
      <c r="AA88" s="36"/>
      <c r="AB88" s="36"/>
      <c r="AC88" s="23"/>
    </row>
    <row r="89" spans="2:29" ht="15.75" customHeight="1">
      <c r="W89" s="43"/>
      <c r="AA89" s="37"/>
      <c r="AC89" s="23"/>
    </row>
    <row r="90" spans="2:29" ht="15.75" customHeight="1">
      <c r="W90" s="22"/>
      <c r="X90" s="22"/>
      <c r="Y90" s="22"/>
      <c r="Z90" s="22"/>
      <c r="AA90" s="22"/>
      <c r="AB90" s="41"/>
      <c r="AC90" s="23"/>
    </row>
    <row r="91" spans="2:29" s="23" customFormat="1" ht="15.75" customHeight="1">
      <c r="B91" s="49"/>
      <c r="C91" s="22"/>
      <c r="D91" s="22"/>
      <c r="E91" s="22"/>
      <c r="F91" s="111"/>
      <c r="G91" s="22"/>
      <c r="I91" s="49"/>
      <c r="J91" s="22"/>
      <c r="K91" s="22"/>
      <c r="L91" s="22"/>
      <c r="M91" s="111"/>
      <c r="N91" s="22"/>
      <c r="P91" s="49"/>
      <c r="Q91" s="22"/>
      <c r="R91" s="22"/>
      <c r="S91" s="22"/>
      <c r="T91" s="111"/>
      <c r="U91" s="22"/>
      <c r="W91" s="22"/>
      <c r="X91" s="22"/>
      <c r="Y91" s="22"/>
      <c r="Z91" s="22"/>
      <c r="AA91" s="22"/>
      <c r="AB91" s="41"/>
    </row>
    <row r="92" spans="2:29" s="23" customFormat="1" ht="15.75">
      <c r="B92" s="160" t="s">
        <v>425</v>
      </c>
      <c r="C92" s="152"/>
      <c r="D92" s="152"/>
      <c r="E92" s="152"/>
      <c r="F92" s="153"/>
      <c r="G92" s="152"/>
      <c r="I92" s="160" t="s">
        <v>425</v>
      </c>
      <c r="J92" s="152"/>
      <c r="K92" s="152"/>
      <c r="L92" s="152"/>
      <c r="M92" s="153"/>
      <c r="N92" s="152"/>
      <c r="P92" s="160" t="s">
        <v>425</v>
      </c>
      <c r="Q92" s="152"/>
      <c r="R92" s="152"/>
      <c r="S92" s="152"/>
      <c r="T92" s="153"/>
      <c r="U92" s="152"/>
      <c r="W92" s="160" t="s">
        <v>425</v>
      </c>
      <c r="X92" s="152"/>
      <c r="Y92" s="152"/>
      <c r="Z92" s="152"/>
      <c r="AA92" s="153"/>
      <c r="AB92" s="152"/>
    </row>
    <row r="93" spans="2:29" ht="36" customHeight="1">
      <c r="B93" s="154" t="s">
        <v>386</v>
      </c>
      <c r="C93" s="155" t="s">
        <v>387</v>
      </c>
      <c r="D93" s="155" t="s">
        <v>388</v>
      </c>
      <c r="E93" s="155" t="s">
        <v>389</v>
      </c>
      <c r="F93" s="154" t="s">
        <v>390</v>
      </c>
      <c r="G93" s="155" t="s">
        <v>391</v>
      </c>
      <c r="I93" s="154" t="s">
        <v>386</v>
      </c>
      <c r="J93" s="155" t="s">
        <v>387</v>
      </c>
      <c r="K93" s="155" t="s">
        <v>388</v>
      </c>
      <c r="L93" s="155" t="s">
        <v>389</v>
      </c>
      <c r="M93" s="154" t="s">
        <v>390</v>
      </c>
      <c r="N93" s="155" t="s">
        <v>391</v>
      </c>
      <c r="P93" s="154" t="s">
        <v>386</v>
      </c>
      <c r="Q93" s="155" t="s">
        <v>387</v>
      </c>
      <c r="R93" s="155" t="s">
        <v>388</v>
      </c>
      <c r="S93" s="155" t="s">
        <v>389</v>
      </c>
      <c r="T93" s="154" t="s">
        <v>390</v>
      </c>
      <c r="U93" s="155" t="s">
        <v>391</v>
      </c>
      <c r="W93" s="73" t="s">
        <v>386</v>
      </c>
      <c r="X93" s="73" t="s">
        <v>387</v>
      </c>
      <c r="Y93" s="73" t="s">
        <v>388</v>
      </c>
      <c r="Z93" s="73" t="s">
        <v>389</v>
      </c>
      <c r="AA93" s="73" t="s">
        <v>390</v>
      </c>
      <c r="AB93" s="73" t="s">
        <v>391</v>
      </c>
      <c r="AC93" s="23"/>
    </row>
    <row r="94" spans="2:29" s="23" customFormat="1" ht="7.5" customHeight="1">
      <c r="B94" s="20"/>
      <c r="C94" s="21"/>
      <c r="D94" s="21"/>
      <c r="E94" s="21"/>
      <c r="F94" s="20"/>
      <c r="G94" s="21"/>
      <c r="I94" s="20"/>
      <c r="J94" s="21"/>
      <c r="K94" s="21"/>
      <c r="L94" s="21"/>
      <c r="M94" s="20"/>
      <c r="N94" s="21"/>
      <c r="P94" s="20"/>
      <c r="Q94" s="21"/>
      <c r="R94" s="21"/>
      <c r="S94" s="21"/>
      <c r="T94" s="20"/>
      <c r="U94" s="21"/>
      <c r="W94" s="20"/>
      <c r="X94" s="21"/>
      <c r="Y94" s="21"/>
      <c r="Z94" s="21"/>
      <c r="AA94" s="21"/>
      <c r="AB94" s="21"/>
    </row>
    <row r="95" spans="2:29" ht="18.75" customHeight="1">
      <c r="B95" s="140" t="s">
        <v>392</v>
      </c>
      <c r="C95" s="141">
        <f>COUNTIFS('1. All Data'!$AD$3:$AD$129,"Regulatory &amp; Community Support",'1. All Data'!$I$3:$I$129,"Fully Achieved")</f>
        <v>1</v>
      </c>
      <c r="D95" s="142">
        <f>C95/C109</f>
        <v>7.6923076923076927E-2</v>
      </c>
      <c r="E95" s="431">
        <f>D95+D96</f>
        <v>0.92307692307692313</v>
      </c>
      <c r="F95" s="143">
        <f>C95/C110</f>
        <v>8.3333333333333329E-2</v>
      </c>
      <c r="G95" s="447">
        <f>F95+F96</f>
        <v>1</v>
      </c>
      <c r="I95" s="140" t="s">
        <v>392</v>
      </c>
      <c r="J95" s="141">
        <f>COUNTIFS('1. All Data'!$AD$3:$AD$129,"Regulatory &amp; Community Support",'1. All Data'!$N$3:$N$129,"Fully Achieved")</f>
        <v>5</v>
      </c>
      <c r="K95" s="142">
        <f>J95/J109</f>
        <v>0.38461538461538464</v>
      </c>
      <c r="L95" s="431">
        <f>K95+K96</f>
        <v>1</v>
      </c>
      <c r="M95" s="143">
        <f>J95/J110</f>
        <v>0.38461538461538464</v>
      </c>
      <c r="N95" s="447">
        <f>M95+M96</f>
        <v>1</v>
      </c>
      <c r="P95" s="140" t="s">
        <v>392</v>
      </c>
      <c r="Q95" s="141">
        <f>COUNTIFS('1. All Data'!$AD$3:$AD$129,"Regulatory &amp; Community Support",'1. All Data'!$S$3:$S$129,"Fully Achieved")</f>
        <v>8</v>
      </c>
      <c r="R95" s="142">
        <f>Q95/Q109</f>
        <v>0.61538461538461542</v>
      </c>
      <c r="S95" s="431">
        <f>R95+R96</f>
        <v>1</v>
      </c>
      <c r="T95" s="143">
        <f>Q95/Q110</f>
        <v>0.61538461538461542</v>
      </c>
      <c r="U95" s="447">
        <f>T95+T96</f>
        <v>1</v>
      </c>
      <c r="W95" s="59" t="s">
        <v>392</v>
      </c>
      <c r="X95" s="141">
        <f>COUNTIFS('1. All Data'!$AD$3:$AD$129,"Regulatory &amp; Community Support",'1. All Data'!$W$3:$W$129,"Fully Achieved")</f>
        <v>13</v>
      </c>
      <c r="Y95" s="346">
        <f>X95/X109</f>
        <v>1</v>
      </c>
      <c r="Z95" s="431">
        <f>Y95+Y96</f>
        <v>1</v>
      </c>
      <c r="AA95" s="346">
        <f>X95/X110</f>
        <v>1</v>
      </c>
      <c r="AB95" s="405">
        <f>AA95+AA96</f>
        <v>1</v>
      </c>
      <c r="AC95" s="23"/>
    </row>
    <row r="96" spans="2:29" ht="18.75" customHeight="1">
      <c r="B96" s="140" t="s">
        <v>343</v>
      </c>
      <c r="C96" s="141">
        <f>COUNTIFS('1. All Data'!$AD$3:$AD$129,"Regulatory &amp; Community Support",'1. All Data'!$I$3:$I$129,"On Track to be Achieved")</f>
        <v>11</v>
      </c>
      <c r="D96" s="142">
        <f>C96/C109</f>
        <v>0.84615384615384615</v>
      </c>
      <c r="E96" s="431"/>
      <c r="F96" s="143">
        <f>C96/C110</f>
        <v>0.91666666666666663</v>
      </c>
      <c r="G96" s="447"/>
      <c r="I96" s="140" t="s">
        <v>343</v>
      </c>
      <c r="J96" s="141">
        <f>COUNTIFS('1. All Data'!$AD$3:$AD$129,"Regulatory &amp; Community Support",'1. All Data'!$N$3:$N$129,"On Track to be Achieved")</f>
        <v>8</v>
      </c>
      <c r="K96" s="142">
        <f>J96/J109</f>
        <v>0.61538461538461542</v>
      </c>
      <c r="L96" s="431"/>
      <c r="M96" s="143">
        <f>J96/J110</f>
        <v>0.61538461538461542</v>
      </c>
      <c r="N96" s="447"/>
      <c r="P96" s="140" t="s">
        <v>343</v>
      </c>
      <c r="Q96" s="141">
        <f>COUNTIFS('1. All Data'!$AD$3:$AD$129,"Regulatory &amp; Community Support",'1. All Data'!$S$3:$S$129,"On Track to be Achieved")</f>
        <v>5</v>
      </c>
      <c r="R96" s="142">
        <f>Q96/Q109</f>
        <v>0.38461538461538464</v>
      </c>
      <c r="S96" s="431"/>
      <c r="T96" s="143">
        <f>Q96/Q110</f>
        <v>0.38461538461538464</v>
      </c>
      <c r="U96" s="447"/>
      <c r="W96" s="59" t="s">
        <v>335</v>
      </c>
      <c r="X96" s="141">
        <f>COUNTIFS('1. All Data'!$AD$3:$AD$129,"Regulatory &amp; Community Support",'1. All Data'!$W$3:$W$129,"Numerical Outturn Within 5% Tolerance")</f>
        <v>0</v>
      </c>
      <c r="Y96" s="346">
        <f>X96/X109</f>
        <v>0</v>
      </c>
      <c r="Z96" s="431"/>
      <c r="AA96" s="346">
        <f>X96/X110</f>
        <v>0</v>
      </c>
      <c r="AB96" s="405"/>
      <c r="AC96" s="23"/>
    </row>
    <row r="97" spans="2:29" s="23" customFormat="1" ht="6.75" customHeight="1">
      <c r="B97" s="20"/>
      <c r="C97" s="33"/>
      <c r="D97" s="31"/>
      <c r="E97" s="31"/>
      <c r="F97" s="107"/>
      <c r="G97" s="32"/>
      <c r="I97" s="20"/>
      <c r="J97" s="33"/>
      <c r="K97" s="31"/>
      <c r="L97" s="31"/>
      <c r="M97" s="107"/>
      <c r="N97" s="32"/>
      <c r="P97" s="20"/>
      <c r="Q97" s="33"/>
      <c r="R97" s="31"/>
      <c r="S97" s="31"/>
      <c r="T97" s="107"/>
      <c r="U97" s="32"/>
      <c r="W97" s="24"/>
      <c r="X97" s="25"/>
      <c r="Y97" s="26"/>
      <c r="Z97" s="26"/>
      <c r="AA97" s="26"/>
      <c r="AB97" s="27"/>
    </row>
    <row r="98" spans="2:29" ht="16.5" customHeight="1">
      <c r="B98" s="432" t="s">
        <v>344</v>
      </c>
      <c r="C98" s="435">
        <f>COUNTIFS('1. All Data'!$AD$3:$AD$129,"Regulatory &amp; Community Support",'1. All Data'!$I$3:$I$129,"In Danger of Falling Behind Target")</f>
        <v>0</v>
      </c>
      <c r="D98" s="438">
        <f>C98/C109</f>
        <v>0</v>
      </c>
      <c r="E98" s="438">
        <f>D98</f>
        <v>0</v>
      </c>
      <c r="F98" s="441">
        <f>C98/C110</f>
        <v>0</v>
      </c>
      <c r="G98" s="444">
        <f>F98</f>
        <v>0</v>
      </c>
      <c r="I98" s="432" t="s">
        <v>344</v>
      </c>
      <c r="J98" s="435">
        <f>COUNTIFS('1. All Data'!$AD$3:$AD$129,"Regulatory &amp; Community Support",'1. All Data'!$N$3:$N$129,"In Danger of Falling Behind Target")</f>
        <v>0</v>
      </c>
      <c r="K98" s="438">
        <f>J98/J109</f>
        <v>0</v>
      </c>
      <c r="L98" s="438">
        <f>K98</f>
        <v>0</v>
      </c>
      <c r="M98" s="441">
        <f>J98/J110</f>
        <v>0</v>
      </c>
      <c r="N98" s="444">
        <f>M98</f>
        <v>0</v>
      </c>
      <c r="P98" s="432" t="s">
        <v>344</v>
      </c>
      <c r="Q98" s="435">
        <f>COUNTIFS('1. All Data'!$AD$3:$AD$129,"Regulatory &amp; Community Support",'1. All Data'!$S$3:$S$129,"In Danger of Falling Behind Target")</f>
        <v>0</v>
      </c>
      <c r="R98" s="438">
        <f>Q98/Q109</f>
        <v>0</v>
      </c>
      <c r="S98" s="438">
        <f>R98</f>
        <v>0</v>
      </c>
      <c r="T98" s="441">
        <f>Q98/Q110</f>
        <v>0</v>
      </c>
      <c r="U98" s="444">
        <f>T98</f>
        <v>0</v>
      </c>
      <c r="W98" s="80" t="s">
        <v>336</v>
      </c>
      <c r="X98" s="81">
        <f>COUNTIFS('1. All Data'!$AD$3:$AD$129,"Regulatory &amp; Community Support",'1. All Data'!$W$3:$W$129,"Numerical Outturn Within 10% Tolerance")</f>
        <v>0</v>
      </c>
      <c r="Y98" s="345">
        <f>X98/X109</f>
        <v>0</v>
      </c>
      <c r="Z98" s="404">
        <f>SUM(Y98:Y100)</f>
        <v>0</v>
      </c>
      <c r="AA98" s="345">
        <f>X98/X110</f>
        <v>0</v>
      </c>
      <c r="AB98" s="418">
        <f>SUM(AA98:AA100)</f>
        <v>0</v>
      </c>
      <c r="AC98" s="23"/>
    </row>
    <row r="99" spans="2:29" ht="16.5" customHeight="1">
      <c r="B99" s="433"/>
      <c r="C99" s="436"/>
      <c r="D99" s="439"/>
      <c r="E99" s="439"/>
      <c r="F99" s="442"/>
      <c r="G99" s="445"/>
      <c r="I99" s="433"/>
      <c r="J99" s="436"/>
      <c r="K99" s="439"/>
      <c r="L99" s="439"/>
      <c r="M99" s="442"/>
      <c r="N99" s="445"/>
      <c r="P99" s="433"/>
      <c r="Q99" s="436"/>
      <c r="R99" s="439"/>
      <c r="S99" s="439"/>
      <c r="T99" s="442"/>
      <c r="U99" s="445"/>
      <c r="W99" s="80" t="s">
        <v>337</v>
      </c>
      <c r="X99" s="81">
        <f>COUNTIFS('1. All Data'!$AD$3:$AD$129,"Regulatory &amp; Community Support",'1. All Data'!$W$3:$W$129,"Target Partially Met")</f>
        <v>0</v>
      </c>
      <c r="Y99" s="345">
        <f>X99/X109</f>
        <v>0</v>
      </c>
      <c r="Z99" s="404"/>
      <c r="AA99" s="345">
        <f>X99/X110</f>
        <v>0</v>
      </c>
      <c r="AB99" s="418"/>
      <c r="AC99" s="23"/>
    </row>
    <row r="100" spans="2:29" ht="16.5" customHeight="1">
      <c r="B100" s="434"/>
      <c r="C100" s="437"/>
      <c r="D100" s="440"/>
      <c r="E100" s="440"/>
      <c r="F100" s="443"/>
      <c r="G100" s="446"/>
      <c r="I100" s="434"/>
      <c r="J100" s="437"/>
      <c r="K100" s="440"/>
      <c r="L100" s="440"/>
      <c r="M100" s="443"/>
      <c r="N100" s="446"/>
      <c r="P100" s="434"/>
      <c r="Q100" s="437"/>
      <c r="R100" s="440"/>
      <c r="S100" s="440"/>
      <c r="T100" s="443"/>
      <c r="U100" s="446"/>
      <c r="W100" s="80" t="s">
        <v>340</v>
      </c>
      <c r="X100" s="81">
        <f>COUNTIFS('1. All Data'!$AD$3:$AD$129,"Regulatory &amp; Community Support",'1. All Data'!$W$3:$W$129,"Completion Date Within Reasonable Tolerance")</f>
        <v>0</v>
      </c>
      <c r="Y100" s="345">
        <f>X100/X109</f>
        <v>0</v>
      </c>
      <c r="Z100" s="404"/>
      <c r="AA100" s="345">
        <f>X100/X110</f>
        <v>0</v>
      </c>
      <c r="AB100" s="418"/>
      <c r="AC100" s="23"/>
    </row>
    <row r="101" spans="2:29" s="23" customFormat="1" ht="6" customHeight="1">
      <c r="B101" s="20"/>
      <c r="C101" s="21"/>
      <c r="D101" s="31"/>
      <c r="E101" s="31"/>
      <c r="F101" s="107"/>
      <c r="G101" s="32"/>
      <c r="I101" s="20"/>
      <c r="J101" s="21"/>
      <c r="K101" s="31"/>
      <c r="L101" s="31"/>
      <c r="M101" s="107"/>
      <c r="N101" s="32"/>
      <c r="P101" s="20"/>
      <c r="Q101" s="21"/>
      <c r="R101" s="31"/>
      <c r="S101" s="31"/>
      <c r="T101" s="107"/>
      <c r="U101" s="32"/>
      <c r="W101" s="20"/>
      <c r="X101" s="21"/>
      <c r="Y101" s="31"/>
      <c r="Z101" s="31"/>
      <c r="AA101" s="31"/>
      <c r="AB101" s="32"/>
    </row>
    <row r="102" spans="2:29" ht="22.5" customHeight="1">
      <c r="B102" s="144" t="s">
        <v>345</v>
      </c>
      <c r="C102" s="141">
        <f>COUNTIFS('1. All Data'!$AD$3:$AD$129,"Regulatory &amp; Community Support",'1. All Data'!$I$3:$I$129,"Completed Behind Schedule")</f>
        <v>0</v>
      </c>
      <c r="D102" s="142">
        <f>C102/C109</f>
        <v>0</v>
      </c>
      <c r="E102" s="431">
        <f>D102+D103</f>
        <v>0</v>
      </c>
      <c r="F102" s="143">
        <f>C102/C110</f>
        <v>0</v>
      </c>
      <c r="G102" s="448">
        <f>F102+F103</f>
        <v>0</v>
      </c>
      <c r="I102" s="144" t="s">
        <v>345</v>
      </c>
      <c r="J102" s="141">
        <f>COUNTIFS('1. All Data'!$AD$3:$AD$129,"Regulatory &amp; Community Support",'1. All Data'!$N$3:$N$129,"Completed Behind Schedule")</f>
        <v>0</v>
      </c>
      <c r="K102" s="142">
        <f>J102/J109</f>
        <v>0</v>
      </c>
      <c r="L102" s="431">
        <f>K102+K103</f>
        <v>0</v>
      </c>
      <c r="M102" s="143">
        <f>J102/J110</f>
        <v>0</v>
      </c>
      <c r="N102" s="448">
        <f>M102+M103</f>
        <v>0</v>
      </c>
      <c r="P102" s="144" t="s">
        <v>345</v>
      </c>
      <c r="Q102" s="141">
        <f>COUNTIFS('1. All Data'!$AD$3:$AD$129,"Regulatory &amp; Community Support",'1. All Data'!$S$3:$S$129,"Completed Behind Schedule")</f>
        <v>0</v>
      </c>
      <c r="R102" s="142">
        <f>Q102/Q109</f>
        <v>0</v>
      </c>
      <c r="S102" s="431">
        <f>R102+R103</f>
        <v>0</v>
      </c>
      <c r="T102" s="143">
        <f>Q102/Q110</f>
        <v>0</v>
      </c>
      <c r="U102" s="448">
        <f>T102+T103</f>
        <v>0</v>
      </c>
      <c r="W102" s="63" t="s">
        <v>339</v>
      </c>
      <c r="X102" s="141">
        <f>COUNTIFS('1. All Data'!$AD$3:$AD$129,"Regulatory &amp; Community Support",'1. All Data'!$W$3:$W$129,"Completed Significantly After Target Deadline")</f>
        <v>0</v>
      </c>
      <c r="Y102" s="346">
        <f>X102/X109</f>
        <v>0</v>
      </c>
      <c r="Z102" s="431">
        <f>Y102+Y103</f>
        <v>0</v>
      </c>
      <c r="AA102" s="345">
        <f>X102/X110</f>
        <v>0</v>
      </c>
      <c r="AB102" s="419">
        <f>AA102+AA103</f>
        <v>0</v>
      </c>
      <c r="AC102" s="23"/>
    </row>
    <row r="103" spans="2:29" ht="22.5" customHeight="1">
      <c r="B103" s="144" t="s">
        <v>338</v>
      </c>
      <c r="C103" s="141">
        <f>COUNTIFS('1. All Data'!$AD$3:$AD$129,"Regulatory &amp; Community Support",'1. All Data'!$I$3:$I$129,"Off Target")</f>
        <v>0</v>
      </c>
      <c r="D103" s="142">
        <f>C103/C109</f>
        <v>0</v>
      </c>
      <c r="E103" s="431"/>
      <c r="F103" s="143">
        <f>C103/C110</f>
        <v>0</v>
      </c>
      <c r="G103" s="448"/>
      <c r="I103" s="144" t="s">
        <v>338</v>
      </c>
      <c r="J103" s="141">
        <f>COUNTIFS('1. All Data'!$AD$3:$AD$129,"Regulatory &amp; Community Support",'1. All Data'!$N$3:$N$129,"Off Target")</f>
        <v>0</v>
      </c>
      <c r="K103" s="142">
        <f>J103/J109</f>
        <v>0</v>
      </c>
      <c r="L103" s="431"/>
      <c r="M103" s="143">
        <f>J103/J110</f>
        <v>0</v>
      </c>
      <c r="N103" s="448"/>
      <c r="P103" s="144" t="s">
        <v>338</v>
      </c>
      <c r="Q103" s="141">
        <f>COUNTIFS('1. All Data'!$AD$3:$AD$129,"Regulatory &amp; Community Support",'1. All Data'!$S$3:$S$129,"Off Target")</f>
        <v>0</v>
      </c>
      <c r="R103" s="142">
        <f>Q103/Q109</f>
        <v>0</v>
      </c>
      <c r="S103" s="431"/>
      <c r="T103" s="143">
        <f>Q103/Q110</f>
        <v>0</v>
      </c>
      <c r="U103" s="448"/>
      <c r="W103" s="63" t="s">
        <v>338</v>
      </c>
      <c r="X103" s="141">
        <f>COUNTIFS('1. All Data'!$AD$3:$AD$129,"Regulatory &amp; Community Support",'1. All Data'!$S$3:$S$129,"Off Target")</f>
        <v>0</v>
      </c>
      <c r="Y103" s="346">
        <f>X103/X109</f>
        <v>0</v>
      </c>
      <c r="Z103" s="431"/>
      <c r="AA103" s="345">
        <f>X103/X110</f>
        <v>0</v>
      </c>
      <c r="AB103" s="419"/>
      <c r="AC103" s="23"/>
    </row>
    <row r="104" spans="2:29" s="23" customFormat="1" ht="6.75" customHeight="1">
      <c r="B104" s="20"/>
      <c r="C104" s="33"/>
      <c r="D104" s="31"/>
      <c r="E104" s="31"/>
      <c r="F104" s="107"/>
      <c r="G104" s="34"/>
      <c r="I104" s="20"/>
      <c r="J104" s="33"/>
      <c r="K104" s="31"/>
      <c r="L104" s="31"/>
      <c r="M104" s="107"/>
      <c r="N104" s="34"/>
      <c r="P104" s="20"/>
      <c r="Q104" s="33"/>
      <c r="R104" s="31"/>
      <c r="S104" s="31"/>
      <c r="T104" s="107"/>
      <c r="U104" s="34"/>
      <c r="W104" s="20"/>
      <c r="X104" s="33"/>
      <c r="Y104" s="31"/>
      <c r="Z104" s="31"/>
      <c r="AA104" s="31"/>
      <c r="AB104" s="34"/>
    </row>
    <row r="105" spans="2:29" ht="15.75" customHeight="1">
      <c r="B105" s="147" t="s">
        <v>393</v>
      </c>
      <c r="C105" s="141">
        <f>COUNTIFS('1. All Data'!$AD$3:$AD$129,"Regulatory &amp; Community Support",'1. All Data'!$I$3:$I$129,"Not yet due")</f>
        <v>1</v>
      </c>
      <c r="D105" s="145">
        <f>C105/C109</f>
        <v>7.6923076923076927E-2</v>
      </c>
      <c r="E105" s="145">
        <f>D105</f>
        <v>7.6923076923076927E-2</v>
      </c>
      <c r="F105" s="108"/>
      <c r="G105" s="36"/>
      <c r="I105" s="147" t="s">
        <v>393</v>
      </c>
      <c r="J105" s="141">
        <f>COUNTIFS('1. All Data'!$AD$3:$AD$129,"Regulatory &amp; Community Support",'1. All Data'!$N$3:$N$129,"Not yet due")</f>
        <v>0</v>
      </c>
      <c r="K105" s="145">
        <f>J105/J109</f>
        <v>0</v>
      </c>
      <c r="L105" s="145">
        <f>K105</f>
        <v>0</v>
      </c>
      <c r="M105" s="108"/>
      <c r="N105" s="36"/>
      <c r="P105" s="147" t="s">
        <v>393</v>
      </c>
      <c r="Q105" s="141">
        <f>COUNTIFS('1. All Data'!$AD$3:$AD$129,"Regulatory &amp; Community Support",'1. All Data'!$S$3:$S$129,"Not yet due")</f>
        <v>0</v>
      </c>
      <c r="R105" s="145">
        <f>Q105/Q109</f>
        <v>0</v>
      </c>
      <c r="S105" s="145">
        <f>R105</f>
        <v>0</v>
      </c>
      <c r="T105" s="108"/>
      <c r="U105" s="36"/>
      <c r="W105" s="64" t="s">
        <v>393</v>
      </c>
      <c r="X105" s="141">
        <f>COUNTIFS('1. All Data'!$AD$3:$AD$129,"Regulatory &amp; Community Support",'1. All Data'!$W$3:$W$129,"Not yet due")</f>
        <v>0</v>
      </c>
      <c r="Y105" s="145">
        <f>X105/X109</f>
        <v>0</v>
      </c>
      <c r="Z105" s="145">
        <f>Y105</f>
        <v>0</v>
      </c>
      <c r="AA105" s="35"/>
      <c r="AB105" s="36"/>
      <c r="AC105" s="23"/>
    </row>
    <row r="106" spans="2:29" ht="15.75" customHeight="1">
      <c r="B106" s="147" t="s">
        <v>333</v>
      </c>
      <c r="C106" s="141">
        <f>COUNTIFS('1. All Data'!$AD$3:$AD$129,"Regulatory &amp; Community Support",'1. All Data'!$I$3:$I$129,"Update not provided")</f>
        <v>0</v>
      </c>
      <c r="D106" s="145">
        <f>C106/C109</f>
        <v>0</v>
      </c>
      <c r="E106" s="145">
        <f>D106</f>
        <v>0</v>
      </c>
      <c r="F106" s="108"/>
      <c r="G106" s="38"/>
      <c r="I106" s="147" t="s">
        <v>333</v>
      </c>
      <c r="J106" s="141">
        <f>COUNTIFS('1. All Data'!$AD$3:$AD$129,"Regulatory &amp; Community Support",'1. All Data'!$N$3:$N$129,"Update not provided")</f>
        <v>0</v>
      </c>
      <c r="K106" s="145">
        <f>J106/J109</f>
        <v>0</v>
      </c>
      <c r="L106" s="145">
        <f>K106</f>
        <v>0</v>
      </c>
      <c r="M106" s="108"/>
      <c r="N106" s="38"/>
      <c r="P106" s="147" t="s">
        <v>333</v>
      </c>
      <c r="Q106" s="141">
        <f>COUNTIFS('1. All Data'!$AD$3:$AD$129,"Regulatory &amp; Community Support",'1. All Data'!$S$3:$S$129,"Update not provided")</f>
        <v>0</v>
      </c>
      <c r="R106" s="145">
        <f>Q106/Q109</f>
        <v>0</v>
      </c>
      <c r="S106" s="145">
        <f>R106</f>
        <v>0</v>
      </c>
      <c r="T106" s="108"/>
      <c r="U106" s="38"/>
      <c r="W106" s="64" t="s">
        <v>333</v>
      </c>
      <c r="X106" s="141">
        <f>COUNTIFS('1. All Data'!$AD$3:$AD$129,"Regulatory &amp; Community Support",'1. All Data'!$W$3:$W$129,"Update not provided")</f>
        <v>0</v>
      </c>
      <c r="Y106" s="145">
        <f>X106/X109</f>
        <v>0</v>
      </c>
      <c r="Z106" s="145">
        <f>Y106</f>
        <v>0</v>
      </c>
      <c r="AA106" s="35"/>
      <c r="AB106" s="38"/>
      <c r="AC106" s="23"/>
    </row>
    <row r="107" spans="2:29" ht="15.75" customHeight="1">
      <c r="B107" s="148" t="s">
        <v>341</v>
      </c>
      <c r="C107" s="141">
        <f>COUNTIFS('1. All Data'!$AD$3:$AD$129,"Regulatory &amp; Community Support",'1. All Data'!$I$3:$I$129,"Deferred")</f>
        <v>0</v>
      </c>
      <c r="D107" s="146">
        <f>C107/C109</f>
        <v>0</v>
      </c>
      <c r="E107" s="146">
        <f>D107</f>
        <v>0</v>
      </c>
      <c r="F107" s="109"/>
      <c r="G107" s="36"/>
      <c r="I107" s="148" t="s">
        <v>341</v>
      </c>
      <c r="J107" s="141">
        <f>COUNTIFS('1. All Data'!$AD$3:$AD$129,"Regulatory &amp; Community Support",'1. All Data'!$N$3:$N$129,"Deferred")</f>
        <v>0</v>
      </c>
      <c r="K107" s="146">
        <f>J107/J109</f>
        <v>0</v>
      </c>
      <c r="L107" s="146">
        <f>K107</f>
        <v>0</v>
      </c>
      <c r="M107" s="109"/>
      <c r="N107" s="36"/>
      <c r="P107" s="148" t="s">
        <v>341</v>
      </c>
      <c r="Q107" s="141">
        <f>COUNTIFS('1. All Data'!$AD$3:$AD$129,"Regulatory &amp; Community Support",'1. All Data'!$S$3:$S$129,"Deferred")</f>
        <v>0</v>
      </c>
      <c r="R107" s="146">
        <f>Q107/Q109</f>
        <v>0</v>
      </c>
      <c r="S107" s="146">
        <f>R107</f>
        <v>0</v>
      </c>
      <c r="T107" s="109"/>
      <c r="U107" s="36"/>
      <c r="W107" s="66" t="s">
        <v>341</v>
      </c>
      <c r="X107" s="141">
        <f>COUNTIFS('1. All Data'!$AD$3:$AD$129,"Regulatory &amp; Community Support",'1. All Data'!$W$3:$W$129,"Deferred")</f>
        <v>0</v>
      </c>
      <c r="Y107" s="146">
        <f>X107/X109</f>
        <v>0</v>
      </c>
      <c r="Z107" s="146">
        <f>Y107</f>
        <v>0</v>
      </c>
      <c r="AA107" s="40"/>
      <c r="AB107" s="36"/>
      <c r="AC107" s="23"/>
    </row>
    <row r="108" spans="2:29" ht="15.75" customHeight="1">
      <c r="B108" s="148" t="s">
        <v>342</v>
      </c>
      <c r="C108" s="141">
        <f>COUNTIFS('1. All Data'!$AD$3:$AD$129,"Regulatory &amp; Community Support",'1. All Data'!$I$3:$I$129,"Deleted")</f>
        <v>0</v>
      </c>
      <c r="D108" s="146">
        <f>C108/C109</f>
        <v>0</v>
      </c>
      <c r="E108" s="146">
        <f>D108</f>
        <v>0</v>
      </c>
      <c r="F108" s="109"/>
      <c r="G108" s="110" t="s">
        <v>394</v>
      </c>
      <c r="I108" s="148" t="s">
        <v>342</v>
      </c>
      <c r="J108" s="141">
        <f>COUNTIFS('1. All Data'!$AD$3:$AD$129,"Regulatory &amp; Community Support",'1. All Data'!$N$3:$N$129,"Deleted")</f>
        <v>0</v>
      </c>
      <c r="K108" s="146">
        <f>J108/J109</f>
        <v>0</v>
      </c>
      <c r="L108" s="146">
        <f>K108</f>
        <v>0</v>
      </c>
      <c r="M108" s="109"/>
      <c r="N108" s="110" t="s">
        <v>394</v>
      </c>
      <c r="P108" s="148" t="s">
        <v>342</v>
      </c>
      <c r="Q108" s="141">
        <f>COUNTIFS('1. All Data'!$AD$3:$AD$129,"Regulatory &amp; Community Support",'1. All Data'!$S$3:$S$129,"Deleted")</f>
        <v>0</v>
      </c>
      <c r="R108" s="146">
        <f>Q108/Q109</f>
        <v>0</v>
      </c>
      <c r="S108" s="146">
        <f>R108</f>
        <v>0</v>
      </c>
      <c r="T108" s="109"/>
      <c r="U108" s="110" t="s">
        <v>394</v>
      </c>
      <c r="W108" s="66" t="s">
        <v>342</v>
      </c>
      <c r="X108" s="141">
        <f>COUNTIFS('1. All Data'!$AD$3:$AD$129,"Regulatory &amp; Community Support",'1. All Data'!$W$3:$W$129,"Deleted")</f>
        <v>0</v>
      </c>
      <c r="Y108" s="146">
        <f>X108/X109</f>
        <v>0</v>
      </c>
      <c r="Z108" s="146">
        <f>Y108</f>
        <v>0</v>
      </c>
      <c r="AA108" s="40"/>
      <c r="AB108" s="42" t="s">
        <v>394</v>
      </c>
      <c r="AC108" s="23"/>
    </row>
    <row r="109" spans="2:29" ht="15.75" customHeight="1">
      <c r="B109" s="149" t="s">
        <v>395</v>
      </c>
      <c r="C109" s="150">
        <f>SUM(C95:C108)</f>
        <v>13</v>
      </c>
      <c r="D109" s="40"/>
      <c r="E109" s="40"/>
      <c r="F109" s="111"/>
      <c r="G109" s="36"/>
      <c r="I109" s="149" t="s">
        <v>395</v>
      </c>
      <c r="J109" s="150">
        <f>SUM(J95:J108)</f>
        <v>13</v>
      </c>
      <c r="K109" s="40"/>
      <c r="L109" s="40"/>
      <c r="M109" s="111"/>
      <c r="N109" s="36"/>
      <c r="P109" s="149" t="s">
        <v>395</v>
      </c>
      <c r="Q109" s="150">
        <f>SUM(Q95:Q108)</f>
        <v>13</v>
      </c>
      <c r="R109" s="40"/>
      <c r="S109" s="40"/>
      <c r="T109" s="111"/>
      <c r="U109" s="36"/>
      <c r="W109" s="68" t="s">
        <v>395</v>
      </c>
      <c r="X109" s="150">
        <f>SUM(X95:X108)</f>
        <v>13</v>
      </c>
      <c r="Y109" s="40"/>
      <c r="Z109" s="40"/>
      <c r="AA109" s="36"/>
      <c r="AB109" s="36"/>
      <c r="AC109" s="23"/>
    </row>
    <row r="110" spans="2:29" ht="15.75" customHeight="1">
      <c r="B110" s="149" t="s">
        <v>396</v>
      </c>
      <c r="C110" s="150">
        <f>C109-C108-C107-C106-C105</f>
        <v>12</v>
      </c>
      <c r="D110" s="36"/>
      <c r="E110" s="36"/>
      <c r="F110" s="111"/>
      <c r="G110" s="36"/>
      <c r="I110" s="149" t="s">
        <v>396</v>
      </c>
      <c r="J110" s="150">
        <f>J109-J108-J107-J106-J105</f>
        <v>13</v>
      </c>
      <c r="K110" s="36"/>
      <c r="L110" s="36"/>
      <c r="M110" s="111"/>
      <c r="N110" s="36"/>
      <c r="P110" s="149" t="s">
        <v>396</v>
      </c>
      <c r="Q110" s="150">
        <f>Q109-Q108-Q107-Q106-Q105</f>
        <v>13</v>
      </c>
      <c r="R110" s="36"/>
      <c r="S110" s="36"/>
      <c r="T110" s="111"/>
      <c r="U110" s="36"/>
      <c r="W110" s="68" t="s">
        <v>396</v>
      </c>
      <c r="X110" s="150">
        <f>X109-X108-X107-X106-X105</f>
        <v>13</v>
      </c>
      <c r="Y110" s="36"/>
      <c r="Z110" s="36"/>
      <c r="AA110" s="36"/>
      <c r="AB110" s="36"/>
      <c r="AC110" s="23"/>
    </row>
    <row r="111" spans="2:29" ht="15.75" customHeight="1">
      <c r="W111" s="43"/>
      <c r="AA111" s="37"/>
      <c r="AC111" s="23"/>
    </row>
    <row r="112" spans="2:29" ht="15.75" customHeight="1">
      <c r="W112" s="22"/>
      <c r="X112" s="22"/>
      <c r="Y112" s="22"/>
      <c r="Z112" s="22"/>
      <c r="AA112" s="22"/>
      <c r="AB112" s="41"/>
      <c r="AC112" s="23"/>
    </row>
    <row r="113" spans="23:29" ht="15.75" customHeight="1">
      <c r="W113" s="22"/>
      <c r="X113" s="22"/>
      <c r="Y113" s="22"/>
      <c r="Z113" s="22"/>
      <c r="AA113" s="22"/>
      <c r="AB113" s="41"/>
      <c r="AC113" s="23"/>
    </row>
    <row r="114" spans="23:29">
      <c r="W114" s="22"/>
      <c r="X114" s="22"/>
      <c r="Y114" s="22"/>
      <c r="Z114" s="22"/>
      <c r="AA114" s="22"/>
      <c r="AB114" s="41"/>
      <c r="AC114" s="23"/>
    </row>
    <row r="115" spans="23:29">
      <c r="W115" s="22"/>
      <c r="X115" s="22"/>
      <c r="Y115" s="22"/>
      <c r="Z115" s="22"/>
      <c r="AA115" s="22"/>
      <c r="AB115" s="41"/>
      <c r="AC115" s="23"/>
    </row>
    <row r="116" spans="23:29">
      <c r="W116" s="22"/>
      <c r="X116" s="22"/>
      <c r="Y116" s="22"/>
      <c r="Z116" s="22"/>
      <c r="AA116" s="22"/>
      <c r="AB116" s="41"/>
      <c r="AC116" s="23"/>
    </row>
    <row r="117" spans="23:29">
      <c r="W117" s="22"/>
      <c r="X117" s="22"/>
      <c r="Y117" s="22"/>
      <c r="Z117" s="22"/>
      <c r="AA117" s="22"/>
      <c r="AB117" s="41"/>
      <c r="AC117" s="23"/>
    </row>
    <row r="118" spans="23:29">
      <c r="W118" s="22"/>
      <c r="X118" s="22"/>
      <c r="Y118" s="22"/>
      <c r="Z118" s="22"/>
      <c r="AA118" s="22"/>
      <c r="AB118" s="41"/>
      <c r="AC118" s="23"/>
    </row>
    <row r="119" spans="23:29">
      <c r="W119" s="22"/>
      <c r="X119" s="22"/>
      <c r="Y119" s="22"/>
      <c r="Z119" s="22"/>
      <c r="AA119" s="22"/>
      <c r="AB119" s="41"/>
      <c r="AC119" s="23"/>
    </row>
    <row r="120" spans="23:29">
      <c r="W120" s="22"/>
      <c r="X120" s="22"/>
      <c r="Y120" s="22"/>
      <c r="Z120" s="22"/>
      <c r="AA120" s="22"/>
      <c r="AB120" s="41"/>
      <c r="AC120" s="23"/>
    </row>
    <row r="121" spans="23:29">
      <c r="W121" s="22"/>
      <c r="X121" s="22"/>
      <c r="Y121" s="22"/>
      <c r="Z121" s="22"/>
      <c r="AA121" s="22"/>
      <c r="AB121" s="41"/>
      <c r="AC121" s="23"/>
    </row>
    <row r="122" spans="23:29">
      <c r="W122" s="22"/>
      <c r="X122" s="22"/>
      <c r="Y122" s="22"/>
      <c r="Z122" s="22"/>
      <c r="AA122" s="22"/>
      <c r="AB122" s="41"/>
      <c r="AC122" s="23"/>
    </row>
    <row r="123" spans="23:29">
      <c r="W123" s="22"/>
      <c r="X123" s="22"/>
      <c r="Y123" s="22"/>
      <c r="Z123" s="22"/>
      <c r="AA123" s="22"/>
      <c r="AB123" s="41"/>
      <c r="AC123" s="23"/>
    </row>
    <row r="124" spans="23:29">
      <c r="W124" s="22"/>
      <c r="X124" s="22"/>
      <c r="Y124" s="22"/>
      <c r="Z124" s="22"/>
      <c r="AA124" s="22"/>
      <c r="AB124" s="41"/>
      <c r="AC124" s="23"/>
    </row>
    <row r="125" spans="23:29">
      <c r="W125" s="22"/>
      <c r="X125" s="22"/>
      <c r="Y125" s="22"/>
      <c r="Z125" s="22"/>
      <c r="AA125" s="22"/>
      <c r="AB125" s="41"/>
      <c r="AC125" s="23"/>
    </row>
    <row r="126" spans="23:29">
      <c r="W126" s="22"/>
      <c r="X126" s="22"/>
      <c r="Y126" s="22"/>
      <c r="Z126" s="22"/>
      <c r="AA126" s="22"/>
      <c r="AB126" s="41"/>
      <c r="AC126" s="23"/>
    </row>
    <row r="127" spans="23:29">
      <c r="W127" s="22"/>
      <c r="X127" s="22"/>
      <c r="Y127" s="22"/>
      <c r="Z127" s="22"/>
      <c r="AA127" s="22"/>
      <c r="AB127" s="41"/>
      <c r="AC127" s="23"/>
    </row>
    <row r="128" spans="23:29">
      <c r="W128" s="22"/>
      <c r="X128" s="22"/>
      <c r="Y128" s="22"/>
      <c r="Z128" s="22"/>
      <c r="AA128" s="22"/>
      <c r="AB128" s="41"/>
      <c r="AC128" s="23"/>
    </row>
    <row r="129" spans="23:29">
      <c r="W129" s="22"/>
      <c r="X129" s="22"/>
      <c r="Y129" s="22"/>
      <c r="Z129" s="22"/>
      <c r="AA129" s="22"/>
      <c r="AB129" s="41"/>
      <c r="AC129" s="23"/>
    </row>
    <row r="130" spans="23:29">
      <c r="W130" s="22"/>
      <c r="X130" s="22"/>
      <c r="Y130" s="22"/>
      <c r="Z130" s="22"/>
      <c r="AA130" s="22"/>
      <c r="AB130" s="41"/>
      <c r="AC130" s="23"/>
    </row>
    <row r="131" spans="23:29">
      <c r="W131" s="22"/>
      <c r="X131" s="22"/>
      <c r="Y131" s="22"/>
      <c r="Z131" s="22"/>
      <c r="AA131" s="22"/>
      <c r="AB131" s="41"/>
      <c r="AC131" s="23"/>
    </row>
    <row r="132" spans="23:29">
      <c r="W132" s="22"/>
      <c r="X132" s="22"/>
      <c r="Y132" s="22"/>
      <c r="Z132" s="22"/>
      <c r="AA132" s="22"/>
      <c r="AB132" s="41"/>
      <c r="AC132" s="23"/>
    </row>
    <row r="133" spans="23:29">
      <c r="W133" s="22"/>
      <c r="X133" s="22"/>
      <c r="Y133" s="22"/>
      <c r="Z133" s="22"/>
      <c r="AA133" s="22"/>
      <c r="AB133" s="41"/>
      <c r="AC133" s="23"/>
    </row>
    <row r="134" spans="23:29">
      <c r="W134" s="22"/>
      <c r="X134" s="22"/>
      <c r="Y134" s="22"/>
      <c r="Z134" s="22"/>
      <c r="AA134" s="22"/>
      <c r="AB134" s="41"/>
      <c r="AC134" s="23"/>
    </row>
    <row r="135" spans="23:29">
      <c r="W135" s="22"/>
      <c r="X135" s="22"/>
      <c r="Y135" s="22"/>
      <c r="Z135" s="22"/>
      <c r="AA135" s="22"/>
      <c r="AB135" s="41"/>
      <c r="AC135" s="23"/>
    </row>
    <row r="136" spans="23:29">
      <c r="W136" s="22"/>
      <c r="X136" s="22"/>
      <c r="Y136" s="22"/>
      <c r="Z136" s="22"/>
      <c r="AA136" s="22"/>
      <c r="AB136" s="41"/>
      <c r="AC136" s="23"/>
    </row>
    <row r="137" spans="23:29">
      <c r="W137" s="22"/>
      <c r="X137" s="22"/>
      <c r="Y137" s="22"/>
      <c r="Z137" s="22"/>
      <c r="AA137" s="22"/>
      <c r="AB137" s="41"/>
      <c r="AC137" s="23"/>
    </row>
    <row r="138" spans="23:29">
      <c r="W138" s="22"/>
      <c r="X138" s="22"/>
      <c r="Y138" s="22"/>
      <c r="Z138" s="22"/>
      <c r="AA138" s="22"/>
      <c r="AB138" s="41"/>
      <c r="AC138" s="23"/>
    </row>
    <row r="139" spans="23:29">
      <c r="W139" s="22"/>
      <c r="X139" s="22"/>
      <c r="Y139" s="22"/>
      <c r="Z139" s="22"/>
      <c r="AA139" s="22"/>
      <c r="AB139" s="41"/>
      <c r="AC139" s="23"/>
    </row>
    <row r="140" spans="23:29">
      <c r="W140" s="22"/>
      <c r="X140" s="22"/>
      <c r="Y140" s="22"/>
      <c r="Z140" s="22"/>
      <c r="AA140" s="22"/>
      <c r="AB140" s="41"/>
      <c r="AC140" s="23"/>
    </row>
    <row r="141" spans="23:29">
      <c r="W141" s="22"/>
      <c r="X141" s="22"/>
      <c r="Y141" s="22"/>
      <c r="Z141" s="22"/>
      <c r="AA141" s="22"/>
      <c r="AB141" s="41"/>
      <c r="AC141" s="23"/>
    </row>
    <row r="142" spans="23:29">
      <c r="W142" s="22"/>
      <c r="X142" s="22"/>
      <c r="Y142" s="22"/>
      <c r="Z142" s="22"/>
      <c r="AA142" s="22"/>
      <c r="AB142" s="41"/>
      <c r="AC142" s="23"/>
    </row>
    <row r="143" spans="23:29">
      <c r="W143" s="22"/>
      <c r="X143" s="22"/>
      <c r="Y143" s="22"/>
      <c r="Z143" s="22"/>
      <c r="AA143" s="22"/>
      <c r="AB143" s="41"/>
      <c r="AC143" s="23"/>
    </row>
    <row r="144" spans="23:29">
      <c r="W144" s="22"/>
      <c r="X144" s="22"/>
      <c r="Y144" s="22"/>
      <c r="Z144" s="22"/>
      <c r="AA144" s="22"/>
      <c r="AB144" s="41"/>
      <c r="AC144" s="23"/>
    </row>
    <row r="145" spans="23:29">
      <c r="W145" s="22"/>
      <c r="X145" s="22"/>
      <c r="Y145" s="22"/>
      <c r="Z145" s="22"/>
      <c r="AA145" s="22"/>
      <c r="AB145" s="41"/>
      <c r="AC145" s="23"/>
    </row>
    <row r="146" spans="23:29">
      <c r="W146" s="22"/>
      <c r="X146" s="22"/>
      <c r="Y146" s="22"/>
      <c r="Z146" s="22"/>
      <c r="AA146" s="22"/>
      <c r="AB146" s="41"/>
      <c r="AC146" s="23"/>
    </row>
    <row r="147" spans="23:29">
      <c r="W147" s="22"/>
      <c r="X147" s="22"/>
      <c r="Y147" s="22"/>
      <c r="Z147" s="22"/>
      <c r="AA147" s="22"/>
      <c r="AB147" s="41"/>
      <c r="AC147" s="23"/>
    </row>
    <row r="148" spans="23:29">
      <c r="W148" s="22"/>
      <c r="X148" s="22"/>
      <c r="Y148" s="22"/>
      <c r="Z148" s="22"/>
      <c r="AA148" s="22"/>
      <c r="AB148" s="41"/>
      <c r="AC148" s="23"/>
    </row>
    <row r="149" spans="23:29">
      <c r="W149" s="22"/>
      <c r="X149" s="22"/>
      <c r="Y149" s="22"/>
      <c r="Z149" s="22"/>
      <c r="AA149" s="22"/>
      <c r="AB149" s="41"/>
      <c r="AC149" s="23"/>
    </row>
    <row r="150" spans="23:29">
      <c r="W150" s="22"/>
      <c r="X150" s="22"/>
      <c r="Y150" s="22"/>
      <c r="Z150" s="22"/>
      <c r="AA150" s="22"/>
      <c r="AB150" s="41"/>
      <c r="AC150" s="23"/>
    </row>
    <row r="151" spans="23:29">
      <c r="W151" s="22"/>
      <c r="X151" s="22"/>
      <c r="Y151" s="22"/>
      <c r="Z151" s="22"/>
      <c r="AA151" s="22"/>
      <c r="AB151" s="41"/>
      <c r="AC151" s="23"/>
    </row>
    <row r="152" spans="23:29">
      <c r="W152" s="22"/>
      <c r="X152" s="22"/>
      <c r="Y152" s="22"/>
      <c r="Z152" s="22"/>
      <c r="AA152" s="22"/>
      <c r="AB152" s="41"/>
      <c r="AC152" s="23"/>
    </row>
    <row r="153" spans="23:29">
      <c r="W153" s="22"/>
      <c r="X153" s="22"/>
      <c r="Y153" s="22"/>
      <c r="Z153" s="22"/>
      <c r="AA153" s="22"/>
      <c r="AB153" s="41"/>
      <c r="AC153" s="23"/>
    </row>
    <row r="154" spans="23:29">
      <c r="W154" s="22"/>
      <c r="X154" s="22"/>
      <c r="Y154" s="22"/>
      <c r="Z154" s="22"/>
      <c r="AA154" s="22"/>
      <c r="AB154" s="41"/>
      <c r="AC154" s="23"/>
    </row>
    <row r="155" spans="23:29">
      <c r="W155" s="22"/>
      <c r="X155" s="22"/>
      <c r="Y155" s="22"/>
      <c r="Z155" s="22"/>
      <c r="AA155" s="22"/>
      <c r="AB155" s="41"/>
      <c r="AC155" s="23"/>
    </row>
    <row r="156" spans="23:29">
      <c r="W156" s="22"/>
      <c r="X156" s="22"/>
      <c r="Y156" s="22"/>
      <c r="Z156" s="22"/>
      <c r="AA156" s="22"/>
      <c r="AB156" s="41"/>
      <c r="AC156" s="23"/>
    </row>
    <row r="157" spans="23:29">
      <c r="W157" s="22"/>
      <c r="X157" s="22"/>
      <c r="Y157" s="22"/>
      <c r="Z157" s="22"/>
      <c r="AA157" s="22"/>
      <c r="AB157" s="41"/>
      <c r="AC157" s="23"/>
    </row>
    <row r="158" spans="23:29">
      <c r="W158" s="22"/>
      <c r="X158" s="22"/>
      <c r="Y158" s="22"/>
      <c r="Z158" s="22"/>
      <c r="AA158" s="22"/>
      <c r="AB158" s="41"/>
      <c r="AC158" s="23"/>
    </row>
    <row r="159" spans="23:29">
      <c r="W159" s="22"/>
      <c r="X159" s="22"/>
      <c r="Y159" s="22"/>
      <c r="Z159" s="22"/>
      <c r="AA159" s="22"/>
      <c r="AB159" s="41"/>
      <c r="AC159" s="23"/>
    </row>
    <row r="160" spans="23:29">
      <c r="W160" s="22"/>
      <c r="X160" s="22"/>
      <c r="Y160" s="22"/>
      <c r="Z160" s="22"/>
      <c r="AA160" s="22"/>
      <c r="AB160" s="41"/>
      <c r="AC160" s="23"/>
    </row>
    <row r="161" spans="23:29">
      <c r="W161" s="22"/>
      <c r="X161" s="22"/>
      <c r="Y161" s="22"/>
      <c r="Z161" s="22"/>
      <c r="AA161" s="22"/>
      <c r="AB161" s="41"/>
      <c r="AC161" s="23"/>
    </row>
    <row r="162" spans="23:29">
      <c r="W162" s="22"/>
      <c r="X162" s="22"/>
      <c r="Y162" s="22"/>
      <c r="Z162" s="22"/>
      <c r="AA162" s="22"/>
      <c r="AB162" s="41"/>
      <c r="AC162" s="23"/>
    </row>
    <row r="163" spans="23:29">
      <c r="W163" s="22"/>
      <c r="X163" s="22"/>
      <c r="Y163" s="22"/>
      <c r="Z163" s="22"/>
      <c r="AA163" s="22"/>
      <c r="AB163" s="41"/>
      <c r="AC163" s="23"/>
    </row>
    <row r="164" spans="23:29">
      <c r="W164" s="22"/>
      <c r="X164" s="22"/>
      <c r="Y164" s="22"/>
      <c r="Z164" s="22"/>
      <c r="AA164" s="22"/>
      <c r="AB164" s="41"/>
      <c r="AC164" s="23"/>
    </row>
    <row r="165" spans="23:29">
      <c r="W165" s="22"/>
      <c r="X165" s="22"/>
      <c r="Y165" s="22"/>
      <c r="Z165" s="22"/>
      <c r="AA165" s="22"/>
      <c r="AB165" s="41"/>
      <c r="AC165" s="23"/>
    </row>
    <row r="166" spans="23:29">
      <c r="W166" s="22"/>
      <c r="X166" s="22"/>
      <c r="Y166" s="22"/>
      <c r="Z166" s="22"/>
      <c r="AA166" s="22"/>
      <c r="AB166" s="41"/>
      <c r="AC166" s="23"/>
    </row>
    <row r="167" spans="23:29">
      <c r="W167" s="22"/>
      <c r="X167" s="22"/>
      <c r="Y167" s="22"/>
      <c r="Z167" s="22"/>
      <c r="AA167" s="22"/>
      <c r="AB167" s="41"/>
      <c r="AC167" s="23"/>
    </row>
    <row r="168" spans="23:29">
      <c r="W168" s="22"/>
      <c r="X168" s="22"/>
      <c r="Y168" s="22"/>
      <c r="Z168" s="22"/>
      <c r="AA168" s="22"/>
      <c r="AB168" s="41"/>
      <c r="AC168" s="23"/>
    </row>
    <row r="169" spans="23:29">
      <c r="W169" s="22"/>
      <c r="X169" s="22"/>
      <c r="Y169" s="22"/>
      <c r="Z169" s="22"/>
      <c r="AA169" s="22"/>
      <c r="AB169" s="41"/>
      <c r="AC169" s="23"/>
    </row>
    <row r="170" spans="23:29">
      <c r="W170" s="22"/>
      <c r="X170" s="22"/>
      <c r="Y170" s="22"/>
      <c r="Z170" s="22"/>
      <c r="AA170" s="22"/>
      <c r="AB170" s="41"/>
      <c r="AC170" s="23"/>
    </row>
    <row r="171" spans="23:29">
      <c r="W171" s="22"/>
      <c r="X171" s="22"/>
      <c r="Y171" s="22"/>
      <c r="Z171" s="22"/>
      <c r="AA171" s="22"/>
      <c r="AB171" s="41"/>
      <c r="AC171" s="23"/>
    </row>
    <row r="172" spans="23:29">
      <c r="W172" s="22"/>
      <c r="X172" s="22"/>
      <c r="Y172" s="22"/>
      <c r="Z172" s="22"/>
      <c r="AA172" s="22"/>
      <c r="AB172" s="41"/>
      <c r="AC172" s="23"/>
    </row>
    <row r="173" spans="23:29">
      <c r="W173" s="22"/>
      <c r="X173" s="22"/>
      <c r="Y173" s="22"/>
      <c r="Z173" s="22"/>
      <c r="AA173" s="22"/>
      <c r="AB173" s="41"/>
      <c r="AC173" s="23"/>
    </row>
    <row r="174" spans="23:29">
      <c r="W174" s="22"/>
      <c r="X174" s="22"/>
      <c r="Y174" s="22"/>
      <c r="Z174" s="22"/>
      <c r="AA174" s="22"/>
      <c r="AB174" s="41"/>
      <c r="AC174" s="23"/>
    </row>
    <row r="175" spans="23:29">
      <c r="W175" s="22"/>
      <c r="X175" s="22"/>
      <c r="Y175" s="22"/>
      <c r="Z175" s="22"/>
      <c r="AA175" s="22"/>
      <c r="AB175" s="41"/>
      <c r="AC175" s="23"/>
    </row>
    <row r="176" spans="23:29">
      <c r="W176" s="22"/>
      <c r="X176" s="22"/>
      <c r="Y176" s="22"/>
      <c r="Z176" s="22"/>
      <c r="AA176" s="22"/>
      <c r="AB176" s="41"/>
      <c r="AC176" s="23"/>
    </row>
    <row r="177" spans="23:29">
      <c r="W177" s="22"/>
      <c r="X177" s="22"/>
      <c r="Y177" s="22"/>
      <c r="Z177" s="22"/>
      <c r="AA177" s="22"/>
      <c r="AB177" s="41"/>
      <c r="AC177" s="23"/>
    </row>
    <row r="178" spans="23:29">
      <c r="W178" s="22"/>
      <c r="X178" s="22"/>
      <c r="Y178" s="22"/>
      <c r="Z178" s="22"/>
      <c r="AA178" s="22"/>
      <c r="AB178" s="41"/>
      <c r="AC178" s="23"/>
    </row>
    <row r="179" spans="23:29">
      <c r="W179" s="22"/>
      <c r="X179" s="22"/>
      <c r="Y179" s="22"/>
      <c r="Z179" s="22"/>
      <c r="AA179" s="22"/>
      <c r="AB179" s="41"/>
      <c r="AC179" s="23"/>
    </row>
    <row r="180" spans="23:29">
      <c r="W180" s="22"/>
      <c r="X180" s="22"/>
      <c r="Y180" s="22"/>
      <c r="Z180" s="22"/>
      <c r="AA180" s="22"/>
      <c r="AB180" s="41"/>
      <c r="AC180" s="23"/>
    </row>
    <row r="181" spans="23:29">
      <c r="W181" s="22"/>
      <c r="X181" s="22"/>
      <c r="Y181" s="22"/>
      <c r="Z181" s="22"/>
      <c r="AA181" s="22"/>
      <c r="AB181" s="41"/>
      <c r="AC181" s="23"/>
    </row>
    <row r="182" spans="23:29">
      <c r="W182" s="22"/>
      <c r="X182" s="22"/>
      <c r="Y182" s="22"/>
      <c r="Z182" s="22"/>
      <c r="AA182" s="22"/>
      <c r="AB182" s="41"/>
      <c r="AC182" s="23"/>
    </row>
    <row r="183" spans="23:29">
      <c r="W183" s="22"/>
      <c r="X183" s="22"/>
      <c r="Y183" s="22"/>
      <c r="Z183" s="22"/>
      <c r="AA183" s="22"/>
      <c r="AB183" s="41"/>
      <c r="AC183" s="23"/>
    </row>
    <row r="184" spans="23:29">
      <c r="W184" s="22"/>
      <c r="X184" s="22"/>
      <c r="Y184" s="22"/>
      <c r="Z184" s="22"/>
      <c r="AA184" s="22"/>
      <c r="AB184" s="41"/>
      <c r="AC184" s="23"/>
    </row>
    <row r="185" spans="23:29">
      <c r="W185" s="22"/>
      <c r="X185" s="22"/>
      <c r="Y185" s="22"/>
      <c r="Z185" s="22"/>
      <c r="AA185" s="22"/>
      <c r="AB185" s="41"/>
      <c r="AC185" s="23"/>
    </row>
    <row r="186" spans="23:29">
      <c r="W186" s="22"/>
      <c r="X186" s="22"/>
      <c r="Y186" s="22"/>
      <c r="Z186" s="22"/>
      <c r="AA186" s="22"/>
      <c r="AB186" s="41"/>
      <c r="AC186" s="23"/>
    </row>
    <row r="187" spans="23:29">
      <c r="W187" s="22"/>
      <c r="X187" s="22"/>
      <c r="Y187" s="22"/>
      <c r="Z187" s="22"/>
      <c r="AA187" s="22"/>
      <c r="AB187" s="41"/>
      <c r="AC187" s="23"/>
    </row>
    <row r="188" spans="23:29">
      <c r="W188" s="22"/>
      <c r="X188" s="22"/>
      <c r="Y188" s="22"/>
      <c r="Z188" s="22"/>
      <c r="AA188" s="22"/>
      <c r="AB188" s="41"/>
      <c r="AC188" s="23"/>
    </row>
    <row r="189" spans="23:29">
      <c r="W189" s="22"/>
      <c r="X189" s="22"/>
      <c r="Y189" s="22"/>
      <c r="Z189" s="22"/>
      <c r="AA189" s="22"/>
      <c r="AB189" s="41"/>
      <c r="AC189" s="23"/>
    </row>
    <row r="190" spans="23:29">
      <c r="W190" s="22"/>
      <c r="X190" s="22"/>
      <c r="Y190" s="22"/>
      <c r="Z190" s="22"/>
      <c r="AA190" s="22"/>
      <c r="AB190" s="41"/>
      <c r="AC190" s="23"/>
    </row>
    <row r="191" spans="23:29">
      <c r="W191" s="22"/>
      <c r="X191" s="22"/>
      <c r="Y191" s="22"/>
      <c r="Z191" s="22"/>
      <c r="AA191" s="22"/>
      <c r="AB191" s="41"/>
      <c r="AC191" s="23"/>
    </row>
    <row r="192" spans="23:29">
      <c r="W192" s="22"/>
      <c r="X192" s="22"/>
      <c r="Y192" s="22"/>
      <c r="Z192" s="22"/>
      <c r="AA192" s="22"/>
      <c r="AB192" s="41"/>
      <c r="AC192" s="23"/>
    </row>
    <row r="193" spans="23:29">
      <c r="W193" s="22"/>
      <c r="X193" s="22"/>
      <c r="Y193" s="22"/>
      <c r="Z193" s="22"/>
      <c r="AA193" s="22"/>
      <c r="AB193" s="41"/>
      <c r="AC193" s="23"/>
    </row>
    <row r="194" spans="23:29">
      <c r="W194" s="22"/>
      <c r="X194" s="22"/>
      <c r="Y194" s="22"/>
      <c r="Z194" s="22"/>
      <c r="AA194" s="22"/>
      <c r="AB194" s="41"/>
      <c r="AC194" s="23"/>
    </row>
    <row r="195" spans="23:29">
      <c r="W195" s="22"/>
      <c r="X195" s="22"/>
      <c r="Y195" s="22"/>
      <c r="Z195" s="22"/>
      <c r="AA195" s="22"/>
      <c r="AB195" s="41"/>
      <c r="AC195" s="23"/>
    </row>
    <row r="196" spans="23:29">
      <c r="W196" s="22"/>
      <c r="X196" s="22"/>
      <c r="Y196" s="22"/>
      <c r="Z196" s="22"/>
      <c r="AA196" s="22"/>
      <c r="AB196" s="41"/>
      <c r="AC196" s="23"/>
    </row>
    <row r="197" spans="23:29">
      <c r="W197" s="22"/>
      <c r="X197" s="22"/>
      <c r="Y197" s="22"/>
      <c r="Z197" s="22"/>
      <c r="AA197" s="22"/>
      <c r="AB197" s="41"/>
      <c r="AC197" s="23"/>
    </row>
    <row r="198" spans="23:29">
      <c r="W198" s="22"/>
      <c r="X198" s="22"/>
      <c r="Y198" s="22"/>
      <c r="Z198" s="22"/>
      <c r="AA198" s="22"/>
      <c r="AB198" s="41"/>
      <c r="AC198" s="23"/>
    </row>
    <row r="199" spans="23:29">
      <c r="W199" s="22"/>
      <c r="X199" s="22"/>
      <c r="Y199" s="22"/>
      <c r="Z199" s="22"/>
      <c r="AA199" s="22"/>
      <c r="AB199" s="41"/>
      <c r="AC199" s="23"/>
    </row>
    <row r="200" spans="23:29">
      <c r="W200" s="22"/>
      <c r="X200" s="22"/>
      <c r="Y200" s="22"/>
      <c r="Z200" s="22"/>
      <c r="AA200" s="22"/>
      <c r="AB200" s="41"/>
      <c r="AC200" s="23"/>
    </row>
    <row r="201" spans="23:29">
      <c r="W201" s="22"/>
      <c r="X201" s="22"/>
      <c r="Y201" s="22"/>
      <c r="Z201" s="22"/>
      <c r="AA201" s="22"/>
      <c r="AB201" s="41"/>
      <c r="AC201" s="23"/>
    </row>
    <row r="202" spans="23:29">
      <c r="W202" s="22"/>
      <c r="X202" s="22"/>
      <c r="Y202" s="22"/>
      <c r="Z202" s="22"/>
      <c r="AA202" s="22"/>
      <c r="AB202" s="41"/>
      <c r="AC202" s="23"/>
    </row>
    <row r="203" spans="23:29">
      <c r="W203" s="22"/>
      <c r="X203" s="22"/>
      <c r="Y203" s="22"/>
      <c r="Z203" s="22"/>
      <c r="AA203" s="22"/>
      <c r="AB203" s="41"/>
      <c r="AC203" s="23"/>
    </row>
    <row r="204" spans="23:29">
      <c r="W204" s="22"/>
      <c r="X204" s="22"/>
      <c r="Y204" s="22"/>
      <c r="Z204" s="22"/>
      <c r="AA204" s="22"/>
      <c r="AB204" s="41"/>
      <c r="AC204" s="23"/>
    </row>
    <row r="205" spans="23:29">
      <c r="W205" s="22"/>
      <c r="X205" s="22"/>
      <c r="Y205" s="22"/>
      <c r="Z205" s="22"/>
      <c r="AA205" s="22"/>
      <c r="AB205" s="41"/>
      <c r="AC205" s="23"/>
    </row>
    <row r="206" spans="23:29">
      <c r="W206" s="22"/>
      <c r="X206" s="22"/>
      <c r="Y206" s="22"/>
      <c r="Z206" s="22"/>
      <c r="AA206" s="22"/>
      <c r="AB206" s="41"/>
      <c r="AC206" s="23"/>
    </row>
    <row r="207" spans="23:29">
      <c r="W207" s="22"/>
      <c r="X207" s="22"/>
      <c r="Y207" s="22"/>
      <c r="Z207" s="22"/>
      <c r="AA207" s="22"/>
      <c r="AB207" s="41"/>
      <c r="AC207" s="23"/>
    </row>
    <row r="208" spans="23:29">
      <c r="W208" s="22"/>
      <c r="X208" s="22"/>
      <c r="Y208" s="22"/>
      <c r="Z208" s="22"/>
      <c r="AA208" s="22"/>
      <c r="AB208" s="41"/>
      <c r="AC208" s="23"/>
    </row>
    <row r="209" spans="23:29">
      <c r="W209" s="22"/>
      <c r="X209" s="22"/>
      <c r="Y209" s="22"/>
      <c r="Z209" s="22"/>
      <c r="AA209" s="22"/>
      <c r="AB209" s="41"/>
      <c r="AC209" s="23"/>
    </row>
    <row r="210" spans="23:29">
      <c r="W210" s="22"/>
      <c r="X210" s="22"/>
      <c r="Y210" s="22"/>
      <c r="Z210" s="22"/>
      <c r="AA210" s="22"/>
      <c r="AB210" s="41"/>
      <c r="AC210" s="23"/>
    </row>
    <row r="211" spans="23:29">
      <c r="W211" s="22"/>
      <c r="X211" s="22"/>
      <c r="Y211" s="22"/>
      <c r="Z211" s="22"/>
      <c r="AA211" s="22"/>
      <c r="AB211" s="41"/>
      <c r="AC211" s="23"/>
    </row>
    <row r="212" spans="23:29">
      <c r="W212" s="22"/>
      <c r="X212" s="22"/>
      <c r="Y212" s="22"/>
      <c r="Z212" s="22"/>
      <c r="AA212" s="22"/>
      <c r="AB212" s="41"/>
      <c r="AC212" s="23"/>
    </row>
    <row r="213" spans="23:29">
      <c r="W213" s="22"/>
      <c r="X213" s="22"/>
      <c r="Y213" s="22"/>
      <c r="Z213" s="22"/>
      <c r="AA213" s="22"/>
      <c r="AB213" s="41"/>
      <c r="AC213" s="23"/>
    </row>
    <row r="214" spans="23:29">
      <c r="W214" s="22"/>
      <c r="X214" s="22"/>
      <c r="Y214" s="22"/>
      <c r="Z214" s="22"/>
      <c r="AA214" s="22"/>
      <c r="AB214" s="41"/>
      <c r="AC214" s="23"/>
    </row>
    <row r="215" spans="23:29">
      <c r="W215" s="22"/>
      <c r="X215" s="22"/>
      <c r="Y215" s="22"/>
      <c r="Z215" s="22"/>
      <c r="AA215" s="22"/>
      <c r="AB215" s="41"/>
      <c r="AC215" s="23"/>
    </row>
    <row r="216" spans="23:29">
      <c r="W216" s="22"/>
      <c r="X216" s="22"/>
      <c r="Y216" s="22"/>
      <c r="Z216" s="22"/>
      <c r="AA216" s="22"/>
      <c r="AB216" s="41"/>
      <c r="AC216" s="23"/>
    </row>
    <row r="217" spans="23:29">
      <c r="W217" s="22"/>
      <c r="X217" s="22"/>
      <c r="Y217" s="22"/>
      <c r="Z217" s="22"/>
      <c r="AA217" s="22"/>
      <c r="AB217" s="41"/>
      <c r="AC217" s="23"/>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2019-07-03T08:42:27Z</cp:lastPrinted>
  <dcterms:created xsi:type="dcterms:W3CDTF">2019-02-13T13:28:16Z</dcterms:created>
  <dcterms:modified xsi:type="dcterms:W3CDTF">2020-06-17T14:30:01Z</dcterms:modified>
</cp:coreProperties>
</file>