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erformance (Working Folder)\Performance Monitoring\202324\Quarter 2\Pre Cabinet\"/>
    </mc:Choice>
  </mc:AlternateContent>
  <workbookProtection workbookAlgorithmName="SHA-512" workbookHashValue="PXDjyucsKKC66ZG6xFr7rEjYn/2uYqZVCPXIaRX6R2qV4ARZkjCDDTQnJ9L6pJ+lj66+wzQ0LbvIuMChWPbr3w==" workbookSaltValue="hkdRBgo1kzUIdy9ynFCkMA==" workbookSpinCount="100000" lockStructure="1"/>
  <bookViews>
    <workbookView xWindow="0" yWindow="0" windowWidth="21600" windowHeight="9000" tabRatio="759"/>
  </bookViews>
  <sheets>
    <sheet name="1. All Data" sheetId="1" r:id="rId1"/>
    <sheet name="Q1 Summary" sheetId="9" state="hidden" r:id="rId2"/>
    <sheet name="Q2 Summary" sheetId="20" r:id="rId3"/>
    <sheet name="Q3 Summary" sheetId="21" state="hidden" r:id="rId4"/>
    <sheet name="Q4 Summary" sheetId="22" state="hidden" r:id="rId5"/>
    <sheet name="2a. % By Priority" sheetId="5" r:id="rId6"/>
    <sheet name="2b. Charts by Priority" sheetId="6" state="hidden" r:id="rId7"/>
    <sheet name="3a. % by Portfolio" sheetId="7" r:id="rId8"/>
    <sheet name="3b. Charts by Portfolio" sheetId="8" state="hidden" r:id="rId9"/>
    <sheet name="4. Status Tracking" sheetId="10" state="hidden" r:id="rId10"/>
    <sheet name="Custom Pivot" sheetId="17" state="hidden" r:id="rId11"/>
  </sheets>
  <definedNames>
    <definedName name="_xlnm._FilterDatabase" localSheetId="0" hidden="1">'1. All Data'!$A$2:$AJ$136</definedName>
    <definedName name="_Toc382250483" localSheetId="0">'1. All Data'!$B$77</definedName>
    <definedName name="OLE_LINK3" localSheetId="0">'1. All Data'!$D$40</definedName>
    <definedName name="_xlnm.Print_Area" localSheetId="0">'1. All Data'!$A$1:$AB$134</definedName>
    <definedName name="_xlnm.Print_Area" localSheetId="5">'2a. % By Priority'!$A$1:$G$125</definedName>
    <definedName name="_xlnm.Print_Area" localSheetId="6">'2b. Charts by Priority'!$A$1:$AS$99</definedName>
    <definedName name="_xlnm.Print_Area" localSheetId="7">'3a. % by Portfolio'!$A$1:$G$108</definedName>
    <definedName name="_xlnm.Print_Area" localSheetId="8">'3b. Charts by Portfolio'!$A$1:$AT$99</definedName>
    <definedName name="_xlnm.Print_Area" localSheetId="1">'Q1 Summary'!$A$1:$H$17</definedName>
    <definedName name="_xlnm.Print_Area" localSheetId="2">'Q2 Summary'!$A$1:$H$17</definedName>
    <definedName name="_xlnm.Print_Area" localSheetId="3">'Q3 Summary'!$A$1:$H$17</definedName>
    <definedName name="_xlnm.Print_Area" localSheetId="4">'Q4 Summary'!$A$1:$H$17</definedName>
    <definedName name="_xlnm.Print_Titles" localSheetId="0">'1. All Data'!$2:$2</definedName>
  </definedNames>
  <calcPr calcId="162913" iterate="1"/>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3" i="5" l="1"/>
  <c r="J32" i="5"/>
  <c r="J31" i="5"/>
  <c r="J30" i="5"/>
  <c r="J29" i="5"/>
  <c r="J28" i="5"/>
  <c r="J25" i="5"/>
  <c r="J24" i="5"/>
  <c r="J23" i="5"/>
  <c r="C60" i="7" l="1"/>
  <c r="X106" i="7" l="1"/>
  <c r="X105" i="7"/>
  <c r="X104" i="7"/>
  <c r="X103" i="7"/>
  <c r="X102" i="7"/>
  <c r="X101" i="7"/>
  <c r="X100" i="7"/>
  <c r="X99" i="7"/>
  <c r="X98" i="7"/>
  <c r="X97" i="7"/>
  <c r="X96" i="7"/>
  <c r="Q106" i="7"/>
  <c r="Q105" i="7"/>
  <c r="Q104" i="7"/>
  <c r="Q103" i="7"/>
  <c r="Q102" i="7"/>
  <c r="Q101" i="7"/>
  <c r="Q98" i="7"/>
  <c r="E18" i="21" s="1"/>
  <c r="Q97" i="7"/>
  <c r="Q96" i="7"/>
  <c r="J106" i="7"/>
  <c r="J105" i="7"/>
  <c r="J104" i="7"/>
  <c r="J103" i="7"/>
  <c r="J102" i="7"/>
  <c r="J101" i="7"/>
  <c r="J98" i="7"/>
  <c r="E18" i="20" s="1"/>
  <c r="J97" i="7"/>
  <c r="J96" i="7"/>
  <c r="X88" i="7"/>
  <c r="X87" i="7"/>
  <c r="X86" i="7"/>
  <c r="X85" i="7"/>
  <c r="X84" i="7"/>
  <c r="X83" i="7"/>
  <c r="X82" i="7"/>
  <c r="X81" i="7"/>
  <c r="X80" i="7"/>
  <c r="X79" i="7"/>
  <c r="X78" i="7"/>
  <c r="Q88" i="7"/>
  <c r="Q87" i="7"/>
  <c r="Q86" i="7"/>
  <c r="Q85" i="7"/>
  <c r="Q84" i="7"/>
  <c r="Q83" i="7"/>
  <c r="Q80" i="7"/>
  <c r="E17" i="21" s="1"/>
  <c r="Q79" i="7"/>
  <c r="Q78" i="7"/>
  <c r="J88" i="7"/>
  <c r="J87" i="7"/>
  <c r="J86" i="7"/>
  <c r="J85" i="7"/>
  <c r="J84" i="7"/>
  <c r="J83" i="7"/>
  <c r="J80" i="7"/>
  <c r="E17" i="20" s="1"/>
  <c r="J79" i="7"/>
  <c r="J78" i="7"/>
  <c r="X70" i="7"/>
  <c r="X69" i="7"/>
  <c r="X68" i="7"/>
  <c r="X67" i="7"/>
  <c r="X66" i="7"/>
  <c r="X65" i="7"/>
  <c r="X64" i="7"/>
  <c r="X63" i="7"/>
  <c r="X62" i="7"/>
  <c r="X61" i="7"/>
  <c r="X60" i="7"/>
  <c r="Q70" i="7"/>
  <c r="Q69" i="7"/>
  <c r="Q68" i="7"/>
  <c r="Q67" i="7"/>
  <c r="Q66" i="7"/>
  <c r="Q65" i="7"/>
  <c r="Q62" i="7"/>
  <c r="E16" i="21" s="1"/>
  <c r="Q61" i="7"/>
  <c r="Q60" i="7"/>
  <c r="J70" i="7"/>
  <c r="J69" i="7"/>
  <c r="J68" i="7"/>
  <c r="J67" i="7"/>
  <c r="J66" i="7"/>
  <c r="J65" i="7"/>
  <c r="J62" i="7"/>
  <c r="E16" i="20" s="1"/>
  <c r="J61" i="7"/>
  <c r="J60" i="7"/>
  <c r="X52" i="7"/>
  <c r="X51" i="7"/>
  <c r="X50" i="7"/>
  <c r="X49" i="7"/>
  <c r="X48" i="7"/>
  <c r="X47" i="7"/>
  <c r="X46" i="7"/>
  <c r="X45" i="7"/>
  <c r="X44" i="7"/>
  <c r="X43" i="7"/>
  <c r="X42" i="7"/>
  <c r="Q52" i="7"/>
  <c r="Q51" i="7"/>
  <c r="Q50" i="7"/>
  <c r="Q49" i="7"/>
  <c r="Q48" i="7"/>
  <c r="Q47" i="7"/>
  <c r="Q44" i="7"/>
  <c r="E15" i="21" s="1"/>
  <c r="Q43" i="7"/>
  <c r="Q42" i="7"/>
  <c r="J52" i="7"/>
  <c r="J51" i="7"/>
  <c r="J50" i="7"/>
  <c r="J49" i="7"/>
  <c r="J48" i="7"/>
  <c r="J47" i="7"/>
  <c r="J44" i="7"/>
  <c r="E15" i="20" s="1"/>
  <c r="J43" i="7"/>
  <c r="J42" i="7"/>
  <c r="X34" i="7"/>
  <c r="X33" i="7"/>
  <c r="X32" i="7"/>
  <c r="X31" i="7"/>
  <c r="X30" i="7"/>
  <c r="X29" i="7"/>
  <c r="X28" i="7"/>
  <c r="X27" i="7"/>
  <c r="X26" i="7"/>
  <c r="X25" i="7"/>
  <c r="X24" i="7"/>
  <c r="Q34" i="7"/>
  <c r="Q33" i="7"/>
  <c r="Q32" i="7"/>
  <c r="Q31" i="7"/>
  <c r="Q30" i="7"/>
  <c r="Q29" i="7"/>
  <c r="Q26" i="7"/>
  <c r="E14" i="21" s="1"/>
  <c r="Q25" i="7"/>
  <c r="Q24" i="7"/>
  <c r="J34" i="7"/>
  <c r="J33" i="7"/>
  <c r="J32" i="7"/>
  <c r="J31" i="7"/>
  <c r="J30" i="7"/>
  <c r="J29" i="7"/>
  <c r="J26" i="7"/>
  <c r="E14" i="20" s="1"/>
  <c r="J25" i="7"/>
  <c r="J24" i="7"/>
  <c r="X15" i="7"/>
  <c r="X14" i="7"/>
  <c r="X13" i="7"/>
  <c r="X12" i="7"/>
  <c r="X11" i="7"/>
  <c r="X10" i="7"/>
  <c r="X9" i="7"/>
  <c r="X8" i="7"/>
  <c r="X7" i="7"/>
  <c r="X6" i="7"/>
  <c r="X5" i="7"/>
  <c r="Q15" i="7"/>
  <c r="Q14" i="7"/>
  <c r="Q13" i="7"/>
  <c r="Q12" i="7"/>
  <c r="Q11" i="7"/>
  <c r="Q10" i="7"/>
  <c r="Q7" i="7"/>
  <c r="E13" i="21" s="1"/>
  <c r="Q6" i="7"/>
  <c r="Q5" i="7"/>
  <c r="J15" i="7"/>
  <c r="J14" i="7"/>
  <c r="J13" i="7"/>
  <c r="J12" i="7"/>
  <c r="J11" i="7"/>
  <c r="J10" i="7"/>
  <c r="J7" i="7"/>
  <c r="E13" i="20" s="1"/>
  <c r="J6" i="7"/>
  <c r="J5" i="7"/>
  <c r="X123" i="5"/>
  <c r="X122" i="5"/>
  <c r="X121" i="5"/>
  <c r="X120" i="5"/>
  <c r="X119" i="5"/>
  <c r="X118" i="5"/>
  <c r="X117" i="5"/>
  <c r="X116" i="5"/>
  <c r="X115" i="5"/>
  <c r="X114" i="5"/>
  <c r="X113" i="5"/>
  <c r="Q123" i="5"/>
  <c r="Q122" i="5"/>
  <c r="Q121" i="5"/>
  <c r="Q120" i="5"/>
  <c r="Q119" i="5"/>
  <c r="Q118" i="5"/>
  <c r="Q115" i="5"/>
  <c r="Q114" i="5"/>
  <c r="Q113" i="5"/>
  <c r="J123" i="5"/>
  <c r="J122" i="5"/>
  <c r="J121" i="5"/>
  <c r="J120" i="5"/>
  <c r="J119" i="5"/>
  <c r="J118" i="5"/>
  <c r="J115" i="5"/>
  <c r="J114" i="5"/>
  <c r="J113" i="5"/>
  <c r="X105" i="5"/>
  <c r="X104" i="5"/>
  <c r="X103" i="5"/>
  <c r="X102" i="5"/>
  <c r="X101" i="5"/>
  <c r="X100" i="5"/>
  <c r="X99" i="5"/>
  <c r="X98" i="5"/>
  <c r="X97" i="5"/>
  <c r="X96" i="5"/>
  <c r="X95" i="5"/>
  <c r="Q105" i="5"/>
  <c r="Q104" i="5"/>
  <c r="Q103" i="5"/>
  <c r="Q102" i="5"/>
  <c r="Q101" i="5"/>
  <c r="Q100" i="5"/>
  <c r="Q97" i="5"/>
  <c r="E11" i="21" s="1"/>
  <c r="Q96" i="5"/>
  <c r="Q95" i="5"/>
  <c r="J105" i="5"/>
  <c r="J104" i="5"/>
  <c r="J103" i="5"/>
  <c r="J102" i="5"/>
  <c r="J101" i="5"/>
  <c r="J100" i="5"/>
  <c r="J97" i="5"/>
  <c r="E11" i="20" s="1"/>
  <c r="J96" i="5"/>
  <c r="J95" i="5"/>
  <c r="X87" i="5"/>
  <c r="X86" i="5"/>
  <c r="X85" i="5"/>
  <c r="X84" i="5"/>
  <c r="X83" i="5"/>
  <c r="X82" i="5"/>
  <c r="X81" i="5"/>
  <c r="X80" i="5"/>
  <c r="X79" i="5"/>
  <c r="X78" i="5"/>
  <c r="X77" i="5"/>
  <c r="Q87" i="5"/>
  <c r="Q86" i="5"/>
  <c r="Q85" i="5"/>
  <c r="Q84" i="5"/>
  <c r="Q83" i="5"/>
  <c r="Q82" i="5"/>
  <c r="Q79" i="5"/>
  <c r="E10" i="21" s="1"/>
  <c r="Q78" i="5"/>
  <c r="Q77" i="5"/>
  <c r="J87" i="5"/>
  <c r="J86" i="5"/>
  <c r="J85" i="5"/>
  <c r="J84" i="5"/>
  <c r="J83" i="5"/>
  <c r="J82" i="5"/>
  <c r="J79" i="5"/>
  <c r="E10" i="20" s="1"/>
  <c r="J78" i="5"/>
  <c r="J77" i="5"/>
  <c r="G13" i="22" l="1"/>
  <c r="C14" i="22"/>
  <c r="C16" i="20"/>
  <c r="G17" i="20"/>
  <c r="C13" i="20"/>
  <c r="G13" i="20"/>
  <c r="C15" i="21"/>
  <c r="G16" i="21"/>
  <c r="C18" i="21"/>
  <c r="C11" i="21"/>
  <c r="G10" i="20"/>
  <c r="G18" i="21"/>
  <c r="C11" i="22"/>
  <c r="C10" i="21"/>
  <c r="G11" i="21"/>
  <c r="E16" i="22"/>
  <c r="G13" i="21"/>
  <c r="E13" i="22"/>
  <c r="G17" i="21"/>
  <c r="E17" i="22"/>
  <c r="G18" i="22"/>
  <c r="C13" i="21"/>
  <c r="E11" i="22"/>
  <c r="C15" i="20"/>
  <c r="G17" i="22"/>
  <c r="G10" i="21"/>
  <c r="E10" i="22"/>
  <c r="G11" i="22"/>
  <c r="C14" i="20"/>
  <c r="G15" i="20"/>
  <c r="C17" i="21"/>
  <c r="E18" i="22"/>
  <c r="C11" i="20"/>
  <c r="C14" i="21"/>
  <c r="G15" i="21"/>
  <c r="E15" i="22"/>
  <c r="G16" i="22"/>
  <c r="C17" i="22"/>
  <c r="C10" i="20"/>
  <c r="G11" i="20"/>
  <c r="G14" i="21"/>
  <c r="E14" i="22"/>
  <c r="G15" i="22"/>
  <c r="C16" i="22"/>
  <c r="C18" i="20"/>
  <c r="C10" i="22"/>
  <c r="C13" i="22"/>
  <c r="G16" i="20"/>
  <c r="X107" i="7"/>
  <c r="Y105" i="7" s="1"/>
  <c r="Z105" i="7" s="1"/>
  <c r="G14" i="22"/>
  <c r="C15" i="22"/>
  <c r="C17" i="20"/>
  <c r="G18" i="20"/>
  <c r="G10" i="22"/>
  <c r="G14" i="20"/>
  <c r="C16" i="21"/>
  <c r="C18" i="22"/>
  <c r="J107" i="7"/>
  <c r="K101" i="7" s="1"/>
  <c r="Q107" i="7"/>
  <c r="R98" i="7" s="1"/>
  <c r="S98" i="7" s="1"/>
  <c r="X124" i="5"/>
  <c r="X125" i="5" s="1"/>
  <c r="AA113" i="5" s="1"/>
  <c r="J124" i="5"/>
  <c r="K115" i="5" s="1"/>
  <c r="L115" i="5" s="1"/>
  <c r="Q124" i="5"/>
  <c r="J106" i="5"/>
  <c r="K102" i="5" s="1"/>
  <c r="L102" i="5" s="1"/>
  <c r="Q106" i="5"/>
  <c r="R102" i="5" s="1"/>
  <c r="S102" i="5" s="1"/>
  <c r="X106" i="5"/>
  <c r="X107" i="5" s="1"/>
  <c r="AA100" i="5" s="1"/>
  <c r="J88" i="5"/>
  <c r="K85" i="5" s="1"/>
  <c r="L85" i="5" s="1"/>
  <c r="Q88" i="5"/>
  <c r="R84" i="5" s="1"/>
  <c r="S84" i="5" s="1"/>
  <c r="X88" i="5"/>
  <c r="X89" i="5" s="1"/>
  <c r="AA79" i="5" s="1"/>
  <c r="AB79" i="5" s="1"/>
  <c r="X69" i="5"/>
  <c r="X68" i="5"/>
  <c r="X67" i="5"/>
  <c r="X66" i="5"/>
  <c r="X65" i="5"/>
  <c r="X64" i="5"/>
  <c r="X63" i="5"/>
  <c r="X62" i="5"/>
  <c r="X61" i="5"/>
  <c r="X60" i="5"/>
  <c r="X59" i="5"/>
  <c r="Q69" i="5"/>
  <c r="Q68" i="5"/>
  <c r="Q67" i="5"/>
  <c r="Q66" i="5"/>
  <c r="Q65" i="5"/>
  <c r="Q64" i="5"/>
  <c r="Q61" i="5"/>
  <c r="E9" i="21" s="1"/>
  <c r="Q60" i="5"/>
  <c r="Q59" i="5"/>
  <c r="J69" i="5"/>
  <c r="J68" i="5"/>
  <c r="J67" i="5"/>
  <c r="J66" i="5"/>
  <c r="J65" i="5"/>
  <c r="J64" i="5"/>
  <c r="J61" i="5"/>
  <c r="E9" i="20" s="1"/>
  <c r="J60" i="5"/>
  <c r="J59" i="5"/>
  <c r="X51" i="5"/>
  <c r="X50" i="5"/>
  <c r="X49" i="5"/>
  <c r="X48" i="5"/>
  <c r="X47" i="5"/>
  <c r="X46" i="5"/>
  <c r="X45" i="5"/>
  <c r="X44" i="5"/>
  <c r="X43" i="5"/>
  <c r="X42" i="5"/>
  <c r="X41" i="5"/>
  <c r="Q51" i="5"/>
  <c r="Q50" i="5"/>
  <c r="Q49" i="5"/>
  <c r="Q48" i="5"/>
  <c r="Q47" i="5"/>
  <c r="Q46" i="5"/>
  <c r="Q43" i="5"/>
  <c r="E8" i="21" s="1"/>
  <c r="Q42" i="5"/>
  <c r="Q41" i="5"/>
  <c r="J51" i="5"/>
  <c r="J50" i="5"/>
  <c r="J49" i="5"/>
  <c r="J48" i="5"/>
  <c r="J47" i="5"/>
  <c r="J46" i="5"/>
  <c r="J43" i="5"/>
  <c r="E8" i="20" s="1"/>
  <c r="J42" i="5"/>
  <c r="J41" i="5"/>
  <c r="X33" i="5"/>
  <c r="X32" i="5"/>
  <c r="X31" i="5"/>
  <c r="X30" i="5"/>
  <c r="X29" i="5"/>
  <c r="X28" i="5"/>
  <c r="X27" i="5"/>
  <c r="X26" i="5"/>
  <c r="X25" i="5"/>
  <c r="X24" i="5"/>
  <c r="X23" i="5"/>
  <c r="Q33" i="5"/>
  <c r="Q32" i="5"/>
  <c r="Q31" i="5"/>
  <c r="Q30" i="5"/>
  <c r="Q29" i="5"/>
  <c r="Q28" i="5"/>
  <c r="Q25" i="5"/>
  <c r="E7" i="21" s="1"/>
  <c r="Q24" i="5"/>
  <c r="Q23" i="5"/>
  <c r="E7" i="20"/>
  <c r="C106" i="7"/>
  <c r="C105" i="7"/>
  <c r="C104" i="7"/>
  <c r="C103" i="7"/>
  <c r="C102" i="7"/>
  <c r="C101" i="7"/>
  <c r="C98" i="7"/>
  <c r="E18" i="9" s="1"/>
  <c r="C97" i="7"/>
  <c r="C96" i="7"/>
  <c r="C88" i="7"/>
  <c r="C87" i="7"/>
  <c r="C86" i="7"/>
  <c r="C85" i="7"/>
  <c r="C84" i="7"/>
  <c r="C83" i="7"/>
  <c r="C80" i="7"/>
  <c r="C79" i="7"/>
  <c r="C78" i="7"/>
  <c r="C70" i="7"/>
  <c r="C69" i="7"/>
  <c r="C68" i="7"/>
  <c r="C67" i="7"/>
  <c r="C66" i="7"/>
  <c r="C65" i="7"/>
  <c r="C62" i="7"/>
  <c r="C61" i="7"/>
  <c r="C52" i="7"/>
  <c r="C51" i="7"/>
  <c r="C50" i="7"/>
  <c r="C49" i="7"/>
  <c r="C48" i="7"/>
  <c r="C47" i="7"/>
  <c r="C44" i="7"/>
  <c r="C43" i="7"/>
  <c r="C42" i="7"/>
  <c r="C34" i="7"/>
  <c r="C33" i="7"/>
  <c r="C32" i="7"/>
  <c r="C31" i="7"/>
  <c r="C30" i="7"/>
  <c r="C29" i="7"/>
  <c r="C26" i="7"/>
  <c r="C25" i="7"/>
  <c r="C24" i="7"/>
  <c r="C15" i="7"/>
  <c r="C14" i="7"/>
  <c r="C13" i="7"/>
  <c r="C12" i="7"/>
  <c r="C11" i="7"/>
  <c r="C10" i="7"/>
  <c r="C7" i="7"/>
  <c r="C6" i="7"/>
  <c r="C5" i="7"/>
  <c r="C123" i="5"/>
  <c r="C122" i="5"/>
  <c r="C121" i="5"/>
  <c r="C120" i="5"/>
  <c r="C119" i="5"/>
  <c r="C118" i="5"/>
  <c r="C115" i="5"/>
  <c r="C114" i="5"/>
  <c r="C113" i="5"/>
  <c r="C105" i="5"/>
  <c r="C104" i="5"/>
  <c r="C103" i="5"/>
  <c r="C102" i="5"/>
  <c r="C101" i="5"/>
  <c r="C100" i="5"/>
  <c r="C97" i="5"/>
  <c r="E11" i="9" s="1"/>
  <c r="C96" i="5"/>
  <c r="C95" i="5"/>
  <c r="C69" i="5"/>
  <c r="C68" i="5"/>
  <c r="C67" i="5"/>
  <c r="C66" i="5"/>
  <c r="C65" i="5"/>
  <c r="C64" i="5"/>
  <c r="C61" i="5"/>
  <c r="E9" i="9" s="1"/>
  <c r="C60" i="5"/>
  <c r="C59" i="5"/>
  <c r="C87" i="5"/>
  <c r="C86" i="5"/>
  <c r="C85" i="5"/>
  <c r="C84" i="5"/>
  <c r="C83" i="5"/>
  <c r="C82" i="5"/>
  <c r="C79" i="5"/>
  <c r="E10" i="9" s="1"/>
  <c r="C78" i="5"/>
  <c r="C77" i="5"/>
  <c r="C51" i="5"/>
  <c r="C50" i="5"/>
  <c r="C49" i="5"/>
  <c r="C48" i="5"/>
  <c r="C47" i="5"/>
  <c r="C46" i="5"/>
  <c r="C43" i="5"/>
  <c r="C42" i="5"/>
  <c r="C41" i="5"/>
  <c r="C33" i="5"/>
  <c r="C32" i="5"/>
  <c r="C31" i="5"/>
  <c r="C30" i="5"/>
  <c r="C29" i="5"/>
  <c r="C28" i="5"/>
  <c r="C25" i="5"/>
  <c r="E7" i="9" s="1"/>
  <c r="C24" i="5"/>
  <c r="C23" i="5"/>
  <c r="Y113" i="5" l="1"/>
  <c r="G9" i="9"/>
  <c r="G18" i="9"/>
  <c r="C7" i="9"/>
  <c r="G8" i="21"/>
  <c r="E8" i="22"/>
  <c r="G9" i="21"/>
  <c r="G9" i="22"/>
  <c r="AA77" i="5"/>
  <c r="AA114" i="5"/>
  <c r="AB113" i="5" s="1"/>
  <c r="AA80" i="5"/>
  <c r="K120" i="5"/>
  <c r="L120" i="5" s="1"/>
  <c r="AA117" i="5"/>
  <c r="C8" i="20"/>
  <c r="G9" i="20"/>
  <c r="K114" i="5"/>
  <c r="G7" i="20"/>
  <c r="C9" i="21"/>
  <c r="Y97" i="7"/>
  <c r="Y98" i="7"/>
  <c r="Z98" i="7" s="1"/>
  <c r="Y99" i="7"/>
  <c r="AA116" i="5"/>
  <c r="Y104" i="7"/>
  <c r="Z104" i="7" s="1"/>
  <c r="C11" i="9"/>
  <c r="Y77" i="5"/>
  <c r="X108" i="7"/>
  <c r="AA102" i="7" s="1"/>
  <c r="Y100" i="7"/>
  <c r="Y106" i="7"/>
  <c r="Z106" i="7" s="1"/>
  <c r="C9" i="20"/>
  <c r="Y96" i="7"/>
  <c r="Y103" i="7"/>
  <c r="Z103" i="7" s="1"/>
  <c r="G10" i="9"/>
  <c r="C7" i="21"/>
  <c r="C7" i="22"/>
  <c r="AA97" i="5"/>
  <c r="AB97" i="5" s="1"/>
  <c r="BC87" i="6" s="1"/>
  <c r="Y96" i="5"/>
  <c r="AA82" i="5"/>
  <c r="C8" i="21"/>
  <c r="E9" i="22"/>
  <c r="K87" i="5"/>
  <c r="L87" i="5" s="1"/>
  <c r="AA115" i="5"/>
  <c r="AB115" i="5" s="1"/>
  <c r="Y101" i="7"/>
  <c r="G7" i="9"/>
  <c r="C9" i="9"/>
  <c r="Y78" i="5"/>
  <c r="Y102" i="7"/>
  <c r="K97" i="5"/>
  <c r="L97" i="5" s="1"/>
  <c r="K95" i="5"/>
  <c r="C10" i="9"/>
  <c r="G7" i="21"/>
  <c r="E7" i="22"/>
  <c r="G8" i="22"/>
  <c r="C9" i="22"/>
  <c r="R86" i="5"/>
  <c r="S86" i="5" s="1"/>
  <c r="K101" i="5"/>
  <c r="K84" i="5"/>
  <c r="L84" i="5" s="1"/>
  <c r="AA96" i="5"/>
  <c r="C107" i="7"/>
  <c r="D106" i="7" s="1"/>
  <c r="E106" i="7" s="1"/>
  <c r="K105" i="5"/>
  <c r="L105" i="5" s="1"/>
  <c r="G7" i="22"/>
  <c r="C8" i="22"/>
  <c r="BC72" i="6"/>
  <c r="F10" i="22"/>
  <c r="R96" i="5"/>
  <c r="K100" i="5"/>
  <c r="AA118" i="5"/>
  <c r="G11" i="9"/>
  <c r="C7" i="20"/>
  <c r="G8" i="20"/>
  <c r="AA98" i="5"/>
  <c r="R104" i="7"/>
  <c r="S104" i="7" s="1"/>
  <c r="R101" i="7"/>
  <c r="K96" i="7"/>
  <c r="R97" i="7"/>
  <c r="K97" i="7"/>
  <c r="R96" i="7"/>
  <c r="R103" i="7"/>
  <c r="S103" i="7" s="1"/>
  <c r="K102" i="7"/>
  <c r="L101" i="7" s="1"/>
  <c r="J108" i="7"/>
  <c r="K105" i="7"/>
  <c r="L105" i="7" s="1"/>
  <c r="Q108" i="7"/>
  <c r="R105" i="7"/>
  <c r="S105" i="7" s="1"/>
  <c r="R102" i="7"/>
  <c r="R106" i="7"/>
  <c r="S106" i="7" s="1"/>
  <c r="K98" i="7"/>
  <c r="L98" i="7" s="1"/>
  <c r="K106" i="7"/>
  <c r="L106" i="7" s="1"/>
  <c r="K104" i="7"/>
  <c r="L104" i="7" s="1"/>
  <c r="K103" i="7"/>
  <c r="L103" i="7" s="1"/>
  <c r="AA119" i="5"/>
  <c r="Y114" i="5"/>
  <c r="Q125" i="5"/>
  <c r="R122" i="5"/>
  <c r="S122" i="5" s="1"/>
  <c r="R119" i="5"/>
  <c r="R123" i="5"/>
  <c r="S123" i="5" s="1"/>
  <c r="K118" i="5"/>
  <c r="K123" i="5"/>
  <c r="L123" i="5" s="1"/>
  <c r="K113" i="5"/>
  <c r="R113" i="5"/>
  <c r="K121" i="5"/>
  <c r="L121" i="5" s="1"/>
  <c r="R121" i="5"/>
  <c r="S121" i="5" s="1"/>
  <c r="R114" i="5"/>
  <c r="R120" i="5"/>
  <c r="S120" i="5" s="1"/>
  <c r="K119" i="5"/>
  <c r="J125" i="5"/>
  <c r="K122" i="5"/>
  <c r="L122" i="5" s="1"/>
  <c r="R115" i="5"/>
  <c r="S115" i="5" s="1"/>
  <c r="R118" i="5"/>
  <c r="Y95" i="5"/>
  <c r="Z95" i="5" s="1"/>
  <c r="R95" i="5"/>
  <c r="K78" i="5"/>
  <c r="R100" i="5"/>
  <c r="Q107" i="5"/>
  <c r="R105" i="5"/>
  <c r="S105" i="5" s="1"/>
  <c r="R104" i="5"/>
  <c r="S104" i="5" s="1"/>
  <c r="R103" i="5"/>
  <c r="S103" i="5" s="1"/>
  <c r="R101" i="5"/>
  <c r="J107" i="5"/>
  <c r="K104" i="5"/>
  <c r="L104" i="5" s="1"/>
  <c r="K103" i="5"/>
  <c r="L103" i="5" s="1"/>
  <c r="AA101" i="5"/>
  <c r="AB100" i="5" s="1"/>
  <c r="AA99" i="5"/>
  <c r="R97" i="5"/>
  <c r="S97" i="5" s="1"/>
  <c r="K96" i="5"/>
  <c r="AA95" i="5"/>
  <c r="Q89" i="5"/>
  <c r="R87" i="5"/>
  <c r="S87" i="5" s="1"/>
  <c r="R83" i="5"/>
  <c r="K82" i="5"/>
  <c r="R77" i="5"/>
  <c r="K83" i="5"/>
  <c r="R85" i="5"/>
  <c r="S85" i="5" s="1"/>
  <c r="R78" i="5"/>
  <c r="AA81" i="5"/>
  <c r="AA83" i="5"/>
  <c r="K77" i="5"/>
  <c r="J89" i="5"/>
  <c r="K86" i="5"/>
  <c r="L86" i="5" s="1"/>
  <c r="K79" i="5"/>
  <c r="L79" i="5" s="1"/>
  <c r="R82" i="5"/>
  <c r="AA78" i="5"/>
  <c r="R79" i="5"/>
  <c r="S79" i="5" s="1"/>
  <c r="C18" i="9"/>
  <c r="C88" i="5"/>
  <c r="D78" i="5" s="1"/>
  <c r="C106" i="5"/>
  <c r="D105" i="5" s="1"/>
  <c r="E105" i="5" s="1"/>
  <c r="C124" i="5"/>
  <c r="D121" i="5" s="1"/>
  <c r="E121" i="5" s="1"/>
  <c r="Z113" i="5" l="1"/>
  <c r="AB77" i="5"/>
  <c r="D10" i="22" s="1"/>
  <c r="AB95" i="5"/>
  <c r="BC86" i="6" s="1"/>
  <c r="AA101" i="7"/>
  <c r="AB101" i="7" s="1"/>
  <c r="BC89" i="8" s="1"/>
  <c r="AA99" i="7"/>
  <c r="L113" i="5"/>
  <c r="Z101" i="7"/>
  <c r="Z96" i="7"/>
  <c r="D101" i="7"/>
  <c r="AA97" i="7"/>
  <c r="C108" i="7"/>
  <c r="F102" i="7" s="1"/>
  <c r="AA98" i="7"/>
  <c r="AB98" i="7" s="1"/>
  <c r="BC88" i="8" s="1"/>
  <c r="Z77" i="5"/>
  <c r="D97" i="7"/>
  <c r="D98" i="7"/>
  <c r="E98" i="7" s="1"/>
  <c r="D104" i="7"/>
  <c r="E104" i="7" s="1"/>
  <c r="F11" i="22"/>
  <c r="S101" i="7"/>
  <c r="AA100" i="7"/>
  <c r="D105" i="7"/>
  <c r="E105" i="7" s="1"/>
  <c r="D103" i="7"/>
  <c r="E103" i="7" s="1"/>
  <c r="L77" i="5"/>
  <c r="AA96" i="7"/>
  <c r="L95" i="5"/>
  <c r="L100" i="5"/>
  <c r="AB118" i="5"/>
  <c r="D96" i="7"/>
  <c r="D102" i="7"/>
  <c r="AB82" i="5"/>
  <c r="BC73" i="6" s="1"/>
  <c r="BC88" i="6"/>
  <c r="H11" i="22"/>
  <c r="S82" i="5"/>
  <c r="S95" i="5"/>
  <c r="S96" i="7"/>
  <c r="T101" i="7"/>
  <c r="T102" i="7"/>
  <c r="T96" i="7"/>
  <c r="T98" i="7"/>
  <c r="U98" i="7" s="1"/>
  <c r="T97" i="7"/>
  <c r="M101" i="7"/>
  <c r="M97" i="7"/>
  <c r="M96" i="7"/>
  <c r="M98" i="7"/>
  <c r="N98" i="7" s="1"/>
  <c r="M102" i="7"/>
  <c r="L96" i="7"/>
  <c r="S118" i="5"/>
  <c r="T118" i="5"/>
  <c r="T119" i="5"/>
  <c r="T114" i="5"/>
  <c r="T113" i="5"/>
  <c r="T115" i="5"/>
  <c r="U115" i="5" s="1"/>
  <c r="S113" i="5"/>
  <c r="M119" i="5"/>
  <c r="M118" i="5"/>
  <c r="M113" i="5"/>
  <c r="M115" i="5"/>
  <c r="N115" i="5" s="1"/>
  <c r="M114" i="5"/>
  <c r="L118" i="5"/>
  <c r="T95" i="5"/>
  <c r="T96" i="5"/>
  <c r="T100" i="5"/>
  <c r="T97" i="5"/>
  <c r="U97" i="5" s="1"/>
  <c r="T101" i="5"/>
  <c r="M96" i="5"/>
  <c r="M101" i="5"/>
  <c r="M95" i="5"/>
  <c r="M100" i="5"/>
  <c r="M97" i="5"/>
  <c r="N97" i="5" s="1"/>
  <c r="S100" i="5"/>
  <c r="S77" i="5"/>
  <c r="M82" i="5"/>
  <c r="M77" i="5"/>
  <c r="M83" i="5"/>
  <c r="M79" i="5"/>
  <c r="N79" i="5" s="1"/>
  <c r="M78" i="5"/>
  <c r="L82" i="5"/>
  <c r="T77" i="5"/>
  <c r="T78" i="5"/>
  <c r="T83" i="5"/>
  <c r="T79" i="5"/>
  <c r="U79" i="5" s="1"/>
  <c r="T82" i="5"/>
  <c r="D77" i="5"/>
  <c r="E77" i="5" s="1"/>
  <c r="D84" i="5"/>
  <c r="E84" i="5" s="1"/>
  <c r="C89" i="5"/>
  <c r="F82" i="5" s="1"/>
  <c r="D123" i="5"/>
  <c r="E123" i="5" s="1"/>
  <c r="D79" i="5"/>
  <c r="E79" i="5" s="1"/>
  <c r="D100" i="5"/>
  <c r="D96" i="5"/>
  <c r="D86" i="5"/>
  <c r="E86" i="5" s="1"/>
  <c r="C125" i="5"/>
  <c r="F113" i="5" s="1"/>
  <c r="D83" i="5"/>
  <c r="D85" i="5"/>
  <c r="E85" i="5" s="1"/>
  <c r="C107" i="5"/>
  <c r="F97" i="5" s="1"/>
  <c r="G97" i="5" s="1"/>
  <c r="D82" i="5"/>
  <c r="D87" i="5"/>
  <c r="E87" i="5" s="1"/>
  <c r="D119" i="5"/>
  <c r="D95" i="5"/>
  <c r="D122" i="5"/>
  <c r="E122" i="5" s="1"/>
  <c r="D97" i="5"/>
  <c r="E97" i="5" s="1"/>
  <c r="D101" i="5"/>
  <c r="D102" i="5"/>
  <c r="E102" i="5" s="1"/>
  <c r="D120" i="5"/>
  <c r="E120" i="5" s="1"/>
  <c r="D104" i="5"/>
  <c r="E104" i="5" s="1"/>
  <c r="D114" i="5"/>
  <c r="D103" i="5"/>
  <c r="E103" i="5" s="1"/>
  <c r="D115" i="5"/>
  <c r="E115" i="5" s="1"/>
  <c r="D113" i="5"/>
  <c r="D118" i="5"/>
  <c r="X15" i="5"/>
  <c r="X14" i="5"/>
  <c r="X13" i="5"/>
  <c r="X12" i="5"/>
  <c r="X11" i="5"/>
  <c r="X10" i="5"/>
  <c r="BC71" i="6" l="1"/>
  <c r="F101" i="7"/>
  <c r="G101" i="7" s="1"/>
  <c r="H18" i="9" s="1"/>
  <c r="F96" i="7"/>
  <c r="F97" i="7"/>
  <c r="D11" i="22"/>
  <c r="F98" i="7"/>
  <c r="G98" i="7" s="1"/>
  <c r="F18" i="9" s="1"/>
  <c r="F18" i="22"/>
  <c r="H10" i="22"/>
  <c r="H18" i="22"/>
  <c r="E96" i="7"/>
  <c r="AB96" i="7"/>
  <c r="D18" i="22" s="1"/>
  <c r="E101" i="7"/>
  <c r="G5" i="22"/>
  <c r="U82" i="5"/>
  <c r="BB73" i="6" s="1"/>
  <c r="N101" i="7"/>
  <c r="BA89" i="8" s="1"/>
  <c r="N118" i="5"/>
  <c r="F11" i="9"/>
  <c r="AZ87" i="6"/>
  <c r="BA72" i="6"/>
  <c r="F10" i="20"/>
  <c r="BB72" i="6"/>
  <c r="F10" i="21"/>
  <c r="BB87" i="6"/>
  <c r="F11" i="21"/>
  <c r="F18" i="21"/>
  <c r="BB88" i="8"/>
  <c r="BA87" i="6"/>
  <c r="F11" i="20"/>
  <c r="F18" i="20"/>
  <c r="BA88" i="8"/>
  <c r="N96" i="7"/>
  <c r="U96" i="7"/>
  <c r="U101" i="7"/>
  <c r="U118" i="5"/>
  <c r="N113" i="5"/>
  <c r="U113" i="5"/>
  <c r="N95" i="5"/>
  <c r="U100" i="5"/>
  <c r="N100" i="5"/>
  <c r="U95" i="5"/>
  <c r="N77" i="5"/>
  <c r="U77" i="5"/>
  <c r="N82" i="5"/>
  <c r="E95" i="5"/>
  <c r="F78" i="5"/>
  <c r="F77" i="5"/>
  <c r="F83" i="5"/>
  <c r="G82" i="5" s="1"/>
  <c r="F114" i="5"/>
  <c r="G113" i="5" s="1"/>
  <c r="F115" i="5"/>
  <c r="G115" i="5" s="1"/>
  <c r="F118" i="5"/>
  <c r="F119" i="5"/>
  <c r="F79" i="5"/>
  <c r="G79" i="5" s="1"/>
  <c r="E82" i="5"/>
  <c r="F101" i="5"/>
  <c r="E100" i="5"/>
  <c r="F100" i="5"/>
  <c r="E118" i="5"/>
  <c r="F95" i="5"/>
  <c r="F96" i="5"/>
  <c r="E113" i="5"/>
  <c r="Q11" i="5"/>
  <c r="Q10" i="5"/>
  <c r="G77" i="5" l="1"/>
  <c r="D10" i="9" s="1"/>
  <c r="AZ89" i="8"/>
  <c r="G96" i="7"/>
  <c r="D18" i="9" s="1"/>
  <c r="H10" i="21"/>
  <c r="AZ88" i="8"/>
  <c r="BC87" i="8"/>
  <c r="H18" i="20"/>
  <c r="G5" i="21"/>
  <c r="G95" i="5"/>
  <c r="D11" i="9" s="1"/>
  <c r="BA87" i="8"/>
  <c r="D18" i="20"/>
  <c r="BB88" i="6"/>
  <c r="H11" i="21"/>
  <c r="F10" i="9"/>
  <c r="AZ72" i="6"/>
  <c r="BA86" i="6"/>
  <c r="D11" i="20"/>
  <c r="BA73" i="6"/>
  <c r="H10" i="20"/>
  <c r="BA88" i="6"/>
  <c r="H11" i="20"/>
  <c r="BB71" i="6"/>
  <c r="D10" i="21"/>
  <c r="BA71" i="6"/>
  <c r="D10" i="20"/>
  <c r="BB89" i="8"/>
  <c r="H18" i="21"/>
  <c r="H10" i="9"/>
  <c r="AZ73" i="6"/>
  <c r="BB86" i="6"/>
  <c r="D11" i="21"/>
  <c r="D18" i="21"/>
  <c r="BB87" i="8"/>
  <c r="G118" i="5"/>
  <c r="G100" i="5"/>
  <c r="J15" i="5"/>
  <c r="J14" i="5"/>
  <c r="J13" i="5"/>
  <c r="J12" i="5"/>
  <c r="J11" i="5"/>
  <c r="J10" i="5"/>
  <c r="J6" i="5"/>
  <c r="J5" i="5"/>
  <c r="AZ71" i="6" l="1"/>
  <c r="AZ87" i="8"/>
  <c r="AZ86" i="6"/>
  <c r="G5" i="20"/>
  <c r="C5" i="20"/>
  <c r="H11" i="9"/>
  <c r="AZ88" i="6"/>
  <c r="X9" i="5"/>
  <c r="X8" i="5"/>
  <c r="X7" i="5"/>
  <c r="X6" i="5"/>
  <c r="X5" i="5"/>
  <c r="Q7" i="5"/>
  <c r="E5" i="21" s="1"/>
  <c r="Q6" i="5"/>
  <c r="Q5" i="5"/>
  <c r="C7" i="5"/>
  <c r="C6" i="5"/>
  <c r="C5" i="5"/>
  <c r="C15" i="5"/>
  <c r="C14" i="5"/>
  <c r="C13" i="5"/>
  <c r="C12" i="5"/>
  <c r="C11" i="5"/>
  <c r="C10" i="5"/>
  <c r="E5" i="22" l="1"/>
  <c r="C5" i="22"/>
  <c r="C5" i="21"/>
  <c r="J7" i="5"/>
  <c r="E5" i="20" s="1"/>
  <c r="X89" i="7" l="1"/>
  <c r="Y86" i="7" s="1"/>
  <c r="Z86" i="7" s="1"/>
  <c r="X71" i="7"/>
  <c r="Y68" i="7" s="1"/>
  <c r="Z68" i="7" s="1"/>
  <c r="X53" i="7"/>
  <c r="Y49" i="7" s="1"/>
  <c r="Z49" i="7" s="1"/>
  <c r="X35" i="7"/>
  <c r="Y33" i="7" s="1"/>
  <c r="Z33" i="7" s="1"/>
  <c r="X16" i="7"/>
  <c r="Y14" i="7" s="1"/>
  <c r="Z14" i="7" s="1"/>
  <c r="Y28" i="7" l="1"/>
  <c r="Y45" i="7"/>
  <c r="Y63" i="7"/>
  <c r="Y27" i="7"/>
  <c r="Y62" i="7"/>
  <c r="Y80" i="7"/>
  <c r="Y44" i="7"/>
  <c r="Y81" i="7"/>
  <c r="Y26" i="7"/>
  <c r="Y46" i="7"/>
  <c r="Y64" i="7"/>
  <c r="Y82" i="7"/>
  <c r="X16" i="5"/>
  <c r="Y12" i="5" s="1"/>
  <c r="Z12" i="5" s="1"/>
  <c r="Y5" i="7"/>
  <c r="Y43" i="7"/>
  <c r="Y67" i="7"/>
  <c r="Z67" i="7" s="1"/>
  <c r="Y48" i="7"/>
  <c r="Y51" i="7"/>
  <c r="Z51" i="7" s="1"/>
  <c r="X54" i="7"/>
  <c r="Y11" i="7"/>
  <c r="Y84" i="7"/>
  <c r="Y8" i="7"/>
  <c r="Y85" i="7"/>
  <c r="Z85" i="7" s="1"/>
  <c r="Y13" i="7"/>
  <c r="Z13" i="7" s="1"/>
  <c r="X17" i="7"/>
  <c r="AA6" i="7" s="1"/>
  <c r="Y12" i="7"/>
  <c r="Z12" i="7" s="1"/>
  <c r="Y66" i="7"/>
  <c r="Y69" i="7"/>
  <c r="Z69" i="7" s="1"/>
  <c r="Y88" i="7"/>
  <c r="Z88" i="7" s="1"/>
  <c r="X90" i="7"/>
  <c r="Y10" i="7"/>
  <c r="Y15" i="7"/>
  <c r="Z15" i="7" s="1"/>
  <c r="Y7" i="7"/>
  <c r="Y70" i="7"/>
  <c r="Z70" i="7" s="1"/>
  <c r="Y78" i="7"/>
  <c r="Y87" i="7"/>
  <c r="Z87" i="7" s="1"/>
  <c r="Y9" i="7"/>
  <c r="Y60" i="7"/>
  <c r="Y83" i="7"/>
  <c r="Y79" i="7"/>
  <c r="X72" i="7"/>
  <c r="Y65" i="7"/>
  <c r="Y61" i="7"/>
  <c r="Y52" i="7"/>
  <c r="Z52" i="7" s="1"/>
  <c r="Y50" i="7"/>
  <c r="Z50" i="7" s="1"/>
  <c r="Y47" i="7"/>
  <c r="Y42" i="7"/>
  <c r="Y34" i="7"/>
  <c r="Z34" i="7" s="1"/>
  <c r="Y24" i="7"/>
  <c r="Y25" i="7"/>
  <c r="Y31" i="7"/>
  <c r="Z31" i="7" s="1"/>
  <c r="Y30" i="7"/>
  <c r="Y29" i="7"/>
  <c r="X36" i="7"/>
  <c r="Y32" i="7"/>
  <c r="Z32" i="7" s="1"/>
  <c r="Y6" i="7"/>
  <c r="X34" i="5"/>
  <c r="X70" i="5"/>
  <c r="Y60" i="5" s="1"/>
  <c r="X52" i="5"/>
  <c r="Y43" i="5" s="1"/>
  <c r="Y30" i="5" l="1"/>
  <c r="Z30" i="5" s="1"/>
  <c r="Y122" i="5"/>
  <c r="Z122" i="5" s="1"/>
  <c r="Y121" i="5"/>
  <c r="Z121" i="5" s="1"/>
  <c r="Y101" i="5"/>
  <c r="Y87" i="5"/>
  <c r="Z87" i="5" s="1"/>
  <c r="Y100" i="5"/>
  <c r="Z100" i="5" s="1"/>
  <c r="Y99" i="5"/>
  <c r="Y83" i="5"/>
  <c r="Y116" i="5"/>
  <c r="Y123" i="5"/>
  <c r="Z123" i="5" s="1"/>
  <c r="Y82" i="5"/>
  <c r="Z82" i="5" s="1"/>
  <c r="Y80" i="5"/>
  <c r="Y85" i="5"/>
  <c r="Z85" i="5" s="1"/>
  <c r="Y105" i="5"/>
  <c r="Z105" i="5" s="1"/>
  <c r="Y81" i="5"/>
  <c r="Y79" i="5"/>
  <c r="Z79" i="5" s="1"/>
  <c r="Y119" i="5"/>
  <c r="Y102" i="5"/>
  <c r="Z102" i="5" s="1"/>
  <c r="Y84" i="5"/>
  <c r="Z84" i="5" s="1"/>
  <c r="Y120" i="5"/>
  <c r="Z120" i="5" s="1"/>
  <c r="Y97" i="5"/>
  <c r="Z97" i="5" s="1"/>
  <c r="Y104" i="5"/>
  <c r="Z104" i="5" s="1"/>
  <c r="Y103" i="5"/>
  <c r="Z103" i="5" s="1"/>
  <c r="Y115" i="5"/>
  <c r="Z115" i="5" s="1"/>
  <c r="Y98" i="5"/>
  <c r="Y118" i="5"/>
  <c r="Z118" i="5" s="1"/>
  <c r="Y117" i="5"/>
  <c r="Y86" i="5"/>
  <c r="Z86" i="5" s="1"/>
  <c r="Z5" i="7"/>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D13" i="22"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Z43" i="5" l="1"/>
  <c r="AB42" i="7"/>
  <c r="D15" i="22" s="1"/>
  <c r="AB62" i="7"/>
  <c r="F16" i="22" s="1"/>
  <c r="AB80" i="7"/>
  <c r="F17" i="22" s="1"/>
  <c r="AB44" i="7"/>
  <c r="F15" i="22" s="1"/>
  <c r="AB26" i="7"/>
  <c r="F14" i="22" s="1"/>
  <c r="AB7" i="7"/>
  <c r="F13" i="22" s="1"/>
  <c r="Z10" i="5"/>
  <c r="AB10" i="7"/>
  <c r="H13" i="22" s="1"/>
  <c r="AA41" i="5"/>
  <c r="AA42" i="5"/>
  <c r="AA46" i="5"/>
  <c r="AA47" i="5"/>
  <c r="AA45" i="5"/>
  <c r="AA43" i="5"/>
  <c r="AA44" i="5"/>
  <c r="AA59" i="5"/>
  <c r="AA60" i="5"/>
  <c r="AA61" i="5"/>
  <c r="AA62" i="5"/>
  <c r="AA63" i="5"/>
  <c r="AA65" i="5"/>
  <c r="AA64" i="5"/>
  <c r="Z41" i="5"/>
  <c r="AB47" i="7"/>
  <c r="H15" i="22" s="1"/>
  <c r="Z28" i="5"/>
  <c r="Z7" i="5"/>
  <c r="Z23" i="5"/>
  <c r="Z46" i="5"/>
  <c r="Z5" i="5"/>
  <c r="Z64" i="5"/>
  <c r="Z25" i="5"/>
  <c r="AA24" i="5"/>
  <c r="AA29" i="5"/>
  <c r="AA27" i="5"/>
  <c r="AA25" i="5"/>
  <c r="AA26" i="5"/>
  <c r="AA28" i="5"/>
  <c r="AA11" i="5"/>
  <c r="AA8" i="5"/>
  <c r="AA7" i="5"/>
  <c r="AA10" i="5"/>
  <c r="AA6" i="5"/>
  <c r="AA9" i="5"/>
  <c r="Z61" i="5"/>
  <c r="AB25" i="5" l="1"/>
  <c r="F7" i="22" s="1"/>
  <c r="AB61" i="5"/>
  <c r="F9" i="22" s="1"/>
  <c r="AB10" i="5"/>
  <c r="H5" i="22" s="1"/>
  <c r="AB7" i="5"/>
  <c r="F5" i="22" s="1"/>
  <c r="AB59" i="5"/>
  <c r="D9" i="22" s="1"/>
  <c r="AB41" i="5"/>
  <c r="D8" i="22" s="1"/>
  <c r="AB43" i="5"/>
  <c r="F8" i="22" s="1"/>
  <c r="AB64" i="5"/>
  <c r="H9" i="22" s="1"/>
  <c r="AB23" i="5"/>
  <c r="D7" i="22" s="1"/>
  <c r="AB46" i="5"/>
  <c r="H8" i="22" s="1"/>
  <c r="AB5" i="5"/>
  <c r="AD5" i="5" l="1"/>
  <c r="D5" i="22"/>
  <c r="AD7" i="5"/>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AB83" i="7" l="1"/>
  <c r="H17" i="22" s="1"/>
  <c r="AB78" i="7"/>
  <c r="D17" i="22" s="1"/>
  <c r="AB65" i="7"/>
  <c r="H16" i="22" s="1"/>
  <c r="AB60" i="7"/>
  <c r="D16" i="22" s="1"/>
  <c r="BC41" i="8"/>
  <c r="BC40" i="8"/>
  <c r="BC39" i="8"/>
  <c r="AB29" i="7"/>
  <c r="H14" i="22" s="1"/>
  <c r="AB24" i="7"/>
  <c r="D14" i="22" s="1"/>
  <c r="BC7" i="8"/>
  <c r="G14" i="9" l="1"/>
  <c r="BC71" i="8"/>
  <c r="BC72" i="8"/>
  <c r="BC73" i="8"/>
  <c r="BC57" i="8"/>
  <c r="BC55" i="8"/>
  <c r="BC56" i="8"/>
  <c r="BC24" i="8"/>
  <c r="BC25" i="8"/>
  <c r="BC23" i="8"/>
  <c r="BC9" i="8"/>
  <c r="BC8" i="8"/>
  <c r="G16"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7" i="9"/>
  <c r="G15" i="9"/>
  <c r="G13" i="9"/>
  <c r="E17" i="9"/>
  <c r="E16" i="9"/>
  <c r="E15" i="9"/>
  <c r="E14" i="9"/>
  <c r="E13" i="9"/>
  <c r="C17" i="9"/>
  <c r="C16" i="9"/>
  <c r="C15" i="9"/>
  <c r="C14" i="9"/>
  <c r="C13" i="9"/>
  <c r="Q17" i="7" l="1"/>
  <c r="T7" i="7" s="1"/>
  <c r="U7" i="7" s="1"/>
  <c r="F13" i="21" s="1"/>
  <c r="R7" i="7"/>
  <c r="S7" i="7" s="1"/>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H7" i="22" s="1"/>
  <c r="BC23" i="6"/>
  <c r="Q15" i="5"/>
  <c r="Q14" i="5"/>
  <c r="Q13" i="5"/>
  <c r="E5" i="9"/>
  <c r="Q16" i="5" l="1"/>
  <c r="T6" i="7"/>
  <c r="T11" i="7"/>
  <c r="T5" i="7"/>
  <c r="T10" i="7"/>
  <c r="L5" i="7"/>
  <c r="S60" i="7"/>
  <c r="BC24" i="6"/>
  <c r="BC25" i="6"/>
  <c r="BB8" i="8"/>
  <c r="AZ9" i="8"/>
  <c r="E8" i="9"/>
  <c r="AZ8" i="8"/>
  <c r="C5" i="9"/>
  <c r="J16" i="5"/>
  <c r="K7" i="5" s="1"/>
  <c r="C16" i="5"/>
  <c r="D5" i="5" s="1"/>
  <c r="T84" i="7"/>
  <c r="M79" i="7"/>
  <c r="E78" i="7"/>
  <c r="L78" i="7"/>
  <c r="E83" i="7"/>
  <c r="T29" i="7"/>
  <c r="H17" i="9"/>
  <c r="AZ73" i="8"/>
  <c r="F17" i="9"/>
  <c r="AZ72" i="8"/>
  <c r="S29" i="7"/>
  <c r="T30" i="7"/>
  <c r="T24" i="7"/>
  <c r="U24" i="7" s="1"/>
  <c r="D14" i="21" s="1"/>
  <c r="T26" i="7"/>
  <c r="U26" i="7" s="1"/>
  <c r="F14" i="21" s="1"/>
  <c r="S24" i="7"/>
  <c r="S42" i="7"/>
  <c r="G78" i="7"/>
  <c r="G42" i="7"/>
  <c r="M62" i="7"/>
  <c r="N62" i="7" s="1"/>
  <c r="F16" i="20" s="1"/>
  <c r="G47" i="7"/>
  <c r="M65" i="7"/>
  <c r="E29" i="7"/>
  <c r="M80" i="7"/>
  <c r="N80" i="7" s="1"/>
  <c r="F17" i="20" s="1"/>
  <c r="M83" i="7"/>
  <c r="N83" i="7" s="1"/>
  <c r="H17" i="20" s="1"/>
  <c r="E65" i="7"/>
  <c r="E42" i="7"/>
  <c r="E47" i="7"/>
  <c r="L24" i="7"/>
  <c r="S5" i="7"/>
  <c r="M78" i="7"/>
  <c r="T78" i="7"/>
  <c r="U78" i="7" s="1"/>
  <c r="D17" i="21" s="1"/>
  <c r="S78" i="7"/>
  <c r="L83" i="7"/>
  <c r="S10" i="7"/>
  <c r="G5" i="7"/>
  <c r="F26" i="7"/>
  <c r="G26" i="7" s="1"/>
  <c r="F25" i="7"/>
  <c r="F24" i="7"/>
  <c r="M11" i="7"/>
  <c r="T83" i="7"/>
  <c r="M29" i="7"/>
  <c r="M66" i="7"/>
  <c r="F29" i="7"/>
  <c r="G29" i="7" s="1"/>
  <c r="E60" i="7"/>
  <c r="M26" i="7"/>
  <c r="N26" i="7" s="1"/>
  <c r="F14" i="20" s="1"/>
  <c r="M24" i="7"/>
  <c r="N24" i="7" s="1"/>
  <c r="D14" i="20" s="1"/>
  <c r="M30" i="7"/>
  <c r="T80" i="7"/>
  <c r="U80" i="7" s="1"/>
  <c r="F17" i="21" s="1"/>
  <c r="F15" i="9"/>
  <c r="AZ40" i="8"/>
  <c r="L60" i="7"/>
  <c r="M61" i="7"/>
  <c r="N60" i="7" s="1"/>
  <c r="D16" i="20" s="1"/>
  <c r="M7" i="7"/>
  <c r="N7" i="7" s="1"/>
  <c r="F13" i="20" s="1"/>
  <c r="M5" i="7"/>
  <c r="N5" i="7" s="1"/>
  <c r="D13" i="20" s="1"/>
  <c r="L10" i="7"/>
  <c r="L47" i="7"/>
  <c r="M10" i="7"/>
  <c r="T62" i="7"/>
  <c r="U62" i="7" s="1"/>
  <c r="F16" i="21" s="1"/>
  <c r="S65" i="7"/>
  <c r="T66" i="7"/>
  <c r="U65" i="7" s="1"/>
  <c r="H16" i="21" s="1"/>
  <c r="T61" i="7"/>
  <c r="T60" i="7"/>
  <c r="L65" i="7"/>
  <c r="T48" i="7"/>
  <c r="T44" i="7"/>
  <c r="U44" i="7" s="1"/>
  <c r="F15" i="21" s="1"/>
  <c r="T43" i="7"/>
  <c r="T42" i="7"/>
  <c r="T47" i="7"/>
  <c r="M48" i="7"/>
  <c r="M44" i="7"/>
  <c r="N44" i="7" s="1"/>
  <c r="F15" i="20" s="1"/>
  <c r="M43" i="7"/>
  <c r="M42" i="7"/>
  <c r="M47" i="7"/>
  <c r="L42" i="7"/>
  <c r="F62" i="7"/>
  <c r="G62" i="7" s="1"/>
  <c r="F65" i="7"/>
  <c r="F66" i="7"/>
  <c r="F61" i="7"/>
  <c r="G60" i="7" s="1"/>
  <c r="G5" i="9"/>
  <c r="G8"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3" i="21" s="1"/>
  <c r="U10" i="7"/>
  <c r="R32" i="5"/>
  <c r="S32" i="5" s="1"/>
  <c r="R25" i="5"/>
  <c r="S25" i="5" s="1"/>
  <c r="R15" i="5"/>
  <c r="S15" i="5" s="1"/>
  <c r="Q17" i="5"/>
  <c r="T5" i="5" s="1"/>
  <c r="R12" i="5"/>
  <c r="S12" i="5" s="1"/>
  <c r="R11" i="5"/>
  <c r="BB24" i="8"/>
  <c r="BB57" i="8"/>
  <c r="BB23" i="8"/>
  <c r="BB72" i="8"/>
  <c r="BB40" i="8"/>
  <c r="BB56" i="8"/>
  <c r="BB71" i="8"/>
  <c r="H15" i="9"/>
  <c r="AZ7" i="8"/>
  <c r="AZ39" i="8"/>
  <c r="K12" i="5"/>
  <c r="L12" i="5" s="1"/>
  <c r="BA72" i="8"/>
  <c r="BA56" i="8"/>
  <c r="BA8" i="8"/>
  <c r="BA23" i="8"/>
  <c r="BA7" i="8"/>
  <c r="BA55" i="8"/>
  <c r="BA24" i="8"/>
  <c r="BA40" i="8"/>
  <c r="BA73" i="8"/>
  <c r="K33" i="5"/>
  <c r="L33" i="5" s="1"/>
  <c r="K25" i="5"/>
  <c r="L25" i="5" s="1"/>
  <c r="K48" i="5"/>
  <c r="L48" i="5" s="1"/>
  <c r="K43" i="5"/>
  <c r="L43" i="5" s="1"/>
  <c r="N78" i="7"/>
  <c r="D17" i="20" s="1"/>
  <c r="U83" i="7"/>
  <c r="H17" i="21" s="1"/>
  <c r="U47" i="7"/>
  <c r="H15" i="21" s="1"/>
  <c r="U29" i="7"/>
  <c r="H14" i="21" s="1"/>
  <c r="N65" i="7"/>
  <c r="H16" i="20" s="1"/>
  <c r="F16" i="9"/>
  <c r="AZ56" i="8"/>
  <c r="D17" i="9"/>
  <c r="AZ71" i="8"/>
  <c r="D16" i="9"/>
  <c r="AZ55" i="8"/>
  <c r="D15" i="9"/>
  <c r="D49" i="5"/>
  <c r="E49" i="5" s="1"/>
  <c r="AZ41" i="8"/>
  <c r="N29" i="7"/>
  <c r="H14" i="20" s="1"/>
  <c r="G24" i="7"/>
  <c r="N10" i="7"/>
  <c r="H13" i="20" s="1"/>
  <c r="F14" i="9"/>
  <c r="AZ24" i="8"/>
  <c r="D59" i="5"/>
  <c r="H14" i="9"/>
  <c r="AZ25" i="8"/>
  <c r="N42" i="7"/>
  <c r="D15" i="20" s="1"/>
  <c r="U60" i="7"/>
  <c r="D16" i="21" s="1"/>
  <c r="U42" i="7"/>
  <c r="D15" i="21" s="1"/>
  <c r="N47" i="7"/>
  <c r="H15" i="20" s="1"/>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3" i="9"/>
  <c r="R5" i="5"/>
  <c r="R6" i="5"/>
  <c r="R7" i="5"/>
  <c r="S7" i="5" s="1"/>
  <c r="R10" i="5"/>
  <c r="R14" i="5"/>
  <c r="S14" i="5" s="1"/>
  <c r="R13" i="5"/>
  <c r="S13" i="5" s="1"/>
  <c r="J17" i="5"/>
  <c r="L7" i="5"/>
  <c r="K5" i="5"/>
  <c r="K15" i="5"/>
  <c r="L15" i="5" s="1"/>
  <c r="BC7" i="6"/>
  <c r="BC9" i="6"/>
  <c r="J71" i="5"/>
  <c r="M61" i="5" s="1"/>
  <c r="N61" i="5" s="1"/>
  <c r="F9" i="20"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7" i="9"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9" i="8" l="1"/>
  <c r="H13" i="21"/>
  <c r="BB7" i="8"/>
  <c r="S5" i="5"/>
  <c r="BB41" i="8"/>
  <c r="BB73" i="8"/>
  <c r="BB55" i="8"/>
  <c r="BB25" i="8"/>
  <c r="BB39" i="8"/>
  <c r="T6" i="5"/>
  <c r="T7" i="5"/>
  <c r="U7" i="5" s="1"/>
  <c r="F5" i="21" s="1"/>
  <c r="D14" i="9"/>
  <c r="F59" i="5"/>
  <c r="BA9" i="8"/>
  <c r="BA57" i="8"/>
  <c r="BA71" i="8"/>
  <c r="BA56" i="6"/>
  <c r="BA41" i="8"/>
  <c r="BA39" i="8"/>
  <c r="BA25" i="8"/>
  <c r="M42" i="5"/>
  <c r="M43" i="5"/>
  <c r="N43" i="5" s="1"/>
  <c r="F8" i="20" s="1"/>
  <c r="M10" i="5"/>
  <c r="M7" i="5"/>
  <c r="N7" i="5" s="1"/>
  <c r="F5" i="20" s="1"/>
  <c r="E46" i="5"/>
  <c r="F65" i="5"/>
  <c r="G64" i="5" s="1"/>
  <c r="H9" i="9" s="1"/>
  <c r="E41" i="5"/>
  <c r="H16" i="9"/>
  <c r="AZ57" i="8"/>
  <c r="S64" i="5"/>
  <c r="F42" i="5"/>
  <c r="E59" i="5"/>
  <c r="F41" i="5"/>
  <c r="AZ23" i="8"/>
  <c r="G23" i="5"/>
  <c r="D7" i="9" s="1"/>
  <c r="E23" i="5"/>
  <c r="T11" i="5"/>
  <c r="F43" i="5"/>
  <c r="G43" i="5" s="1"/>
  <c r="T10" i="5"/>
  <c r="F47" i="5"/>
  <c r="G46" i="5" s="1"/>
  <c r="F61" i="5"/>
  <c r="G61" i="5" s="1"/>
  <c r="F9" i="9" s="1"/>
  <c r="F60" i="5"/>
  <c r="F5" i="5"/>
  <c r="F6" i="5"/>
  <c r="AZ24" i="6"/>
  <c r="H13" i="9"/>
  <c r="D13" i="9"/>
  <c r="M11" i="5"/>
  <c r="M65" i="5"/>
  <c r="M5" i="5"/>
  <c r="M6" i="5"/>
  <c r="L5" i="5"/>
  <c r="S46" i="5"/>
  <c r="S10" i="5"/>
  <c r="G28" i="5"/>
  <c r="H7" i="9" s="1"/>
  <c r="L10" i="5"/>
  <c r="M60" i="5"/>
  <c r="L41" i="5"/>
  <c r="M46" i="5"/>
  <c r="M59" i="5"/>
  <c r="M64" i="5"/>
  <c r="L59" i="5"/>
  <c r="L64" i="5"/>
  <c r="L46" i="5"/>
  <c r="M41" i="5"/>
  <c r="M47" i="5"/>
  <c r="S59" i="5"/>
  <c r="S41" i="5"/>
  <c r="T47" i="5"/>
  <c r="T42" i="5"/>
  <c r="T46" i="5"/>
  <c r="T41" i="5"/>
  <c r="T43" i="5"/>
  <c r="U43" i="5" s="1"/>
  <c r="F8" i="21" s="1"/>
  <c r="L23" i="5"/>
  <c r="L28" i="5"/>
  <c r="E28" i="5"/>
  <c r="T60" i="5"/>
  <c r="T61" i="5"/>
  <c r="U61" i="5" s="1"/>
  <c r="F9" i="21" s="1"/>
  <c r="T64" i="5"/>
  <c r="T59" i="5"/>
  <c r="T65" i="5"/>
  <c r="S28" i="5"/>
  <c r="T29" i="5"/>
  <c r="T28" i="5"/>
  <c r="T23" i="5"/>
  <c r="T24" i="5"/>
  <c r="T25" i="5"/>
  <c r="U25" i="5" s="1"/>
  <c r="F7" i="21" s="1"/>
  <c r="S23" i="5"/>
  <c r="N25" i="5"/>
  <c r="F7" i="20" s="1"/>
  <c r="M24" i="5"/>
  <c r="M23" i="5"/>
  <c r="M28" i="5"/>
  <c r="M29" i="5"/>
  <c r="E10" i="5"/>
  <c r="F10" i="5"/>
  <c r="F11" i="5"/>
  <c r="F7" i="5"/>
  <c r="G7" i="5" s="1"/>
  <c r="N41" i="5" l="1"/>
  <c r="D8" i="20" s="1"/>
  <c r="G5" i="5"/>
  <c r="G59" i="5"/>
  <c r="D9" i="9" s="1"/>
  <c r="BB24" i="6"/>
  <c r="BB56" i="6"/>
  <c r="BB40" i="6"/>
  <c r="BB8" i="6"/>
  <c r="U5" i="5"/>
  <c r="D5" i="21" s="1"/>
  <c r="U10" i="5"/>
  <c r="H5" i="21" s="1"/>
  <c r="H8" i="9"/>
  <c r="AZ40" i="6"/>
  <c r="BA24" i="6"/>
  <c r="BA8" i="6"/>
  <c r="BA40" i="6"/>
  <c r="N10" i="5"/>
  <c r="H5" i="20" s="1"/>
  <c r="AZ23" i="6"/>
  <c r="F8" i="9"/>
  <c r="AZ41" i="6"/>
  <c r="G41" i="5"/>
  <c r="AZ57" i="6"/>
  <c r="AZ8" i="6"/>
  <c r="F5" i="9"/>
  <c r="AZ25" i="6"/>
  <c r="AZ56" i="6"/>
  <c r="N5" i="5"/>
  <c r="D5" i="20" s="1"/>
  <c r="N64" i="5"/>
  <c r="H9" i="20" s="1"/>
  <c r="N59" i="5"/>
  <c r="D9" i="20" s="1"/>
  <c r="N46" i="5"/>
  <c r="H8" i="20" s="1"/>
  <c r="U41" i="5"/>
  <c r="D8" i="21" s="1"/>
  <c r="U46" i="5"/>
  <c r="H8" i="21" s="1"/>
  <c r="U28" i="5"/>
  <c r="H7" i="21" s="1"/>
  <c r="U64" i="5"/>
  <c r="H9" i="21" s="1"/>
  <c r="N23" i="5"/>
  <c r="D7" i="20" s="1"/>
  <c r="U59" i="5"/>
  <c r="D9" i="21" s="1"/>
  <c r="N28" i="5"/>
  <c r="H7" i="20" s="1"/>
  <c r="U23" i="5"/>
  <c r="D7" i="21" s="1"/>
  <c r="G10" i="5"/>
  <c r="BB39" i="6" l="1"/>
  <c r="AZ55" i="6"/>
  <c r="BB23" i="6"/>
  <c r="BB57" i="6"/>
  <c r="BB25" i="6"/>
  <c r="BB9" i="6"/>
  <c r="BB55" i="6"/>
  <c r="BB41" i="6"/>
  <c r="BB7" i="6"/>
  <c r="D5" i="9"/>
  <c r="D8" i="9"/>
  <c r="BA23" i="6"/>
  <c r="BA55" i="6"/>
  <c r="BA9" i="6"/>
  <c r="BA41" i="6"/>
  <c r="BA39" i="6"/>
  <c r="BA25" i="6"/>
  <c r="BA57" i="6"/>
  <c r="BA7" i="6"/>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charset val="1"/>
          </rPr>
          <t>(NUMERICAL INDICATORS ONLY)</t>
        </r>
      </text>
    </comment>
    <comment ref="K2" authorId="0" shapeId="0">
      <text>
        <r>
          <rPr>
            <b/>
            <sz val="9"/>
            <color indexed="81"/>
            <rFont val="Tahoma"/>
            <charset val="1"/>
          </rPr>
          <t>(NUMERICAL INDICATORS ONLY)</t>
        </r>
      </text>
    </comment>
    <comment ref="L2" authorId="0" shapeId="0">
      <text>
        <r>
          <rPr>
            <b/>
            <sz val="9"/>
            <color indexed="81"/>
            <rFont val="Tahoma"/>
            <charset val="1"/>
          </rPr>
          <t>(NUMERICAL INDICATORS ONLY)</t>
        </r>
      </text>
    </comment>
    <comment ref="P2" authorId="0" shapeId="0">
      <text>
        <r>
          <rPr>
            <b/>
            <sz val="9"/>
            <color indexed="81"/>
            <rFont val="Tahoma"/>
            <charset val="1"/>
          </rPr>
          <t>(NUMERICAL INDICATORS ONLY)</t>
        </r>
      </text>
    </comment>
    <comment ref="Q2" authorId="0" shapeId="0">
      <text>
        <r>
          <rPr>
            <b/>
            <sz val="9"/>
            <color indexed="81"/>
            <rFont val="Tahoma"/>
            <charset val="1"/>
          </rPr>
          <t>(NUMERICAL INDICATORS ONLY)</t>
        </r>
      </text>
    </comment>
    <comment ref="U2" authorId="0" shapeId="0">
      <text>
        <r>
          <rPr>
            <b/>
            <sz val="9"/>
            <color indexed="81"/>
            <rFont val="Tahoma"/>
            <charset val="1"/>
          </rPr>
          <t>(NUMERICAL INDICATORS ONLY)</t>
        </r>
      </text>
    </comment>
  </commentList>
</comments>
</file>

<file path=xl/comments2.xml><?xml version="1.0" encoding="utf-8"?>
<comments xmlns="http://schemas.openxmlformats.org/spreadsheetml/2006/main">
  <authors>
    <author>Jennifer Norman</author>
  </authors>
  <commentList>
    <comment ref="G1" authorId="0" shapeId="0">
      <text>
        <r>
          <rPr>
            <b/>
            <sz val="9"/>
            <color indexed="81"/>
            <rFont val="Tahoma"/>
            <charset val="1"/>
          </rPr>
          <t>Please note that all charts shown below can be amended to be displayed in alternative styles. Please right click on the relevant chart, select "change chart type" and choose your preferred chart option.</t>
        </r>
      </text>
    </comment>
  </commentList>
</comments>
</file>

<file path=xl/comments3.xml><?xml version="1.0" encoding="utf-8"?>
<comments xmlns="http://schemas.openxmlformats.org/spreadsheetml/2006/main">
  <authors>
    <author>Jennifer Norman</author>
  </authors>
  <commentList>
    <comment ref="F1" authorId="0" shapeId="0">
      <text>
        <r>
          <rPr>
            <b/>
            <sz val="9"/>
            <color indexed="81"/>
            <rFont val="Tahoma"/>
            <charset val="1"/>
          </rPr>
          <t>Please note that all charts shown below can be amended to be displayed in alternative styles. Please right click on the relevant chart, select "change chart type" and choose your preferred chart option.</t>
        </r>
        <r>
          <rPr>
            <sz val="9"/>
            <color indexed="81"/>
            <rFont val="Tahoma"/>
            <charset val="1"/>
          </rPr>
          <t xml:space="preserve">
</t>
        </r>
      </text>
    </comment>
  </commentList>
</comments>
</file>

<file path=xl/sharedStrings.xml><?xml version="1.0" encoding="utf-8"?>
<sst xmlns="http://schemas.openxmlformats.org/spreadsheetml/2006/main" count="3090" uniqueCount="734">
  <si>
    <t>Measures</t>
  </si>
  <si>
    <t>Target 2019/20</t>
  </si>
  <si>
    <t>Increasing Staffing Availability Through Reduced Sickness</t>
  </si>
  <si>
    <t>Minimise The Number Of Missed Bin Collections</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</si>
  <si>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</si>
  <si>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</si>
  <si>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</si>
  <si>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</si>
  <si>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</si>
  <si>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Portfolio</t>
  </si>
  <si>
    <t>Service</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</si>
  <si>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</si>
  <si>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</si>
  <si>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</si>
  <si>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</si>
  <si>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</si>
  <si>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</si>
  <si>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</si>
  <si>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</si>
  <si>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</si>
  <si>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</si>
  <si>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</si>
  <si>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</si>
  <si>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</si>
  <si>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</si>
  <si>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</si>
  <si>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</si>
  <si>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</si>
  <si>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</si>
  <si>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</si>
  <si>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</si>
  <si>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</si>
  <si>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</si>
  <si>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</si>
  <si>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</si>
  <si>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</si>
  <si>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</si>
  <si>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</si>
  <si>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</si>
  <si>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(Q3)
(IF APPLICABLE)</t>
  </si>
  <si>
    <t>Comments / Further action (Q4)
(IF APPLICABLE)</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</si>
  <si>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</si>
  <si>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</si>
  <si>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</si>
  <si>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</si>
  <si>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</si>
  <si>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</si>
  <si>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</si>
  <si>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</si>
  <si>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</si>
  <si>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</si>
  <si>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</si>
  <si>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</si>
  <si>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Charts by Corporate Priority</t>
  </si>
  <si>
    <t>OVERALL PERFORMANCE</t>
  </si>
  <si>
    <t>Green</t>
  </si>
  <si>
    <t>Amber</t>
  </si>
  <si>
    <t>Red</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</si>
  <si>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</si>
  <si>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</si>
  <si>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</si>
  <si>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</si>
  <si>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</si>
  <si>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</si>
  <si>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</si>
  <si>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</si>
  <si>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</si>
  <si>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</si>
  <si>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</si>
  <si>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</si>
  <si>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</si>
  <si>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</si>
  <si>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</si>
  <si>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</si>
  <si>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</si>
  <si>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</si>
  <si>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</si>
  <si>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</si>
  <si>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</si>
  <si>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</si>
  <si>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Average time from appointment to initial decision for homeless applicants of 3 days</t>
  </si>
  <si>
    <t>Report on the performance of the Leisure Operator on a quarterly basis</t>
  </si>
  <si>
    <t>Quarter 3
(October - December 2021)</t>
  </si>
  <si>
    <t>QUARTER 3: October - December 2021</t>
  </si>
  <si>
    <t>Quarter 4
(January - March 2022)</t>
  </si>
  <si>
    <t>QUARTER 4: January - March 2022</t>
  </si>
  <si>
    <t>Developing Tourism within the Borough</t>
  </si>
  <si>
    <t>Improve the Washlands as a regional attraction</t>
  </si>
  <si>
    <t>Support economic growth in East Staffordshire</t>
  </si>
  <si>
    <t xml:space="preserve">Maintain Performance On Recycling </t>
  </si>
  <si>
    <t>Maintain ‘Key to Key’ Void Turnaround to an average of 6 working days</t>
  </si>
  <si>
    <t>Developing Healthy Lifestyles</t>
  </si>
  <si>
    <t>Top Quartile as measured against relevant DLUHC figures</t>
  </si>
  <si>
    <t>Keeping Members informed on Planning Matters</t>
  </si>
  <si>
    <t>SMARTER Planning Services</t>
  </si>
  <si>
    <t>Climate Change Initiatives</t>
  </si>
  <si>
    <t>Brewhouse and Town Hall Service</t>
  </si>
  <si>
    <t>Maintain Performance For Street Cleansing</t>
  </si>
  <si>
    <t>Produce an update report and next steps for revised Housing Register and Allocations Service Contract</t>
  </si>
  <si>
    <t>Performance report identifying the reduction in empty homes</t>
  </si>
  <si>
    <t>Monitor Performance of the Local Plan</t>
  </si>
  <si>
    <t>Improve On The Average Time To Pay Creditors</t>
  </si>
  <si>
    <t>Refresh Member Training</t>
  </si>
  <si>
    <t xml:space="preserve">Time Taken to Process Benefit New Claims and Change Events (Previously NI 181)
Average time: 4.5 days  </t>
  </si>
  <si>
    <t>Quarterly</t>
  </si>
  <si>
    <t>Michael Hovers</t>
  </si>
  <si>
    <t>James Abbott</t>
  </si>
  <si>
    <t>Naomi Perry</t>
  </si>
  <si>
    <t>Margaret Woolley</t>
  </si>
  <si>
    <t>Rachel Liddle</t>
  </si>
  <si>
    <t>Paul Farrer</t>
  </si>
  <si>
    <t>Brett Atkinson</t>
  </si>
  <si>
    <t>Linda McDonald</t>
  </si>
  <si>
    <t>Lisa Turner</t>
  </si>
  <si>
    <t>Reference Number</t>
  </si>
  <si>
    <t>Tourism and Cultural Development</t>
  </si>
  <si>
    <t>Environment and Climate Change</t>
  </si>
  <si>
    <t>End of year forecast as at end of Q1</t>
  </si>
  <si>
    <t>End of year forecast as at end of Q2</t>
  </si>
  <si>
    <t>Year to date
(April - Dec 2021)</t>
  </si>
  <si>
    <t>End of year forecast as at end of Q3</t>
  </si>
  <si>
    <t xml:space="preserve">Cumulative Annual Outturn </t>
  </si>
  <si>
    <t>CP Order</t>
  </si>
  <si>
    <t>2023-24 Corporate Plan Reporting Spreadsheet</t>
  </si>
  <si>
    <t>QUARTER 1: April - June 2023</t>
  </si>
  <si>
    <t>Target 2023-24</t>
  </si>
  <si>
    <t xml:space="preserve">Submit planning application for a Washlands Visitor Centre </t>
  </si>
  <si>
    <t xml:space="preserve">Finalise designs for the Garden of Remembrance enhancements </t>
  </si>
  <si>
    <t xml:space="preserve">Commence the construction of the Washlands Visitor Centre (subject to planning) </t>
  </si>
  <si>
    <t>Deliver the Burton upon Trent High Street Regeneration Project</t>
  </si>
  <si>
    <t xml:space="preserve">Continue to work in partnership with the Heritage Working Group and other stakeholders to develop the museum and heritage centre proposals for the High Street </t>
  </si>
  <si>
    <t xml:space="preserve">Work with partners to support the delivery of the three partner Towns Fund projects </t>
  </si>
  <si>
    <t>Take forward regeneration in Uttoxeter</t>
  </si>
  <si>
    <t>Continue to work in preparation of accessing external funding opportunities, when available, including the third round of the Levelling Up Fund</t>
  </si>
  <si>
    <t>Open Spaces initiatives</t>
  </si>
  <si>
    <t>Provide a third year update on the Parks Development Plan, with a view to reviewing wildflower planting</t>
  </si>
  <si>
    <t>Increase the number of volunteering opportunities from 3 to 6 per week at both the Horticulture Centre and/or Go Garden</t>
  </si>
  <si>
    <t>Work in partnership with external organisations to develop 4 Carbon Capture and Biodiversity areas across the Borough</t>
  </si>
  <si>
    <t>Relaunch the Councillors Community Fund</t>
  </si>
  <si>
    <t>Commence a Community Lottery providing funding opportunities for the local community and voluntary sector</t>
  </si>
  <si>
    <t>Housing Strategy Initiatives: 
Update on Improvements to the Housing Register</t>
  </si>
  <si>
    <t>Annual</t>
  </si>
  <si>
    <t xml:space="preserve">Supporting Sport and Leisure Delivery </t>
  </si>
  <si>
    <t>Supporting Sport and Leisure Delivery</t>
  </si>
  <si>
    <t>Updated Playing Pitch Strategy and review of indoor facilities completed</t>
  </si>
  <si>
    <t>Support the Better Health programme into the delivery phase and represent East Staffordshire through quarterly meetings</t>
  </si>
  <si>
    <t>Launch a grant scheme to support local Tourism businesses to develop projects and activity</t>
  </si>
  <si>
    <t xml:space="preserve">Develop a Tourism framework and Strategic Plan </t>
  </si>
  <si>
    <t>Deliver and baseline footfall for a range of tourism events throughout the year</t>
  </si>
  <si>
    <t>Complete review of way marking around Burton town centre</t>
  </si>
  <si>
    <t>Market Hall Development</t>
  </si>
  <si>
    <t>Number Of Missed Bin Collections: Achieve 99.97% successful bin collections across the Borough</t>
  </si>
  <si>
    <t>Improve Performance On Waste Reduction</t>
  </si>
  <si>
    <t>Residual Household Waste Per Household: Upper Quartile</t>
  </si>
  <si>
    <t>Household Waste Recycled and Composted: Upper Quartile</t>
  </si>
  <si>
    <t xml:space="preserve">Consider implementation of Food Waste strategy </t>
  </si>
  <si>
    <t>Deliver Borough wide entries for the ‘It’s Your Neighbourhood Park’ awards and maintain the results at 12 Gold Awards and 10 Silver Gilts</t>
  </si>
  <si>
    <t>Support an additional entry to the ‘It’s Your Neighbourhood Park awards scheme during 2023/24</t>
  </si>
  <si>
    <t>Deliver the In Bloom awards and sustain the number of Gold awards at a minimum of 3, across all categories</t>
  </si>
  <si>
    <t>Deliver a third year review of the Council’s Climate Change and Biodiversity Action Plan including delivery against the plan</t>
  </si>
  <si>
    <t>Investigate and identify the best locations for delivering EV off street charging points. Minimum of 4 to be identified</t>
  </si>
  <si>
    <t>Procure energy audits on key council buildings to maximise performance and identify energy efficiency and generation option to form a heat decarbonisation plan</t>
  </si>
  <si>
    <t>Ongoing by March 2024</t>
  </si>
  <si>
    <t>Improving Air Quality</t>
  </si>
  <si>
    <t>Review and update the air quality strategy and action plan</t>
  </si>
  <si>
    <t>Undertake a review of the Public Events Safety Advisory Group procedures and update as required</t>
  </si>
  <si>
    <t>Approve Refreshed Homelessness Strategy</t>
  </si>
  <si>
    <t>Licensing and Enforcement Activities-CCTV</t>
  </si>
  <si>
    <t>Complete roll out/ installation of fixed CCTV cameras</t>
  </si>
  <si>
    <t>Disabled Facilities Grants</t>
  </si>
  <si>
    <t>Work with our Leisure Operator to deliver an enhanced play day experience during summer 2023, providing free access for our local communities.</t>
  </si>
  <si>
    <t>Deliver 6 outdoor events, including activity such as street theatre and performances in our parks</t>
  </si>
  <si>
    <t>Further Enhancing Corporate Communications</t>
  </si>
  <si>
    <t>Introduce a regular Business online newsletter, delivering a minimum of 6 newsletters</t>
  </si>
  <si>
    <t>Improve awareness of Council Services, venues and initiatives</t>
  </si>
  <si>
    <t>Getting ready for the future</t>
  </si>
  <si>
    <t>Go live with the data-modelling of the waste management round configuration</t>
  </si>
  <si>
    <t xml:space="preserve">Report to Cabinet on the new round configuration and procurement requirements of the new waste management vehicles </t>
  </si>
  <si>
    <t>Prepare a Depot Strategy to identify options to future proof the service</t>
  </si>
  <si>
    <t>Carry out Green Vehicle Trial on collection rounds</t>
  </si>
  <si>
    <t>Options review on the approach for the Council’s fleet of small mechanical street cleaning vehicles</t>
  </si>
  <si>
    <t>Provide a 6 monthly update report on the performance of the grounds maintenance contractor</t>
  </si>
  <si>
    <t>Undertake an assessment of the Borough’s tree stock to determine the future impact of environmental factors such as Climate Change and ‘Ash die’ back</t>
  </si>
  <si>
    <t>Delivering Better Services to Support the Cost of Living Crisis</t>
  </si>
  <si>
    <t>Conduct a review of Local Council Tax Reduction Scheme</t>
  </si>
  <si>
    <t xml:space="preserve">Continue to Maximise Income Through Effective Collection Processes </t>
  </si>
  <si>
    <t>Working Towards the Reduction of Claimant Error Housing Benefit Overpayments (HBOPs)</t>
  </si>
  <si>
    <t xml:space="preserve">Maintain Robust Mechanisms for Contract Managing the Leisure Service Arrangements </t>
  </si>
  <si>
    <t>Undertake a review of the grant funding process that currently takes place through the East Staffordshire Sports Council</t>
  </si>
  <si>
    <t>Review of Car Parking Services</t>
  </si>
  <si>
    <t>Undertake a wide ranging review of the current car parking arrangements, including but not limited to; the Parking App, the charging regime and enforcement</t>
  </si>
  <si>
    <t>Complete the refurbishment of the Brewhouse roof</t>
  </si>
  <si>
    <t>Improve purchase order transactions so that the next time Internal Audit review practice in Q4 2023/24, 80% of POs are in place from the Internal Audit sample</t>
  </si>
  <si>
    <t>Review Planning feedback survey data</t>
  </si>
  <si>
    <t>Consider reintroduction of planning pre application advice</t>
  </si>
  <si>
    <t>Enhancing Procurement and Contract Management Processes</t>
  </si>
  <si>
    <t>Further Digital Enhancements</t>
  </si>
  <si>
    <t>Elected Member Intranet Implemented</t>
  </si>
  <si>
    <t xml:space="preserve">Successfully deliver local elections  </t>
  </si>
  <si>
    <t>Borough and Parish Council elections successfully delivered</t>
  </si>
  <si>
    <t xml:space="preserve">Review Member Induction Programme </t>
  </si>
  <si>
    <t xml:space="preserve"> October 2023</t>
  </si>
  <si>
    <t>Improving Financial Stewardship</t>
  </si>
  <si>
    <t>Approve the revised Treasury Management Strategy</t>
  </si>
  <si>
    <t>Approve the revised Medium Term Financial Strategy</t>
  </si>
  <si>
    <t xml:space="preserve">Deliver 4 Elected Member Finance briefings </t>
  </si>
  <si>
    <t>Improve service delivery timescales from ‘enquiry to completion’ by 10% on 22/23 performance</t>
  </si>
  <si>
    <t>Kelly Kerr-Delworth</t>
  </si>
  <si>
    <t>Regeneration and Development</t>
  </si>
  <si>
    <t>Communities and Regulatory Services</t>
  </si>
  <si>
    <t>Encourage businesses to adopt a low waste approach for food and packaging through the delivery of an education programme</t>
  </si>
  <si>
    <t>Finance and Treasury Management</t>
  </si>
  <si>
    <t>Objective</t>
  </si>
  <si>
    <t>ID01</t>
  </si>
  <si>
    <t>Improve local democracy and consultation</t>
  </si>
  <si>
    <t>Hold regular engagement events with businesses throughout the year</t>
  </si>
  <si>
    <t>ID02</t>
  </si>
  <si>
    <t>Hold Question &amp; Answer sessions with Cabinet Members using online and in-person community forums on ad hoc basis</t>
  </si>
  <si>
    <t>ID03</t>
  </si>
  <si>
    <t>Livestream Council meetings</t>
  </si>
  <si>
    <t>ID04</t>
  </si>
  <si>
    <t>Revoke Council Constitution changes from December 2022 and introduce public participation at scrutiny committees</t>
  </si>
  <si>
    <t>ID05</t>
  </si>
  <si>
    <r>
      <rPr>
        <b/>
        <sz val="11"/>
        <rFont val="Arial"/>
        <family val="2"/>
      </rPr>
      <t>Carry out a review of the Communications, Engagement and Consultation Strategy to improve e</t>
    </r>
    <r>
      <rPr>
        <b/>
        <sz val="11"/>
        <color rgb="FF000000"/>
        <rFont val="Arial"/>
        <family val="2"/>
      </rPr>
      <t>xisting council communications work</t>
    </r>
  </si>
  <si>
    <t>ID06</t>
  </si>
  <si>
    <t>PB01</t>
  </si>
  <si>
    <t>Tackling the cost of living crisis</t>
  </si>
  <si>
    <t>With partners, support and advise local residents by commissioning a new local debt advice service</t>
  </si>
  <si>
    <t>From October</t>
  </si>
  <si>
    <t>PB02</t>
  </si>
  <si>
    <t>Retain and enhance warm spaces and warm banks to provide continued support for residents who need help with energy bills</t>
  </si>
  <si>
    <t>PB03</t>
  </si>
  <si>
    <t>Support the work of local groups around the borough by supplying relevant supplies to food banks when stock runs low</t>
  </si>
  <si>
    <t>All year to March 2024</t>
  </si>
  <si>
    <t>PB04</t>
  </si>
  <si>
    <t>Housing and Planning – improve homelessness prevention</t>
  </si>
  <si>
    <t>Review and consider improvements for night shelter facilities</t>
  </si>
  <si>
    <t>PB05</t>
  </si>
  <si>
    <t>Building a Fairer and Greener Local Economy by creating municipal enterprise</t>
  </si>
  <si>
    <t>Produce options for a community wealth-building model to create a municipally (council and public) owned energy firm, suitable for a district authority</t>
  </si>
  <si>
    <r>
      <t xml:space="preserve">Building a Fairer </t>
    </r>
    <r>
      <rPr>
        <b/>
        <sz val="11"/>
        <color rgb="FF000000"/>
        <rFont val="Arial"/>
        <family val="2"/>
      </rPr>
      <t>Local Economy</t>
    </r>
  </si>
  <si>
    <t>PB07</t>
  </si>
  <si>
    <t>Housing and Planning</t>
  </si>
  <si>
    <t>Review and consider improvements for making Section 106 funding process more open and transparent, via the ESBC website and Member Intranet; and consider policy changes to ESBC's s106 approach</t>
  </si>
  <si>
    <t>PB08</t>
  </si>
  <si>
    <t>Standing up for communities</t>
  </si>
  <si>
    <t>Reshape the UK shared prosperity funding to focus more strongly on community needs</t>
  </si>
  <si>
    <t>PB09</t>
  </si>
  <si>
    <t>Approve the detail of UKSPF funding programmes</t>
  </si>
  <si>
    <t>PB10</t>
  </si>
  <si>
    <r>
      <t>Building a Fairer</t>
    </r>
    <r>
      <rPr>
        <b/>
        <sz val="11"/>
        <color rgb="FF000000"/>
        <rFont val="Arial"/>
        <family val="2"/>
      </rPr>
      <t xml:space="preserve"> Local Economy</t>
    </r>
  </si>
  <si>
    <t>Work with partners to create a fair employment charter</t>
  </si>
  <si>
    <t>GD01</t>
  </si>
  <si>
    <t>Identify 150 properties with an EPC of D or below where the occupant is on Council tax reduction to offer a range of energy efficiency measures, including insulation, to reduce fuel poverty</t>
  </si>
  <si>
    <t>GD02</t>
  </si>
  <si>
    <t>Tackling Envirocrime</t>
  </si>
  <si>
    <t>Increase levels of action taken against anti-social behaviour by reviewing the performance of mobile CCTV provision and seeking to achieve a 20% increase in the number of deployments (from 22)</t>
  </si>
  <si>
    <t>Review of progress  December 2023</t>
  </si>
  <si>
    <t>GD03</t>
  </si>
  <si>
    <t>Increase levels of action taken against anti-social behaviour through undertaking 4 initiatives to address fly tipping under the 'Tackle the Tippers' campaign</t>
  </si>
  <si>
    <t>GD04</t>
  </si>
  <si>
    <t>A Green New Deal for East Staffordshire</t>
  </si>
  <si>
    <t>Promote new green technologies in the borough</t>
  </si>
  <si>
    <t>GD05</t>
  </si>
  <si>
    <t xml:space="preserve">Promote increased use of public transport  </t>
  </si>
  <si>
    <t>GD06</t>
  </si>
  <si>
    <t>Work with local cycle firms to provide affordable bike rental for visitors and residents</t>
  </si>
  <si>
    <t>GD07</t>
  </si>
  <si>
    <t>Work with partners to introduce the Passivhaus housing development standard (which will keep heat loss in new homes to a minimum)</t>
  </si>
  <si>
    <t>GD08</t>
  </si>
  <si>
    <t>GD09</t>
  </si>
  <si>
    <t>Find opportunities and create a network of community orchards and wildlife corridors</t>
  </si>
  <si>
    <t>GD10</t>
  </si>
  <si>
    <t>Introduce mobile fly-tipping removal vehicle</t>
  </si>
  <si>
    <t>GD11</t>
  </si>
  <si>
    <t>Ensure fly-tipping is removed as quickly as possible (within 5 days of receipt of notice from CCE team) and disposed of in an environmentally friendly way</t>
  </si>
  <si>
    <t>PH01</t>
  </si>
  <si>
    <t>Protecting our Heritage</t>
  </si>
  <si>
    <t>Consider creating a model of co-operative ownership of Burton Market Hall, with six monthly reporting</t>
  </si>
  <si>
    <t>PH02</t>
  </si>
  <si>
    <t>With the National Brewery Trust, create a timeline and plan to ensure historical archives from the closed NBC are re-housed in the future development</t>
  </si>
  <si>
    <t>PH03</t>
  </si>
  <si>
    <t>With the National Brewery Trust, contact owners of all former NBC artefacts to discuss their return to the future development</t>
  </si>
  <si>
    <t>PH04</t>
  </si>
  <si>
    <t>With the Towns Fund Board, review and adapt High Street linkages project as appropriate</t>
  </si>
  <si>
    <t>PH05</t>
  </si>
  <si>
    <t>Upgrade the Market Hall working group to a scrutiny committee</t>
  </si>
  <si>
    <t>May Full Council meeting 2023</t>
  </si>
  <si>
    <t>SC01</t>
  </si>
  <si>
    <t>Ensuring the right to food</t>
  </si>
  <si>
    <t>September Council meeting</t>
  </si>
  <si>
    <t>SC02</t>
  </si>
  <si>
    <t>Introduce community kitchens in existing council facilities</t>
  </si>
  <si>
    <t>SC03</t>
  </si>
  <si>
    <t>Adopt and publicise the Right to Food motion at Full Council meeting</t>
  </si>
  <si>
    <t>SC04</t>
  </si>
  <si>
    <t>Backing our Taxi Drivers</t>
  </si>
  <si>
    <t>Review Licensing policy with the trade and ensure drivers are supported in the transition to Euro 6 emission standards</t>
  </si>
  <si>
    <t>SC05</t>
  </si>
  <si>
    <t>Standing up for our NHS</t>
  </si>
  <si>
    <t>Create a sole focus for health scrutiny in a single scrutiny committee</t>
  </si>
  <si>
    <t>CRS01</t>
  </si>
  <si>
    <t>CRS02</t>
  </si>
  <si>
    <t>CRS03</t>
  </si>
  <si>
    <t>Supporting local communities</t>
  </si>
  <si>
    <t>CRS04</t>
  </si>
  <si>
    <t>Deliver a community grant scheme to help enhance local areas</t>
  </si>
  <si>
    <t>CRS05</t>
  </si>
  <si>
    <t>CRS06</t>
  </si>
  <si>
    <t>CRS07</t>
  </si>
  <si>
    <t>CRS08</t>
  </si>
  <si>
    <t>CRS09</t>
  </si>
  <si>
    <t>CRS10</t>
  </si>
  <si>
    <t>CRS11</t>
  </si>
  <si>
    <t>CRS12</t>
  </si>
  <si>
    <t>ECC01</t>
  </si>
  <si>
    <t>ECC02</t>
  </si>
  <si>
    <t>ECC03</t>
  </si>
  <si>
    <t>ECC04</t>
  </si>
  <si>
    <t>ECC05</t>
  </si>
  <si>
    <t>ECC06</t>
  </si>
  <si>
    <t>ECC07</t>
  </si>
  <si>
    <t>ECC08</t>
  </si>
  <si>
    <t>ECC09</t>
  </si>
  <si>
    <t>ECC10</t>
  </si>
  <si>
    <t>ECC11</t>
  </si>
  <si>
    <t>ECC12</t>
  </si>
  <si>
    <t>July 2023 / March 2024</t>
  </si>
  <si>
    <t>ECC14</t>
  </si>
  <si>
    <t>ECC15</t>
  </si>
  <si>
    <t>ECC16</t>
  </si>
  <si>
    <t>ECC17</t>
  </si>
  <si>
    <t>ECC18</t>
  </si>
  <si>
    <t>ECC19</t>
  </si>
  <si>
    <t>ECC20</t>
  </si>
  <si>
    <t>ECC21</t>
  </si>
  <si>
    <t>ECC22</t>
  </si>
  <si>
    <t>ECC23</t>
  </si>
  <si>
    <t>TCD01</t>
  </si>
  <si>
    <t>TCD02</t>
  </si>
  <si>
    <t>TCD03</t>
  </si>
  <si>
    <t>TCD04</t>
  </si>
  <si>
    <t>TCD05</t>
  </si>
  <si>
    <t>TCD06</t>
  </si>
  <si>
    <t>TCD07</t>
  </si>
  <si>
    <t>TCD08</t>
  </si>
  <si>
    <t>TCD10</t>
  </si>
  <si>
    <t>Review outdoor sports provision in Uttoxeter, including the proposed Sports Hub and other potential outdoor sports sites</t>
  </si>
  <si>
    <t>TCD11</t>
  </si>
  <si>
    <t>TCD12</t>
  </si>
  <si>
    <t>TCD13</t>
  </si>
  <si>
    <t>TCD14</t>
  </si>
  <si>
    <t>TCD15</t>
  </si>
  <si>
    <t>RAD01</t>
  </si>
  <si>
    <t>RAD02</t>
  </si>
  <si>
    <t>RAD03</t>
  </si>
  <si>
    <t>RAD04</t>
  </si>
  <si>
    <t>Appoint contractors to deliver Washlands Enhancement Project</t>
  </si>
  <si>
    <t>RAD05</t>
  </si>
  <si>
    <t>RAD06</t>
  </si>
  <si>
    <t>RAD07</t>
  </si>
  <si>
    <t>RAD08</t>
  </si>
  <si>
    <t>Consider findings of Maltings regeneration project consultation</t>
  </si>
  <si>
    <t>RAD09</t>
  </si>
  <si>
    <t>Agree purchase of Uttoxeter former Co-op building</t>
  </si>
  <si>
    <t>RAD10</t>
  </si>
  <si>
    <t>Consider the best approach to acquiring the remainder of the Maltings precinct and review proposals to regenerate the Maltings area</t>
  </si>
  <si>
    <t>RAD11</t>
  </si>
  <si>
    <t>Launch and administer a business grant programme</t>
  </si>
  <si>
    <t>RAD12</t>
  </si>
  <si>
    <t>RAD13</t>
  </si>
  <si>
    <t>RAD14</t>
  </si>
  <si>
    <t>RAD15</t>
  </si>
  <si>
    <t>RAD16</t>
  </si>
  <si>
    <t>RAD17</t>
  </si>
  <si>
    <t>RAD19</t>
  </si>
  <si>
    <t>Complete the annual review of the Local Plan</t>
  </si>
  <si>
    <t>FTM01</t>
  </si>
  <si>
    <t>FTM02</t>
  </si>
  <si>
    <t>FTM06</t>
  </si>
  <si>
    <t>FTM07</t>
  </si>
  <si>
    <t>FTM08</t>
  </si>
  <si>
    <t>LDR01</t>
  </si>
  <si>
    <t>LDR02</t>
  </si>
  <si>
    <t>Create a Procurement Improvement Action Plan, based on Whole Council Spend Analysis</t>
  </si>
  <si>
    <t>LDR03</t>
  </si>
  <si>
    <t>LDR04</t>
  </si>
  <si>
    <t>LDR05</t>
  </si>
  <si>
    <t>LDR06</t>
  </si>
  <si>
    <t>LDR07</t>
  </si>
  <si>
    <t>Regeneration and Development (Tom)</t>
  </si>
  <si>
    <t>Enterprise</t>
  </si>
  <si>
    <t>Legal &amp; Regulatory Services (John)
&amp; Corporate &amp; Environment Services (Mark)</t>
  </si>
  <si>
    <t>Corporate &amp; Commercial</t>
  </si>
  <si>
    <t>Legal &amp; Regulatory Services (John)</t>
  </si>
  <si>
    <t>Corporate &amp; Environment Services (Mark)</t>
  </si>
  <si>
    <t>Housing Options</t>
  </si>
  <si>
    <t>Housing</t>
  </si>
  <si>
    <t>Chief Financial S151 Officer (Lisa)
&amp; Legal and Regulatory Services (John)</t>
  </si>
  <si>
    <t>Environmental Health</t>
  </si>
  <si>
    <t>Chief Financial S151 Officer (Lisa)</t>
  </si>
  <si>
    <t>Finance,
Corporate &amp; Commercial, 
&amp; HR</t>
  </si>
  <si>
    <t>Planning</t>
  </si>
  <si>
    <t>CEO Andy O'Brien</t>
  </si>
  <si>
    <t>HR</t>
  </si>
  <si>
    <t>Enforcement</t>
  </si>
  <si>
    <t>Planning Policy</t>
  </si>
  <si>
    <t>Environment</t>
  </si>
  <si>
    <t>All</t>
  </si>
  <si>
    <t>Enterprise, Assets, Finance &amp; Communities &amp; Open Spaces</t>
  </si>
  <si>
    <t>Licensing</t>
  </si>
  <si>
    <t>Licensing &amp; Enforcement</t>
  </si>
  <si>
    <t>Communities &amp; Open Spaces</t>
  </si>
  <si>
    <t>Brewhouse, Arts &amp; Town Hall</t>
  </si>
  <si>
    <t>Corporate &amp; Commercial &amp; Marketing</t>
  </si>
  <si>
    <t>Revenues &amp; Benefits</t>
  </si>
  <si>
    <t>Finance</t>
  </si>
  <si>
    <t>Improving local democracy</t>
  </si>
  <si>
    <t>Creating a prosperous East Staffordshire</t>
  </si>
  <si>
    <t>Developing a Green New Deal for East Staffordshire</t>
  </si>
  <si>
    <t>Protecting our heritage</t>
  </si>
  <si>
    <t>Standing up for our communities</t>
  </si>
  <si>
    <t>Find opportunities to use vertical and rooftop spaces to plant new gardens</t>
  </si>
  <si>
    <t>Anya Murray</t>
  </si>
  <si>
    <t>Sara Gummerson</t>
  </si>
  <si>
    <t>Quarter One (2023/24)</t>
  </si>
  <si>
    <t>Improving Local Democracy</t>
  </si>
  <si>
    <t>Other</t>
  </si>
  <si>
    <t xml:space="preserve">Communities and Regulatory Services </t>
  </si>
  <si>
    <t>Leader</t>
  </si>
  <si>
    <t>Cabinet Member Portfolio</t>
  </si>
  <si>
    <t>Scrutiny Committee</t>
  </si>
  <si>
    <t>QUARTER TWO (July - Sept 2023)</t>
  </si>
  <si>
    <t>QUARTER THREE (Oct - Dec 2023)</t>
  </si>
  <si>
    <t>QUARTER FOUR (Jan - Mar 2024)</t>
  </si>
  <si>
    <t>Quarter Two (2023/24)</t>
  </si>
  <si>
    <t>Quarter Three (2023/24)</t>
  </si>
  <si>
    <t>Quarter Four (2023/24)</t>
  </si>
  <si>
    <t xml:space="preserve">Developing a Green New Deal </t>
  </si>
  <si>
    <t>QUARTER ONE (April - June 2023) - performance by priority</t>
  </si>
  <si>
    <t>QUARTER ONE (April - June 2023) - performance by Cabinet Member portfolio</t>
  </si>
  <si>
    <t>FTM05a</t>
  </si>
  <si>
    <t>FTM05b</t>
  </si>
  <si>
    <t xml:space="preserve">Collection Rates of - 
    Council Tax : 98% </t>
  </si>
  <si>
    <t xml:space="preserve">Continue to Maximise Income Through Effective Collection Processes 
(Previously BV 9) </t>
  </si>
  <si>
    <t xml:space="preserve">Continue to Maximise Income Through Effective Collection Processes 
(Previously BV 10) </t>
  </si>
  <si>
    <t>Collection Rates of - 
    NNDR : 99%</t>
  </si>
  <si>
    <t>FTM04a</t>
  </si>
  <si>
    <t>FTM04b</t>
  </si>
  <si>
    <t>FTM04c</t>
  </si>
  <si>
    <t xml:space="preserve">% HBOPs recovered During the Year: 90% </t>
  </si>
  <si>
    <t xml:space="preserve"> 
% of HBOPS Processed and on Payment Arrangement: 90% </t>
  </si>
  <si>
    <t xml:space="preserve">
In Year HBOPs Recovered During the Year: 50%</t>
  </si>
  <si>
    <t>FTM03a</t>
  </si>
  <si>
    <t>FTM03b</t>
  </si>
  <si>
    <t>FTM03c</t>
  </si>
  <si>
    <t>Former Years Arrears for: 
Council Tax: 2,500,000</t>
  </si>
  <si>
    <t>Former Years Arrears for: 
NNDR: 1,500,000</t>
  </si>
  <si>
    <t>Former Years Arrears for: 
Sundry Debts: £80,000</t>
  </si>
  <si>
    <t>RAD18a</t>
  </si>
  <si>
    <t>9 x Planning Committee Member training sessions</t>
  </si>
  <si>
    <t>2 x All Member briefing sessions</t>
  </si>
  <si>
    <t>RAD18b</t>
  </si>
  <si>
    <t>ECC13a</t>
  </si>
  <si>
    <t>ECC13b</t>
  </si>
  <si>
    <t>ECC13c</t>
  </si>
  <si>
    <t>ECC13d</t>
  </si>
  <si>
    <t>Litter, 0% (using NI195 survey methodology)</t>
  </si>
  <si>
    <t>Detritus, 0% (using NI195 survey 
methodology)</t>
  </si>
  <si>
    <t>Graffiti, 0% (using NI195 survey 
methodology)</t>
  </si>
  <si>
    <t>Fly-posting, 0% (using NI195 survey 
methodology)</t>
  </si>
  <si>
    <t>PB06a</t>
  </si>
  <si>
    <t>PB06b</t>
  </si>
  <si>
    <t>Incentivise existing providers to recruit new staff/apprentices</t>
  </si>
  <si>
    <t>Produce a route map to insourcing council services that are currently outsourced</t>
  </si>
  <si>
    <t>Introduce a Citizens Assembly</t>
  </si>
  <si>
    <t>TCD09a</t>
  </si>
  <si>
    <t>TCD09b</t>
  </si>
  <si>
    <t>Continue to redevelop Council’s corporate website</t>
  </si>
  <si>
    <t>Develop a new, revised website for the Brewhouse, Arts and Civic Function Suite</t>
  </si>
  <si>
    <t>Launch the temporary National Archive 
Centre and Regeneration Update Hub 
following completion of works and relocation of the collection</t>
  </si>
  <si>
    <t>Short Term Sickness Days Average 3.5 days per FTE</t>
  </si>
  <si>
    <t>Value for Money</t>
  </si>
  <si>
    <t>Climate change and environment</t>
  </si>
  <si>
    <t>or health and wellbeing?</t>
  </si>
  <si>
    <t>?</t>
  </si>
  <si>
    <t>Initial discussions with Cabinet Member in relation to timescales</t>
  </si>
  <si>
    <t>Steve Woods</t>
  </si>
  <si>
    <t>Corporate &amp; Commercial, 
&amp; HR</t>
  </si>
  <si>
    <t>Work has been undertaken with the Staffordshire DMP as well as engaging local tourism attractions as part of the consultation process to develop the strategic plan</t>
  </si>
  <si>
    <t>Not due until Q2 as surveys run April - July</t>
  </si>
  <si>
    <t>To be reviewed in December.  No target to measure against.</t>
  </si>
  <si>
    <t>Work expected to be commenced July 2023</t>
  </si>
  <si>
    <t xml:space="preserve">To be considered as part of the Communication Strategy work. </t>
  </si>
  <si>
    <t>Constitution updated at the full Council meeting in May 2023 for the new Scrutiny (Regeneration, Development and Market Hall) Committee</t>
  </si>
  <si>
    <t>Constitution updated at the full Council meeting in May 2023 for the new Scrutiny (Health and Wellbeing) Committee.</t>
  </si>
  <si>
    <t xml:space="preserve">Initial work on preparing a brief commenced in June 2023. </t>
  </si>
  <si>
    <t xml:space="preserve">Consultants have been engaged and work underway on indoor and outdoor sports facility provision. </t>
  </si>
  <si>
    <t>Quarterly Performance Report presented to Corporate Management Team, Leader and Deputy Leaders, LAG / LOAG, Cabinet during May / June 2023 and scheduled for discussion at the July VFM Scrutiny Committee</t>
  </si>
  <si>
    <t xml:space="preserve">The Better Health Staffordshire East Staffordshire group continue to met on a quarterly basis. The priority theme of Food is being worked on by a specific task and finish group in order to hold a themed event relating to Food. </t>
  </si>
  <si>
    <t xml:space="preserve">Review commenced in quarter one, with a report and recommendations expected to come forward in August / September 2023. </t>
  </si>
  <si>
    <t>Intranet was implemented in April 2023 in line with the target, with the new cohort of Members utilising this following the 2023 Borough elections.</t>
  </si>
  <si>
    <t>Initial analysis underway</t>
  </si>
  <si>
    <t>Quarter 1 
(April - June 2023)</t>
  </si>
  <si>
    <t>Nathan Gallagher</t>
  </si>
  <si>
    <t>Subscriptions are open for the newsletter with 1300 already subscribed. First newsletter is intended to be issued in August 2023</t>
  </si>
  <si>
    <t>The new website is currently in development and on schedule for an Autumn implementation.</t>
  </si>
  <si>
    <t>Modelling of collection rounds underway with a view to presenting a report at September Cabinet</t>
  </si>
  <si>
    <t>Considering vehicle options. Continuing to monitor performance with current level of resource.</t>
  </si>
  <si>
    <t>100%
12 Major apps received all within time</t>
  </si>
  <si>
    <t>94%
136 Other apps received 128 within time</t>
  </si>
  <si>
    <t>94%
54 Minor apps received 51 within time</t>
  </si>
  <si>
    <t>No responses received for Quarter 1</t>
  </si>
  <si>
    <t>Officers hold a review meeting once a fortnight. The MEO prepares a weekly report of deployments and reports on footage captured. Since the 1st April 2023 we have had 9 deployments.</t>
  </si>
  <si>
    <t>First initiative is on 19th July 2023 in Anglesey. Multi Agency approach including duty of care visits to businesses, inspections for flytipping, free bulky waste collections, skips funded by the parish and ASB Harmony  Domestic Violence information</t>
  </si>
  <si>
    <t xml:space="preserve">Currently being finished with a view to seeking independent review prior to submitting to CMT in September. </t>
  </si>
  <si>
    <t>Not achieved still awaiting date from BT for installation of connections by Open Reach.</t>
  </si>
  <si>
    <t>126kg - estimated as not all data received</t>
  </si>
  <si>
    <t>48.76% - estimated as not all data received</t>
  </si>
  <si>
    <t xml:space="preserve">Review underway </t>
  </si>
  <si>
    <t xml:space="preserve">Review of pre-application service underway </t>
  </si>
  <si>
    <t>High volume of new claims received, but remain on track.</t>
  </si>
  <si>
    <t>Meetings scheduled to take place in quarter 2 with CMT, Pre-cabinet and Cabinet</t>
  </si>
  <si>
    <t>Discussions have been held internally to talk about taking these forward.  Events will be planned in the Autumn and the New Year,</t>
  </si>
  <si>
    <t>This has been drafted and is currently with central Government for approval.</t>
  </si>
  <si>
    <t>Talks are ongoing with the NBCT to discuss housing the archives. The Trust have been sorting through the archives to re-house in Station Street and they are on target to complete by the end of July 2023.</t>
  </si>
  <si>
    <t>Talks are ongoing with the NBCT to discuss contacting former NBC artefact owners and establish how ESBC can help.</t>
  </si>
  <si>
    <t xml:space="preserve">The work is almost complete on the refurbishing the regen hub. The NBCT are planning to open the archives in September and this is on track as planned.  </t>
  </si>
  <si>
    <t>The tender process is still ongoing as formalities are signed off in relation to appointing the successful contractor.  This is on track.</t>
  </si>
  <si>
    <t>Ongoing discussions about how to take this work forward. We are meeting with an expert from the High Street Task Force so he can share his thoughts on how the work could be taken forward to help regenerate Uttoxeter.</t>
  </si>
  <si>
    <t>This has been in process.  The guidance has been updated and agreements reached about who should be on the panel. This is due to be launched in August 2023.</t>
  </si>
  <si>
    <t>Ongoing; talks planned with Perfect Circle to identify other potential funding through the National Lottery</t>
  </si>
  <si>
    <t>29.27% against a target of 30%</t>
  </si>
  <si>
    <t>35.17%, which is 2.17% above target</t>
  </si>
  <si>
    <t>£2.5M</t>
  </si>
  <si>
    <t>Slightly above the target for the year</t>
  </si>
  <si>
    <t>£1.5M</t>
  </si>
  <si>
    <t>The arrears level for one quarter of the year takes into account debits raised during the current year relating to last years charges</t>
  </si>
  <si>
    <t>Nil</t>
  </si>
  <si>
    <t>£80K</t>
  </si>
  <si>
    <t>On track</t>
  </si>
  <si>
    <t xml:space="preserve">Staff currently undertaking Energy Efficiency Training. EDR being drafted and quotes are being requested from contractors to undertake the works. </t>
  </si>
  <si>
    <t>Climate Change Communication Policy has been agreed by EDR and will be used to promote Public Transport</t>
  </si>
  <si>
    <t>Report currently being drafted</t>
  </si>
  <si>
    <t xml:space="preserve">The Council currently offers a 'No First Night Out' provision as part of well worked rough sleeping pathway. </t>
  </si>
  <si>
    <t>Formal consideration of current provision and possible alternatives to follow.</t>
  </si>
  <si>
    <t>There were 74 initial homelessness decisions issued in Q1, with an average time to initial decision of 0.27 days.</t>
  </si>
  <si>
    <t>1 day</t>
  </si>
  <si>
    <t>One unit was deemed unfit to relet due to water damage from the flat above, resulting in the offer of an alternative unit elsewhere. This 'key to key' instance has not been included in the target by reason of exception.</t>
  </si>
  <si>
    <t>5 days</t>
  </si>
  <si>
    <t>There were 2 'key to key' turnarounds during Q1, giving an average of 1 working day void.</t>
  </si>
  <si>
    <t>A Quick Call has been sent to 3 providers requesting quotations by 14 Aug 23 for mobilisation on 1 Sep 23.</t>
  </si>
  <si>
    <t>Work with partners to campaign for universal school meals by adopting and publicising a council motion</t>
  </si>
  <si>
    <t>The precursor to the strategy, the Homelessness Review, has recently been released for consultation.</t>
  </si>
  <si>
    <t>The Allocations and Lettings Service is currently undergoing an audit, and preliminary conversations have been undertaken with the current supplier to evaluate the possibility of an  extension.</t>
  </si>
  <si>
    <t>Owen Hurcombe</t>
  </si>
  <si>
    <t>Tourism Grant scheme is live on the new Discover East Staffordshire website</t>
  </si>
  <si>
    <t>https://discovereaststaffordshire.com/tourism-development-grants/</t>
  </si>
  <si>
    <t>Two stakeholder workshops have taken place to develop a narrative and launch the stimulate phase of the project.</t>
  </si>
  <si>
    <t>Big Burton coronation event took place with around 400 visitors attending to watch the coronation live and Market Garden event in May with over 4000 attendees and 50 stall holders</t>
  </si>
  <si>
    <t xml:space="preserve">Outdoor events planned across August as part of Brewhouse On Tour. </t>
  </si>
  <si>
    <t>New corporate website is currently on schedule for July implementation</t>
  </si>
  <si>
    <t xml:space="preserve">Procurement process commenced June 2023, and is expected to be completed in July 2023 ahead of equipment mobilisation and implementation. </t>
  </si>
  <si>
    <t>A Food Forum is planned for 11 Jul 23 and designed to understand current provision and how best to support activity targeted at those experiencing the greatest hardship.</t>
  </si>
  <si>
    <t>The Food Forum on 11th July was well attended.
Further planning and design is required to develop the appropriate mechanism to support this activity.</t>
  </si>
  <si>
    <t>(Motion agreed at Full Council on 3rd July 2023 - fully achieved Q2).</t>
  </si>
  <si>
    <t>Motion to be put to Full Council on 3rd July 2023.</t>
  </si>
  <si>
    <t>Tender specification complete and proposal currently with planning for listed building consent with proposed tender ready for Quarter 2.</t>
  </si>
  <si>
    <t>Elections were successfully delivered in May 2023, including the new requirements of the Elections Bill</t>
  </si>
  <si>
    <t>To be considered at the July Council meeting.</t>
  </si>
  <si>
    <t>Council approved at July 2023 meeting (Quarter 2).</t>
  </si>
  <si>
    <t>Officer team are seeking to identify potential locations across quarters 1 and 2</t>
  </si>
  <si>
    <t>Community Grant Scheme in place and open for bids to be received from early quarter 2</t>
  </si>
  <si>
    <t>Relaunched following outcome of election</t>
  </si>
  <si>
    <t>Officers have identified 4 areas across East Staffordshire for Carbon Capture &amp; Biodiversity enhancements. Designs for these are to be prepared across quarter 2 and 3.</t>
  </si>
  <si>
    <t>Judging has taken place across June and July. Results expected in the early Autumn</t>
  </si>
  <si>
    <t>Unity Park (Shobnall) has been entered for the first time in the IYN awards following the recent refurbishment undertaken using Levelling Up Parks funding.</t>
  </si>
  <si>
    <t>Winter Performance (22/23) report presented to Cabinet in July</t>
  </si>
  <si>
    <t>Report on the Market Hall Business case is to received by Cabinet in Qtr 2.</t>
  </si>
  <si>
    <t xml:space="preserve">Community Lottery launched in June. Target of 50 "good causes" required by July 22nd to launch Lottery. 54 had been registered by 13/7/22. A number of players have since signed up and the purchase of tickets has commenced </t>
  </si>
  <si>
    <t>Assessment of tree stock has been completed and the scope of any works is now being analysed by Officers.</t>
  </si>
  <si>
    <t xml:space="preserve">Recruitment of two new officers has taken place in Quarter 1 which will enable the Horticulture Centre and GO Garden to expand the opportunities for volunteering </t>
  </si>
  <si>
    <t xml:space="preserve">Initial research has begun. </t>
  </si>
  <si>
    <t xml:space="preserve">Chief Officer following up with BT. </t>
  </si>
  <si>
    <t>Report on the Market Hall Business case is to received by Cabinet in Qtr 2. This will consider the options of co-operative as part of the scope of works</t>
  </si>
  <si>
    <t>Two training sessions undertaken in May and June</t>
  </si>
  <si>
    <t xml:space="preserve">Report ready for discussion at CMT in July and due to Cabinet in August. </t>
  </si>
  <si>
    <t>Procurement process has started and advert on Delta (procurement portal) to request quotes</t>
  </si>
  <si>
    <t>The collection figures are on par with previous year</t>
  </si>
  <si>
    <t>We currently have a better collection rate compared to last year</t>
  </si>
  <si>
    <t>Health and Wellbeing</t>
  </si>
  <si>
    <t>Plans are underway and enhance where possible the provision from last winter.</t>
  </si>
  <si>
    <t>Quarterly baseline information has been collated and input also been collected through the DMP STEAM data</t>
  </si>
  <si>
    <t xml:space="preserve">Approval to be requested for constitution changes, also including the approach for public participation at scrutiny committees, at the full Council meeting scheduled for 3rd July 2023. </t>
  </si>
  <si>
    <t xml:space="preserve">Discussions held with Everyone Active, who will be running this free to access event in August 2023, supported by the Council. Building on the enhanced offering introduced in 2022, following feedback from last year's event further food provision will be implemented for 2023. </t>
  </si>
  <si>
    <t>This is currently being worked up within ESBC and will be discussed with relevant partners. Discussions are ongoing internally in order to get ready to procure some services once the detail is agreed with central Government.</t>
  </si>
  <si>
    <t xml:space="preserve">Meetings have continued with the HWG with plans for the Heritage Centre to be potentially located in Old Bass House discussed with the group. </t>
  </si>
  <si>
    <t>Data modelling has commenced for the current collection rounds. Each collection day over a fortnightly cycle being modelled and optimised with a view to procuring additional resources for housing growth.</t>
  </si>
  <si>
    <t xml:space="preserve">Collating data on food waste collections, including vehicles, staff resources and ancillaries. </t>
  </si>
  <si>
    <t xml:space="preserve">On-going discussions with Distribution Network Operator on the supply network. </t>
  </si>
  <si>
    <t xml:space="preserve">Air Source Heat Pumps and Solar PV are two green technologies that can be installed through Staffordshire Warmer Homes and ECO flex. Grant funding for both schemes is available and this is being advertised as part of our communications policy.  </t>
  </si>
  <si>
    <t>Data will start to be added from QTR 2</t>
  </si>
  <si>
    <t xml:space="preserve">There is an approved scheme for the Garden of Remembrance and talks are ongoing with Staffordshire County Council in relation to the lighting and the Diocese in terms of other improvements to the area. </t>
  </si>
  <si>
    <t>0.75 days</t>
  </si>
  <si>
    <t>3.5 days</t>
  </si>
  <si>
    <t>Multiple</t>
  </si>
  <si>
    <t>23 out of 27 (85%) requests removed within 5 days. Average time to remove = within 4 days (of receipt of notice from CCE team)
The 4 delayed occasions were due to resources being diverted to other work (3 coincided with A38 working and 1 for In Bloom preparations).
Disposal responsibility rests with the County Council, although the vast majority of our waste is sent for incineration at an energy from waste facility.</t>
  </si>
  <si>
    <t>As part of a project aimed at shaping a new music-led narrative for Burton we will deliver 6 pop-up live events and 2 workshops</t>
  </si>
  <si>
    <t>Climate Change and Environment</t>
  </si>
  <si>
    <t>Y</t>
  </si>
  <si>
    <t>Arrears levels across the board will be reviewed in the next quarter</t>
  </si>
  <si>
    <t>A pre-application advice application has been made and this is currently being discussed with the LPA. Once comments have been received, a planning application will be submitted and a revised programme agreed in line with this.</t>
  </si>
  <si>
    <t>The commencement of these works is dependent upon the success of the planning application. A pre-application advice application is currently being reviewed with the LPA.</t>
  </si>
  <si>
    <t>Quarter 2 
(July - September 2023)</t>
  </si>
  <si>
    <t>Year to date
(April - Sept 2023)</t>
  </si>
  <si>
    <t>QUARTER 2: July - September 2023</t>
  </si>
  <si>
    <t>0% surveys carried out April - July</t>
  </si>
  <si>
    <t>Budget Guidelines and timetable agreed with Cabinet Member</t>
  </si>
  <si>
    <t>48.07% - estimated</t>
  </si>
  <si>
    <t>248.18kg - estimated</t>
  </si>
  <si>
    <t>42% estimated</t>
  </si>
  <si>
    <t>500kg estimated</t>
  </si>
  <si>
    <t>Report drafted for discussion at Corporate Management Team.</t>
  </si>
  <si>
    <t xml:space="preserve">Scheme has been reviewed, recommending no change for 2024-25. Report being finalised. </t>
  </si>
  <si>
    <t>2 weeks of new claims and 40+ homeless cases to do.
On track to meet yearly target.</t>
  </si>
  <si>
    <t>This has been approved</t>
  </si>
  <si>
    <t>This was approved by Council in September. Discussions ongoing with Procurement spec agreed for the delivery of some Business services; discussions with County over contract with them to deliver business services; proposal received from Community Foundation for service aimed at unemployed people; the Ward Enhancement Programme has been launched and Uttoxeter Regeneration project is progressing.</t>
  </si>
  <si>
    <t>Most artefacts held with Molson Coors; regular discussions take place with NBHT over the artefacts. A letter has been issued via the Trust to owners.</t>
  </si>
  <si>
    <t>The updated concept for Bass House, impacting the wider project, was approved by Council in September.</t>
  </si>
  <si>
    <t>One project is nearing completion (College Project), the cycle network project is well underway and the Towpath project will shortly be commencing.</t>
  </si>
  <si>
    <t>Designs for the Garden of Remembrance have been created. Meetings will now take place with the Diocese of Lichfield and St Modwens Church to further refine as needed.</t>
  </si>
  <si>
    <t>The findings of the consultation were considered by Cabinet Members, which informed the next steps for the project.</t>
  </si>
  <si>
    <t>This was approved by Council in July and the building is now in the Council's ownership.</t>
  </si>
  <si>
    <t>Amion concept proposal agreed by Council along with a recommendation to put this forward to a potential Levelling Up Fund Round 3. As of the end of September, Government has confirmed that LUF3 is still going ahead with details to follow.</t>
  </si>
  <si>
    <t>Policy reviewed and informal consultation has taken place. Presented to Pre Cabinet 21st September and due before Pre Cabinet again on 19th October 2023.</t>
  </si>
  <si>
    <t>1.45 days</t>
  </si>
  <si>
    <t xml:space="preserve">The Council meeting held on 25th September 2023 was the first meeting to be livestreamed. </t>
  </si>
  <si>
    <t xml:space="preserve">A review of the Council's Communications, Engagement and Consultation Strategy has been completed and is due to be presented to the cabinet meeting in October 2023.  </t>
  </si>
  <si>
    <t>Completed in Quarter 1</t>
  </si>
  <si>
    <t>Quarterly Performance Report presented to Corporate Management Team, Leader and Deputy Leaders, LAG / LOAG, Cabinet during August / September 2023 and at the 3 Scrutiny Committee meetings held in September</t>
  </si>
  <si>
    <t xml:space="preserve">Playday event was held in August, which included an increase in attendance of 900 people, an increase to 38 in Community groups being part of the event and showcasing themselves. Enhanced food options were available and the new Cycle Hub was given an official opening by the Mayor on the day. </t>
  </si>
  <si>
    <t xml:space="preserve">Supported an air quality bid with Staffordshire County Council for the procurement of electric buses to support and promote public transport.  </t>
  </si>
  <si>
    <t xml:space="preserve">The Public Events Safety Advisory Group Policy has been updated and approved via EDR. Website has been amended to incorporate additional advice and guidance for event organisers and social media will be used to promote. </t>
  </si>
  <si>
    <t xml:space="preserve">EDR completed to approve the procurement of a consultancy to deliver the works. </t>
  </si>
  <si>
    <t>Article drafted to be used for the E-business newsletter</t>
  </si>
  <si>
    <t xml:space="preserve">Report completed and due to be taken to CMT in Oct for approval in Nov. </t>
  </si>
  <si>
    <t>A pre launch site is currently undergoing testing before a live launch later in the Autumn.</t>
  </si>
  <si>
    <t>Grants are now being accessed by local operators.</t>
  </si>
  <si>
    <t>The Strategic Delivery Framework for Tourism in East Staffordshire will be considered for approval at Cabinet in October 2023.</t>
  </si>
  <si>
    <t xml:space="preserve">We continue to monitor and record attendances to create a baseline. </t>
  </si>
  <si>
    <t>Works have been started towards completing this objective with a review of current signposting and way marking signage around Burton upon Trent</t>
  </si>
  <si>
    <t>The project will launch a programme of live music events which will be hosted across Burton upon Trent by local musicians, bands and performers in November. These musicians have benefitted from a wide range of ongoing support including workshops and marketing.</t>
  </si>
  <si>
    <t>The service was awarded to Citizens Advice Mid Mercia, and the contract commenced on 3 October 2023.</t>
  </si>
  <si>
    <t>The Warm Spaces Grant programme was opened for applications w/c 16 October 2023.</t>
  </si>
  <si>
    <t>The Food Aid Fund was opened for applications w/c 16 October 2023.</t>
  </si>
  <si>
    <t>The matter was fully considered by the portfolio holder who was content with the current 'No First Night Out' provision which utilises hotels.</t>
  </si>
  <si>
    <t>The Community Kitchens Fund was opened for applications w/c 16 October 2023.</t>
  </si>
  <si>
    <t>Motion agreed at Full Council on 3 July 2023.</t>
  </si>
  <si>
    <t>Consultation on the revised strategy closes on 20 October 2023, with a Cabinet Report to follow.</t>
  </si>
  <si>
    <t>Officers have identified five sites for potential orchards and the introduction of wildlife corridors. These are Oxhay rugby fields, Vancouver Drive, Edge Hill park and Pennycroft Park. The fifth site is Heritage Park which is scheduled to be transferred to ESBC by the developer.</t>
  </si>
  <si>
    <t>New officer team are expanding volunteering opportunities and have forged strong links with Better Health Staffordshire. Officers are exploring the possibility  of co-working with Better Health Staffordshire on a "Gardening for Better Health" scheme that will encourage residents to grow, prepare and cook their own vegetables and herbs.</t>
  </si>
  <si>
    <t>Report has been deferred until December Cabinet.</t>
  </si>
  <si>
    <t>Business case outcomes have led to the commissioning of an independent consultancy to engage with the communities of East Staffordshire to help understand the preferred future use of the Market Hall.</t>
  </si>
  <si>
    <t>£6.696.596.89</t>
  </si>
  <si>
    <t>1.859m identified for potential w/off</t>
  </si>
  <si>
    <t>0.64% below target for 30/9</t>
  </si>
  <si>
    <t>£1,858.910.8</t>
  </si>
  <si>
    <t>There were 62 initial decisions over the period, with 43 total days from interview to decision resulting in an average of 0.69 days to initial decision.</t>
  </si>
  <si>
    <t>0.5 days</t>
  </si>
  <si>
    <t>There were 5 'key to key' void turnarounds during Q2, giving an average of 3.75 days void.</t>
  </si>
  <si>
    <t>2.4 days</t>
  </si>
  <si>
    <t>4 days</t>
  </si>
  <si>
    <t xml:space="preserve">The extraordinary Council meeting held on 2nd October 2023 was also livestreamed. 
Equipment has been procured to allow the Council to stream meetings moving forward. </t>
  </si>
  <si>
    <t xml:space="preserve">The Council approved constitution changes, also including the approach for public participation at scrutiny committees, at the full Council meeting on 3rd July 2023. 
Opportunity for public questions now forms part of all Scrutiny meeting agendas. </t>
  </si>
  <si>
    <t>It has been identified that many of our existing suppliers support development of staff through apprenticeships or trainee schemes as a significant element of their workforce strategy. 
In order to encourage future suppliers to recruit new apprentices Members  could consider revising the Procurement Policy at the next refresh to place  emphasis on this area.</t>
  </si>
  <si>
    <t>Review work is ongoing. 
Regarding the Quarry Site, Staffordshire FA have agreed to take up a 30 year lease to manage the site, with plans to include: 
 - ‘Good’ Standard football pitches
 - Full Size 3G pitch
 - Clubhouse/Community Facilities
 - Community Hub
 - Changing Rooms (Grassroots and NLS compliant)
 - Access Road
 - Car Park
The MTFS 2023/24 includes support for the Uttoxeter Sports Hub of £1.7m, including a contribution from Section 106 funding to help Staffordshire FA unlock additional funding from the Football Foundation. Further, the 2023/24 Corporate Plan has a target, TCD10 to ‘’Review outdoor sports provision in Uttoxeter, including the proposed Sports Hub and other potential sites’’ (March 2024 target date).
Regarding wider Uttoxeter sports provision, a brief was issued in September to potentially look into the feasibility of possible improvements at Pennycroft.</t>
  </si>
  <si>
    <t>Spend analysis underway to inform a Procurement Improvement Action Plan.</t>
  </si>
  <si>
    <t>The first copy of the business newsletter was issued in September 2023, with the next copy to be issued towards the end of October 2023. These are on track to be issued on a monthly basis.</t>
  </si>
  <si>
    <t>Timeline and plan produced and agreed with the Trust.</t>
  </si>
  <si>
    <t>Contractors appointed.</t>
  </si>
  <si>
    <t>Future direction agreed and will be further reported to Council, as required; brief for architects produced with Cabinet member and now out to open procurement. Internal officer meeting to discuss how the High Street Task Force work could link in with the Maltings development.</t>
  </si>
  <si>
    <t>Average 0.71  days</t>
  </si>
  <si>
    <t>Research undertaken.</t>
  </si>
  <si>
    <t>This year there have been 21 deployments up to 30th September 2023.</t>
  </si>
  <si>
    <t>Topics agreed with Cabinet Member - Calendar invitations to be sent.</t>
  </si>
  <si>
    <t>The installation works have been completed in Uttoxeter and Burton excluding the below,
C9354, Uxbridge/Queen street – out of hours location, being upgraded out of hours week commencing 09.10.23. 
There is a power issue in Uttoxeter on x2 lighting columns within Uttoxeter cameras C9335, C9336, C9337 and C9338 will not be operational as these receive the network connectivity from radios from previous columns. Camera C9345 Asda Loading bay has no power currently. Work is being undertaken to rectify this.</t>
  </si>
  <si>
    <t>CRF relaunched alongside CCF in Q2.</t>
  </si>
  <si>
    <t>Achieved in Q1.</t>
  </si>
  <si>
    <t>At the regional awards ESBC scooped 15 gold and silver gilt awards.</t>
  </si>
  <si>
    <t>GD09 identifies the location for potential carbon capture and bio-diversity areas. Designs have been prepared and shared with the Climate Change Officer to assess the carbon capture capability.</t>
  </si>
  <si>
    <t>ESBC won gold for Winshill, Burton and Uttoxeter, with Uttoxeter coming away with the category winner award. ESBC also received a judges special recognition award for our innovative sustainable planting schemes with judges describing East Staffordshire as "leading the way".</t>
  </si>
  <si>
    <t>Assessment is complete and a report is being prepared for Cabinet in Qtr 3.</t>
  </si>
  <si>
    <t>Winter Performance (22/23) report presented to Cabinet in July.</t>
  </si>
  <si>
    <t>Consider the outcome of an independent HM Treasury Green Book compliant business case assessment on future options for the Market Hall</t>
  </si>
  <si>
    <t>To be considered by Development Plan Committee on 30/10/2023.</t>
  </si>
  <si>
    <t>3 training sessions carried out.</t>
  </si>
  <si>
    <t>Continuing to monitor performance with current resources and identifying potential gaps.</t>
  </si>
  <si>
    <t>Report considered and approved by Cabinet in September 2023.</t>
  </si>
  <si>
    <t>Fleet and Operations Manager continues to trial vehicles.</t>
  </si>
  <si>
    <t>Action plan currently being drafted.</t>
  </si>
  <si>
    <t>Timescales being reviewed for 22/23.</t>
  </si>
  <si>
    <t>Report completed and approved by Cabinet in August.</t>
  </si>
  <si>
    <t>No responses received for Quarter 2.</t>
  </si>
  <si>
    <t>Awaiting figures from FMU</t>
  </si>
  <si>
    <t>The 6 pop-up live events will be delivered across November, with the Burton Music Collective events being launched at the Brewhouse on 3 November with a performance by Riding the Low.</t>
  </si>
  <si>
    <t>Brewhouse on Tour events were delivered across the summer in Uttoxeter and Burton. The outdoor family events included performances, activities and events.</t>
  </si>
  <si>
    <t>Report completed and will be considered by Cabinet at their October 2023 meeting.</t>
  </si>
  <si>
    <t xml:space="preserve">Energy Efficiency Training completed by key EH staff. EDR completed and signed off. Suppliers identified for materials and awaiting quick call to secure a contractor to install the works. </t>
  </si>
  <si>
    <t xml:space="preserve">HUGS2 scheme has been launched through Staffordshire Warmer Homes in partnership with Staffordshire County Council and Community Home Solutions. This will target key households that are off gas with alternative heating sources including air source heat pumps and solar PV. </t>
  </si>
  <si>
    <t>Balance owed on one invoice £71,186.00 by Staffs PCC on which Mike Hovers has confirmed payment is pending from supplier</t>
  </si>
  <si>
    <t>1.19% above target for 30/9</t>
  </si>
  <si>
    <t xml:space="preserve">Staffordshire FA are in the process of collating information for this application to the Football Foundation, for example population, demographics, community information of Uttoxeter etc. to help demonstrate the need for the project and support the application. </t>
  </si>
  <si>
    <t>A review has been completed, with recommendations approved by Cabinet in September 2023.</t>
  </si>
  <si>
    <t>A pre-application advice application was submitted earlier in the year. A full application has been held back on account of changes to the approach to the High Street Project being considered and subsequently approved by Council in September.</t>
  </si>
  <si>
    <t>Fund has been launched, the first panel meeting has been held with the first successful applicant being awarded.</t>
  </si>
  <si>
    <t>Our First initiative was 19th July in Anglesey. Second initiative was 1st October 2023 in Shobnall. Businesses and licensing premises.</t>
  </si>
  <si>
    <t>In collaboration with Waste Management a trial of a micro vertical garden is to take place on the public toilets at Newton Road Winshill. Aside from public toilets there are few Council buildings that naturally lend themselves to vertical gardens. An alternative is to encourage climbing plants on structures. Opportunities may exist for the installation of vertical gardens on the Leisure centres. This will require the consent of Everyone Active and the commissioning of a specialist consultant.</t>
  </si>
  <si>
    <t>311k identified for potential w/off</t>
  </si>
  <si>
    <t>Dates are set for 5 engagement events with the first one taking place on Tuesday 17 October in Burton at Café Zen.  Fliers produced to promote the event which have been circulated to all town centre businesses; one to one meetings held with business and Business Development Officer, Eventbrite link set up.</t>
  </si>
  <si>
    <t>The implementation of a Citizens Jury has been included in the draft Communications, Engagement and Consultation Strategy due to be presented to the October Cabinet meeting, ahead of the specific details of the approach being modelled moving forward.</t>
  </si>
  <si>
    <t>A refreshed Corporate Website went live in August 2023.</t>
  </si>
  <si>
    <t>The works undertaken by the Council were completed earlier in the summer, however the unit has not launched as of the end of September due to the relocation of items by the National Brewery Trust still being underway.</t>
  </si>
  <si>
    <t>44 out of 62 removed within 5 days (71%). Progress to be reviewed in December, baseline to be set in March.</t>
  </si>
  <si>
    <t>Rather than creating our own Fair Employment Charter we are exlporing the possibility of actively engaging in the larger Midlands region Good Work Charter. This has the potential to create greater opportunities for the Borough’s employers.</t>
  </si>
  <si>
    <t>We received a decision notice from the Planning Officer 12.10.23. There are no pre-commencement conditions, therefore work to procure contractors can now begin.</t>
  </si>
  <si>
    <t>Target proposed for deletion to reflect Cabinet decision  taken in September to conduct a consultation exercise.</t>
  </si>
  <si>
    <t>Survey of Members undertaken.</t>
  </si>
  <si>
    <t>122.24 kg - estimated as not all data received
Latest published quartile data (2021/22) for English district authorities shows top quartile as 421kg</t>
  </si>
  <si>
    <t>47.48% - estimated as not all data received
Latest published quartile data (2021/22) for English district authorities shows top quartile as 51.3%</t>
  </si>
  <si>
    <t>An online form to allow public questions to be submitted to Cabinet Members went live in September 2023. This webpage also allows for face to face sessions to be coordinated with the Cabinet Members.</t>
  </si>
  <si>
    <t>Following the Council decision in September 2023 regarding the future development at the High Street project, this development proposal is currently being considered as part of the wider scheme and so is not being taken forward to implementation at this time.</t>
  </si>
  <si>
    <t>100%
9 Major apps received all within time
Latest published quartile data (2022/23) for English district authorities shows top quartile as 95%</t>
  </si>
  <si>
    <t>96%
51 Minor apps received 49 within time
Latest published quartile data (2022/23) for English district authorities shows top quartile as 91%</t>
  </si>
  <si>
    <t>96%
127 Other apps received 122 within time
Latest published quartile data (2022/23) for English district authorities shows top quartile as 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</si>
</sst>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b/>
      <sz val="11"/>
      <color rgb="FFFFFFFF"/>
      <name val="Arial"/>
      <family val="2"/>
    </font>
    <font>
      <b/>
      <sz val="11"/>
      <color rgb="FF000000"/>
      <name val="Arial"/>
      <family val="2"/>
    </font>
    <font>
      <b/>
      <sz val="9"/>
      <color indexed="81"/>
      <name val="Tahoma"/>
      <charset val="1"/>
    </font>
    <font>
      <sz val="9"/>
      <color indexed="81"/>
      <name val="Tahoma"/>
      <charset val="1"/>
    </font>
  </fonts>
  <fills count="3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DDFF"/>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CCCCFF"/>
        <bgColor indexed="64"/>
      </patternFill>
    </fill>
    <fill>
      <patternFill patternType="solid">
        <fgColor theme="0" tint="-0.34998626667073579"/>
        <bgColor indexed="64"/>
      </patternFill>
    </fill>
    <fill>
      <patternFill patternType="solid">
        <fgColor theme="5"/>
        <bgColor rgb="FF000000"/>
      </patternFill>
    </fill>
    <fill>
      <patternFill patternType="solid">
        <fgColor theme="5" tint="0.59999389629810485"/>
        <bgColor indexed="64"/>
      </patternFill>
    </fill>
    <fill>
      <patternFill patternType="solid">
        <fgColor theme="5" tint="0.79998168889431442"/>
        <bgColor rgb="FF000000"/>
      </patternFill>
    </fill>
    <fill>
      <patternFill patternType="solid">
        <fgColor theme="5" tint="-0.249977111117893"/>
        <bgColor indexed="64"/>
      </patternFill>
    </fill>
    <fill>
      <patternFill patternType="solid">
        <fgColor rgb="FFFFFF00"/>
        <bgColor indexed="64"/>
      </patternFill>
    </fill>
  </fills>
  <borders count="7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top/>
      <bottom/>
      <diagonal/>
    </border>
    <border>
      <left/>
      <right style="thin">
        <color theme="0"/>
      </right>
      <top/>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15">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26" xfId="0" applyFont="1" applyFill="1" applyBorder="1" applyAlignment="1">
      <alignment horizontal="center" vertical="center" wrapText="1"/>
    </xf>
    <xf numFmtId="9" fontId="32" fillId="6" borderId="26" xfId="0" applyNumberFormat="1" applyFont="1" applyFill="1" applyBorder="1" applyAlignment="1">
      <alignment horizontal="center" vertical="center" wrapText="1"/>
    </xf>
    <xf numFmtId="0" fontId="32" fillId="6" borderId="27" xfId="0" applyFont="1" applyFill="1" applyBorder="1" applyAlignment="1">
      <alignment horizontal="center" vertical="center" wrapText="1"/>
    </xf>
    <xf numFmtId="10" fontId="32" fillId="6" borderId="28"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29"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0"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31" xfId="0" applyFont="1" applyFill="1" applyBorder="1" applyAlignment="1">
      <alignment horizontal="right" vertical="center" wrapText="1"/>
    </xf>
    <xf numFmtId="0" fontId="34" fillId="6" borderId="26" xfId="0" applyFont="1" applyFill="1" applyBorder="1" applyAlignment="1">
      <alignment horizontal="center" vertical="center" wrapText="1"/>
    </xf>
    <xf numFmtId="10" fontId="32" fillId="6" borderId="26" xfId="0" applyNumberFormat="1" applyFont="1" applyFill="1" applyBorder="1" applyAlignment="1">
      <alignment horizontal="center" vertical="center" wrapText="1"/>
    </xf>
    <xf numFmtId="0" fontId="34" fillId="6" borderId="27" xfId="0" applyFont="1" applyFill="1" applyBorder="1" applyAlignment="1">
      <alignment horizontal="center" vertical="center" wrapText="1"/>
    </xf>
    <xf numFmtId="0" fontId="7" fillId="0" borderId="0" xfId="0" applyFont="1" applyAlignment="1">
      <alignment vertical="center"/>
    </xf>
    <xf numFmtId="0" fontId="11" fillId="5" borderId="29"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0" xfId="0" applyNumberFormat="1" applyFont="1" applyFill="1" applyBorder="1" applyAlignment="1">
      <alignment vertical="center" wrapText="1"/>
    </xf>
    <xf numFmtId="1" fontId="34" fillId="6" borderId="32" xfId="0" applyNumberFormat="1" applyFont="1" applyFill="1" applyBorder="1" applyAlignment="1">
      <alignment horizontal="center" vertical="center" wrapText="1"/>
    </xf>
    <xf numFmtId="9" fontId="0" fillId="0" borderId="0" xfId="0" applyNumberFormat="1" applyAlignment="1">
      <alignment vertical="center"/>
    </xf>
    <xf numFmtId="0" fontId="32" fillId="6" borderId="34" xfId="0" applyFont="1" applyFill="1" applyBorder="1" applyAlignment="1">
      <alignment horizontal="center" vertical="center" wrapText="1"/>
    </xf>
    <xf numFmtId="10" fontId="32" fillId="6" borderId="34" xfId="0" applyNumberFormat="1" applyFont="1" applyFill="1" applyBorder="1" applyAlignment="1">
      <alignment horizontal="center"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33" xfId="0" applyFont="1" applyFill="1" applyBorder="1" applyAlignment="1">
      <alignment horizontal="right" vertical="center" wrapText="1"/>
    </xf>
    <xf numFmtId="0" fontId="34" fillId="0" borderId="26" xfId="0" applyFont="1" applyFill="1" applyBorder="1" applyAlignment="1">
      <alignment horizontal="center" vertical="center" wrapText="1"/>
    </xf>
    <xf numFmtId="10" fontId="32" fillId="0" borderId="26" xfId="0" applyNumberFormat="1" applyFont="1" applyFill="1" applyBorder="1" applyAlignment="1">
      <alignment horizontal="center" vertical="center" wrapText="1"/>
    </xf>
    <xf numFmtId="1" fontId="34" fillId="0" borderId="32" xfId="0" applyNumberFormat="1" applyFont="1" applyFill="1" applyBorder="1" applyAlignment="1">
      <alignment horizontal="center" vertical="center" wrapText="1"/>
    </xf>
    <xf numFmtId="10" fontId="32" fillId="0" borderId="28" xfId="0" applyNumberFormat="1" applyFont="1" applyFill="1" applyBorder="1" applyAlignment="1">
      <alignment horizontal="center"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0" fontId="34" fillId="0" borderId="32"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42"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42"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0"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0" xfId="0" applyNumberFormat="1" applyFont="1" applyFill="1" applyBorder="1" applyAlignment="1" applyProtection="1">
      <alignment horizontal="center" vertical="center" wrapText="1"/>
    </xf>
    <xf numFmtId="0" fontId="48" fillId="0" borderId="43"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0" xfId="0" applyNumberFormat="1" applyFont="1" applyFill="1" applyBorder="1" applyAlignment="1" applyProtection="1">
      <alignment horizontal="center" vertical="center" wrapText="1"/>
    </xf>
    <xf numFmtId="17" fontId="41" fillId="19" borderId="41"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0"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0" xfId="0" applyFont="1" applyFill="1" applyBorder="1" applyAlignment="1" applyProtection="1">
      <alignment horizontal="left" vertical="center" wrapText="1"/>
    </xf>
    <xf numFmtId="0" fontId="42" fillId="6" borderId="40" xfId="0" applyFont="1" applyFill="1" applyBorder="1" applyAlignment="1" applyProtection="1">
      <alignment horizontal="center" vertical="center" wrapText="1"/>
    </xf>
    <xf numFmtId="0" fontId="43" fillId="6" borderId="40"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53" xfId="0" applyBorder="1"/>
    <xf numFmtId="0" fontId="0" fillId="0" borderId="54" xfId="0" applyBorder="1"/>
    <xf numFmtId="0" fontId="0" fillId="0" borderId="55" xfId="0" applyBorder="1"/>
    <xf numFmtId="0" fontId="0" fillId="0" borderId="56" xfId="0" applyBorder="1"/>
    <xf numFmtId="0" fontId="0" fillId="0" borderId="57" xfId="0" applyBorder="1"/>
    <xf numFmtId="0" fontId="0" fillId="0" borderId="58" xfId="0" applyBorder="1"/>
    <xf numFmtId="0" fontId="0" fillId="0" borderId="59" xfId="0" applyBorder="1"/>
    <xf numFmtId="0" fontId="0" fillId="0" borderId="60" xfId="0" applyBorder="1"/>
    <xf numFmtId="0" fontId="0" fillId="0" borderId="61" xfId="0" applyBorder="1"/>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2"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2" xfId="0" applyFont="1" applyFill="1" applyBorder="1" applyAlignment="1" applyProtection="1">
      <alignment horizontal="center" vertical="center" wrapText="1"/>
    </xf>
    <xf numFmtId="10" fontId="2" fillId="0" borderId="12" xfId="0" applyNumberFormat="1" applyFont="1" applyFill="1" applyBorder="1" applyAlignment="1" applyProtection="1">
      <alignment horizontal="center" vertical="center" wrapText="1"/>
    </xf>
    <xf numFmtId="0" fontId="5" fillId="8" borderId="12" xfId="0" applyFont="1" applyFill="1" applyBorder="1" applyAlignment="1" applyProtection="1">
      <alignment horizontal="left" vertical="center"/>
    </xf>
    <xf numFmtId="0" fontId="5" fillId="0" borderId="12" xfId="0" applyFont="1" applyFill="1" applyBorder="1" applyAlignment="1" applyProtection="1">
      <alignment horizontal="center" vertical="center" wrapText="1"/>
    </xf>
    <xf numFmtId="0" fontId="4" fillId="9" borderId="12" xfId="0" applyFont="1" applyFill="1" applyBorder="1" applyAlignment="1" applyProtection="1">
      <alignment vertical="center" wrapText="1"/>
    </xf>
    <xf numFmtId="0" fontId="5" fillId="0" borderId="12" xfId="0" applyFont="1" applyFill="1" applyBorder="1" applyAlignment="1" applyProtection="1">
      <alignment vertical="center" wrapText="1"/>
    </xf>
    <xf numFmtId="10" fontId="2" fillId="0" borderId="12"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2" xfId="0" applyFont="1" applyFill="1" applyBorder="1" applyAlignment="1" applyProtection="1">
      <alignment vertical="center" wrapText="1"/>
    </xf>
    <xf numFmtId="10" fontId="10" fillId="6" borderId="12"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2" xfId="0" applyFont="1" applyFill="1" applyBorder="1" applyAlignment="1" applyProtection="1">
      <alignment vertical="center" wrapText="1"/>
    </xf>
    <xf numFmtId="0" fontId="2" fillId="6" borderId="12"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7"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6" xfId="0" applyFont="1" applyFill="1" applyBorder="1" applyAlignment="1" applyProtection="1">
      <alignment horizontal="center"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8" xfId="0" applyFont="1" applyFill="1" applyBorder="1" applyAlignment="1" applyProtection="1">
      <alignment horizontal="center" vertical="center" wrapText="1"/>
    </xf>
    <xf numFmtId="0" fontId="19" fillId="6" borderId="19"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36" xfId="0" applyFont="1" applyFill="1" applyBorder="1" applyAlignment="1" applyProtection="1">
      <alignment vertical="center" wrapText="1"/>
    </xf>
    <xf numFmtId="0" fontId="10" fillId="12" borderId="36" xfId="0" applyFont="1" applyFill="1" applyBorder="1" applyAlignment="1" applyProtection="1">
      <alignment horizontal="center" vertical="center"/>
    </xf>
    <xf numFmtId="0" fontId="10" fillId="12" borderId="36" xfId="0" applyFont="1" applyFill="1" applyBorder="1" applyAlignment="1" applyProtection="1">
      <alignment vertical="center"/>
    </xf>
    <xf numFmtId="0" fontId="5" fillId="7" borderId="36" xfId="0" applyFont="1" applyFill="1" applyBorder="1" applyAlignment="1" applyProtection="1">
      <alignment vertical="center" wrapText="1"/>
    </xf>
    <xf numFmtId="0" fontId="5" fillId="7" borderId="36"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0" fontId="2" fillId="0" borderId="36" xfId="0" applyNumberFormat="1" applyFont="1" applyFill="1" applyBorder="1" applyAlignment="1" applyProtection="1">
      <alignment horizontal="center" vertical="center" wrapText="1"/>
    </xf>
    <xf numFmtId="10" fontId="2" fillId="0" borderId="36" xfId="0" applyNumberFormat="1" applyFont="1" applyFill="1" applyBorder="1" applyAlignment="1" applyProtection="1">
      <alignment vertical="center" wrapText="1"/>
    </xf>
    <xf numFmtId="0" fontId="4" fillId="9" borderId="36" xfId="0" applyFont="1" applyFill="1" applyBorder="1" applyAlignment="1" applyProtection="1">
      <alignment vertical="center" wrapText="1"/>
    </xf>
    <xf numFmtId="0" fontId="5" fillId="0" borderId="36" xfId="0" applyFont="1" applyFill="1" applyBorder="1" applyAlignment="1" applyProtection="1">
      <alignment vertical="center" wrapText="1"/>
    </xf>
    <xf numFmtId="10" fontId="2" fillId="0" borderId="36"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36" xfId="0" applyFont="1" applyFill="1" applyBorder="1" applyAlignment="1" applyProtection="1">
      <alignment vertical="center" wrapText="1"/>
    </xf>
    <xf numFmtId="10" fontId="10" fillId="6" borderId="36"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36" xfId="0" applyFont="1" applyFill="1" applyBorder="1" applyAlignment="1" applyProtection="1">
      <alignment vertical="center" wrapText="1"/>
    </xf>
    <xf numFmtId="0" fontId="2" fillId="6" borderId="36"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36" xfId="0" applyFont="1" applyFill="1" applyBorder="1" applyAlignment="1" applyProtection="1">
      <alignment vertical="center"/>
    </xf>
    <xf numFmtId="10" fontId="7" fillId="6" borderId="0" xfId="0" applyNumberFormat="1" applyFont="1" applyFill="1" applyAlignment="1">
      <alignment vertical="center"/>
    </xf>
    <xf numFmtId="0" fontId="4" fillId="10" borderId="12" xfId="0" applyFont="1" applyFill="1" applyBorder="1" applyAlignment="1" applyProtection="1">
      <alignment vertical="center" wrapText="1"/>
    </xf>
    <xf numFmtId="0" fontId="4" fillId="15" borderId="36"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2" fillId="2" borderId="3"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164" fontId="0" fillId="0" borderId="1" xfId="0" applyNumberFormat="1" applyBorder="1" applyAlignment="1" applyProtection="1">
      <alignment horizontal="center" vertical="center" wrapText="1"/>
    </xf>
    <xf numFmtId="0" fontId="59" fillId="23" borderId="64" xfId="0" applyFont="1" applyFill="1" applyBorder="1" applyAlignment="1" applyProtection="1">
      <alignment horizontal="center" vertical="center" wrapText="1"/>
    </xf>
    <xf numFmtId="166" fontId="59" fillId="23" borderId="65" xfId="0" applyNumberFormat="1" applyFont="1" applyFill="1" applyBorder="1" applyAlignment="1" applyProtection="1">
      <alignment horizontal="center" vertical="center" wrapText="1"/>
    </xf>
    <xf numFmtId="0" fontId="59" fillId="25" borderId="64" xfId="0" applyFont="1" applyFill="1" applyBorder="1" applyAlignment="1" applyProtection="1">
      <alignment horizontal="center" vertical="center" wrapText="1"/>
    </xf>
    <xf numFmtId="0" fontId="15" fillId="3" borderId="62"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60" fillId="21" borderId="63" xfId="0" applyFont="1" applyFill="1" applyBorder="1" applyAlignment="1" applyProtection="1">
      <alignment vertical="center" wrapText="1"/>
    </xf>
    <xf numFmtId="0" fontId="60" fillId="22" borderId="63" xfId="0" applyFont="1" applyFill="1" applyBorder="1" applyAlignment="1" applyProtection="1">
      <alignment vertical="center" wrapText="1"/>
    </xf>
    <xf numFmtId="166" fontId="60" fillId="22" borderId="63" xfId="0" applyNumberFormat="1" applyFont="1" applyFill="1" applyBorder="1" applyAlignment="1" applyProtection="1">
      <alignment horizontal="center" vertical="center" wrapText="1"/>
    </xf>
    <xf numFmtId="10" fontId="2" fillId="0" borderId="12" xfId="0" applyNumberFormat="1" applyFont="1" applyFill="1" applyBorder="1" applyAlignment="1" applyProtection="1">
      <alignment horizontal="center" vertical="center" wrapText="1"/>
    </xf>
    <xf numFmtId="10" fontId="2" fillId="0" borderId="36" xfId="0" applyNumberFormat="1" applyFont="1" applyFill="1" applyBorder="1" applyAlignment="1" applyProtection="1">
      <alignment horizontal="center" vertical="center" wrapText="1"/>
    </xf>
    <xf numFmtId="0" fontId="15" fillId="26" borderId="62" xfId="0" applyFont="1" applyFill="1" applyBorder="1" applyAlignment="1" applyProtection="1">
      <alignment horizontal="center" vertical="center" wrapText="1"/>
    </xf>
    <xf numFmtId="0" fontId="60" fillId="22" borderId="63" xfId="0" applyFont="1" applyFill="1" applyBorder="1" applyAlignment="1" applyProtection="1">
      <alignment horizontal="left" vertical="center" wrapText="1"/>
    </xf>
    <xf numFmtId="0" fontId="15" fillId="27" borderId="62" xfId="0" applyFont="1" applyFill="1" applyBorder="1" applyAlignment="1" applyProtection="1">
      <alignment horizontal="center" vertical="center" wrapText="1"/>
    </xf>
    <xf numFmtId="166" fontId="27" fillId="22" borderId="63" xfId="0" applyNumberFormat="1" applyFont="1" applyFill="1" applyBorder="1" applyAlignment="1" applyProtection="1">
      <alignment horizontal="center" vertical="center" wrapText="1"/>
    </xf>
    <xf numFmtId="0" fontId="15" fillId="28" borderId="62" xfId="0" applyFont="1" applyFill="1" applyBorder="1" applyAlignment="1" applyProtection="1">
      <alignment horizontal="center" vertical="center" wrapText="1"/>
    </xf>
    <xf numFmtId="0" fontId="27" fillId="22" borderId="63" xfId="0" applyFont="1" applyFill="1" applyBorder="1" applyAlignment="1" applyProtection="1">
      <alignment vertical="center" wrapText="1"/>
    </xf>
    <xf numFmtId="0" fontId="15" fillId="29" borderId="62" xfId="0" applyFont="1" applyFill="1" applyBorder="1" applyAlignment="1" applyProtection="1">
      <alignment horizontal="center" vertical="center" wrapText="1"/>
    </xf>
    <xf numFmtId="0" fontId="15" fillId="30" borderId="62" xfId="0" applyFont="1" applyFill="1" applyBorder="1" applyAlignment="1" applyProtection="1">
      <alignment horizontal="center" vertical="center" wrapText="1"/>
    </xf>
    <xf numFmtId="166" fontId="60" fillId="19" borderId="63" xfId="0" applyNumberFormat="1" applyFont="1" applyFill="1" applyBorder="1" applyAlignment="1" applyProtection="1">
      <alignment horizontal="center" vertical="center" wrapText="1"/>
    </xf>
    <xf numFmtId="0" fontId="27" fillId="21" borderId="63" xfId="0" applyFont="1" applyFill="1" applyBorder="1" applyAlignment="1" applyProtection="1">
      <alignment vertical="center" wrapText="1"/>
    </xf>
    <xf numFmtId="0" fontId="27" fillId="30" borderId="62" xfId="0" applyFont="1" applyFill="1" applyBorder="1" applyAlignment="1" applyProtection="1">
      <alignment horizontal="center" vertical="center" wrapText="1"/>
    </xf>
    <xf numFmtId="0" fontId="15" fillId="31" borderId="62" xfId="0" applyFont="1" applyFill="1" applyBorder="1" applyAlignment="1" applyProtection="1">
      <alignment horizontal="center" vertical="center" wrapText="1"/>
    </xf>
    <xf numFmtId="0" fontId="60" fillId="22" borderId="63" xfId="0" applyFont="1" applyFill="1" applyBorder="1" applyAlignment="1" applyProtection="1">
      <alignment horizontal="center" vertical="center" wrapText="1"/>
    </xf>
    <xf numFmtId="0" fontId="15" fillId="32" borderId="62" xfId="0" applyFont="1" applyFill="1" applyBorder="1" applyAlignment="1" applyProtection="1">
      <alignment horizontal="center" vertical="center" wrapText="1"/>
    </xf>
    <xf numFmtId="0" fontId="15" fillId="32" borderId="0" xfId="0" applyFont="1" applyFill="1" applyBorder="1" applyAlignment="1" applyProtection="1">
      <alignment horizontal="center" vertical="center" wrapText="1"/>
    </xf>
    <xf numFmtId="0" fontId="15" fillId="3" borderId="66" xfId="0" applyFont="1" applyFill="1" applyBorder="1" applyAlignment="1" applyProtection="1">
      <alignment horizontal="center" vertical="center" wrapText="1"/>
    </xf>
    <xf numFmtId="0" fontId="33" fillId="6" borderId="29" xfId="0" applyFont="1" applyFill="1" applyBorder="1" applyAlignment="1">
      <alignment horizontal="right" vertical="center" wrapText="1"/>
    </xf>
    <xf numFmtId="1" fontId="0" fillId="6" borderId="0" xfId="0" applyNumberFormat="1" applyFill="1" applyAlignment="1">
      <alignment vertical="center"/>
    </xf>
    <xf numFmtId="0" fontId="15" fillId="28" borderId="67" xfId="0" applyFont="1" applyFill="1" applyBorder="1" applyAlignment="1" applyProtection="1">
      <alignment horizontal="center" vertical="center" wrapText="1"/>
    </xf>
    <xf numFmtId="0" fontId="0" fillId="0" borderId="1" xfId="0" applyNumberFormat="1" applyBorder="1" applyAlignment="1" applyProtection="1">
      <alignment horizontal="center" vertical="center"/>
    </xf>
    <xf numFmtId="0" fontId="0" fillId="0" borderId="0" xfId="0" applyNumberFormat="1" applyAlignment="1" applyProtection="1"/>
    <xf numFmtId="0" fontId="4" fillId="12" borderId="5" xfId="0" applyNumberFormat="1" applyFont="1" applyFill="1" applyBorder="1" applyAlignment="1" applyProtection="1">
      <alignment horizontal="center" vertical="center" wrapText="1"/>
    </xf>
    <xf numFmtId="0" fontId="4" fillId="24" borderId="5" xfId="0" applyNumberFormat="1" applyFont="1" applyFill="1" applyBorder="1" applyAlignment="1" applyProtection="1">
      <alignment horizontal="center" vertical="center" wrapText="1"/>
    </xf>
    <xf numFmtId="166" fontId="59" fillId="33" borderId="65"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45" xfId="0" applyNumberFormat="1" applyFont="1" applyFill="1" applyBorder="1" applyAlignment="1" applyProtection="1">
      <alignment horizontal="left" vertical="center" wrapText="1"/>
    </xf>
    <xf numFmtId="0" fontId="10" fillId="6" borderId="4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left" vertical="center" wrapText="1"/>
    </xf>
    <xf numFmtId="49" fontId="10" fillId="6" borderId="44"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center" vertical="center" wrapText="1"/>
    </xf>
    <xf numFmtId="0" fontId="15" fillId="34" borderId="62" xfId="0" applyFont="1" applyFill="1" applyBorder="1" applyAlignment="1" applyProtection="1">
      <alignment horizontal="center" vertical="center" wrapText="1"/>
    </xf>
    <xf numFmtId="0" fontId="15" fillId="29" borderId="0" xfId="0" applyFont="1" applyFill="1" applyBorder="1" applyAlignment="1" applyProtection="1">
      <alignment horizontal="center" vertical="center" wrapText="1"/>
    </xf>
    <xf numFmtId="0" fontId="0" fillId="0" borderId="0" xfId="0" applyNumberFormat="1" applyAlignment="1" applyProtection="1">
      <alignment wrapText="1"/>
    </xf>
    <xf numFmtId="10" fontId="10" fillId="6" borderId="44" xfId="0" applyNumberFormat="1" applyFont="1" applyFill="1" applyBorder="1" applyAlignment="1" applyProtection="1">
      <alignment horizontal="left" vertical="center" wrapText="1"/>
    </xf>
    <xf numFmtId="0" fontId="9" fillId="6" borderId="44"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9" fillId="6" borderId="45" xfId="0" applyNumberFormat="1" applyFont="1" applyFill="1" applyBorder="1" applyAlignment="1" applyProtection="1">
      <alignment horizontal="left" vertical="center" wrapText="1"/>
    </xf>
    <xf numFmtId="0" fontId="8" fillId="6" borderId="44" xfId="0" applyNumberFormat="1" applyFont="1" applyFill="1" applyBorder="1" applyAlignment="1" applyProtection="1">
      <alignment horizontal="left" vertical="center" wrapText="1"/>
    </xf>
    <xf numFmtId="165" fontId="8" fillId="6" borderId="44" xfId="0" applyNumberFormat="1"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44" xfId="0" applyNumberFormat="1" applyFont="1" applyFill="1" applyBorder="1" applyAlignment="1" applyProtection="1">
      <alignment horizontal="left" vertical="center" wrapText="1"/>
    </xf>
    <xf numFmtId="8" fontId="9" fillId="6" borderId="44" xfId="0" applyNumberFormat="1" applyFont="1" applyFill="1" applyBorder="1" applyAlignment="1" applyProtection="1">
      <alignment horizontal="left" vertical="center" wrapText="1"/>
    </xf>
    <xf numFmtId="8" fontId="9" fillId="6" borderId="4" xfId="0" applyNumberFormat="1" applyFont="1" applyFill="1" applyBorder="1" applyAlignment="1" applyProtection="1">
      <alignment horizontal="left" vertical="center" wrapText="1"/>
    </xf>
    <xf numFmtId="0" fontId="8" fillId="6" borderId="45" xfId="0" applyNumberFormat="1" applyFont="1" applyFill="1" applyBorder="1" applyAlignment="1" applyProtection="1">
      <alignment horizontal="left" vertical="center" wrapText="1"/>
    </xf>
    <xf numFmtId="6" fontId="9" fillId="0" borderId="44" xfId="0" applyNumberFormat="1" applyFont="1" applyFill="1" applyBorder="1" applyAlignment="1" applyProtection="1">
      <alignment horizontal="left" vertical="center" wrapText="1"/>
    </xf>
    <xf numFmtId="0" fontId="53" fillId="6" borderId="44" xfId="0" applyNumberFormat="1" applyFont="1" applyFill="1" applyBorder="1" applyAlignment="1" applyProtection="1">
      <alignment horizontal="left" vertical="center" wrapText="1"/>
    </xf>
    <xf numFmtId="9" fontId="10" fillId="6" borderId="44" xfId="0" applyNumberFormat="1" applyFont="1" applyFill="1" applyBorder="1" applyAlignment="1" applyProtection="1">
      <alignment horizontal="left" vertical="center" wrapText="1"/>
    </xf>
    <xf numFmtId="49" fontId="58" fillId="6" borderId="44" xfId="0" applyNumberFormat="1" applyFont="1" applyFill="1" applyBorder="1" applyAlignment="1" applyProtection="1">
      <alignment horizontal="left" vertical="center" wrapText="1"/>
    </xf>
    <xf numFmtId="9" fontId="9" fillId="6" borderId="44"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center" vertical="center" wrapText="1"/>
    </xf>
    <xf numFmtId="17" fontId="8" fillId="6" borderId="4"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10" fillId="0" borderId="45" xfId="0" applyNumberFormat="1" applyFont="1" applyFill="1" applyBorder="1" applyAlignment="1" applyProtection="1">
      <alignment horizontal="left" vertical="center" wrapText="1"/>
    </xf>
    <xf numFmtId="0" fontId="15" fillId="34" borderId="0" xfId="0" applyFont="1" applyFill="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0" fontId="9" fillId="6" borderId="44" xfId="0" applyNumberFormat="1" applyFont="1" applyFill="1" applyBorder="1" applyAlignment="1" applyProtection="1">
      <alignment horizontal="left" vertical="center" wrapText="1"/>
    </xf>
    <xf numFmtId="10" fontId="8" fillId="6" borderId="4" xfId="0" applyNumberFormat="1" applyFont="1" applyFill="1" applyBorder="1" applyAlignment="1" applyProtection="1">
      <alignment horizontal="center" vertical="center" wrapText="1"/>
    </xf>
    <xf numFmtId="0" fontId="56" fillId="6" borderId="4"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10" fontId="9" fillId="6" borderId="4" xfId="0" applyNumberFormat="1" applyFont="1" applyFill="1" applyBorder="1" applyAlignment="1" applyProtection="1">
      <alignment horizontal="center" vertical="center" wrapText="1"/>
    </xf>
    <xf numFmtId="10" fontId="9" fillId="6" borderId="44" xfId="0" applyNumberFormat="1" applyFont="1" applyFill="1" applyBorder="1" applyAlignment="1" applyProtection="1">
      <alignment horizontal="center" vertical="center" wrapText="1"/>
    </xf>
    <xf numFmtId="9" fontId="9" fillId="6" borderId="44" xfId="0" applyNumberFormat="1" applyFont="1" applyFill="1" applyBorder="1" applyAlignment="1" applyProtection="1">
      <alignment horizontal="center" vertical="center" wrapText="1"/>
    </xf>
    <xf numFmtId="0" fontId="18" fillId="6" borderId="45" xfId="1" applyNumberFormat="1" applyFill="1" applyBorder="1" applyAlignment="1" applyProtection="1">
      <alignment horizontal="left" vertical="center" wrapText="1"/>
    </xf>
    <xf numFmtId="0" fontId="10" fillId="0" borderId="4" xfId="0" applyNumberFormat="1" applyFont="1" applyFill="1" applyBorder="1" applyAlignment="1" applyProtection="1">
      <alignment horizontal="left" vertical="center" wrapText="1"/>
    </xf>
    <xf numFmtId="0" fontId="10" fillId="0" borderId="44" xfId="0" applyFont="1" applyBorder="1" applyAlignment="1" applyProtection="1">
      <alignment vertical="center" wrapText="1"/>
    </xf>
    <xf numFmtId="10" fontId="8" fillId="6" borderId="4" xfId="0" applyNumberFormat="1" applyFont="1" applyFill="1" applyBorder="1" applyAlignment="1" applyProtection="1">
      <alignment horizontal="left" vertical="center" wrapText="1"/>
    </xf>
    <xf numFmtId="49" fontId="10" fillId="0" borderId="4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4" fontId="8" fillId="6" borderId="4" xfId="0" applyNumberFormat="1" applyFont="1" applyFill="1" applyBorder="1" applyAlignment="1" applyProtection="1">
      <alignment horizontal="left" vertical="center" wrapText="1"/>
    </xf>
    <xf numFmtId="3" fontId="8" fillId="6" borderId="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165" fontId="8" fillId="6" borderId="51" xfId="0" applyNumberFormat="1" applyFont="1" applyFill="1" applyBorder="1" applyAlignment="1" applyProtection="1">
      <alignment horizontal="left" vertical="center" wrapText="1"/>
    </xf>
    <xf numFmtId="165" fontId="8" fillId="6" borderId="52" xfId="0" applyNumberFormat="1" applyFont="1" applyFill="1" applyBorder="1" applyAlignment="1" applyProtection="1">
      <alignment horizontal="left" vertical="center" wrapText="1"/>
    </xf>
    <xf numFmtId="0" fontId="9" fillId="6" borderId="0" xfId="0" applyNumberFormat="1" applyFont="1" applyFill="1" applyBorder="1" applyAlignment="1" applyProtection="1">
      <alignment horizontal="left" vertical="center" wrapText="1"/>
    </xf>
    <xf numFmtId="0" fontId="10" fillId="6" borderId="44" xfId="0" applyNumberFormat="1" applyFont="1" applyFill="1" applyBorder="1" applyAlignment="1" applyProtection="1">
      <alignment horizontal="center" vertical="center" wrapText="1"/>
    </xf>
    <xf numFmtId="9" fontId="10" fillId="6" borderId="44" xfId="0" applyNumberFormat="1" applyFont="1" applyFill="1" applyBorder="1" applyAlignment="1" applyProtection="1">
      <alignment horizontal="center" vertical="center" wrapText="1"/>
    </xf>
    <xf numFmtId="166" fontId="27" fillId="35" borderId="0" xfId="0" applyNumberFormat="1" applyFont="1" applyFill="1" applyBorder="1" applyAlignment="1" applyProtection="1">
      <alignment horizontal="center" vertical="center" wrapText="1"/>
    </xf>
    <xf numFmtId="166" fontId="59" fillId="33" borderId="0" xfId="0" applyNumberFormat="1" applyFont="1" applyFill="1" applyBorder="1" applyAlignment="1" applyProtection="1">
      <alignment horizontal="center" vertical="center" wrapText="1"/>
    </xf>
    <xf numFmtId="0" fontId="4" fillId="36" borderId="5" xfId="0" applyNumberFormat="1" applyFont="1" applyFill="1" applyBorder="1" applyAlignment="1" applyProtection="1">
      <alignment horizontal="center" vertical="center" wrapText="1"/>
    </xf>
    <xf numFmtId="0" fontId="9" fillId="6" borderId="4" xfId="0" quotePrefix="1" applyNumberFormat="1" applyFont="1" applyFill="1" applyBorder="1" applyAlignment="1" applyProtection="1">
      <alignment horizontal="left" vertical="center" wrapText="1"/>
    </xf>
    <xf numFmtId="0" fontId="9" fillId="6" borderId="44" xfId="0" quotePrefix="1"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6" borderId="44"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54" fillId="6" borderId="45" xfId="0" applyNumberFormat="1" applyFont="1" applyFill="1" applyBorder="1" applyAlignment="1" applyProtection="1">
      <alignment horizontal="left" vertical="center" wrapText="1"/>
    </xf>
    <xf numFmtId="10" fontId="9" fillId="6" borderId="4" xfId="0" applyNumberFormat="1" applyFont="1" applyFill="1" applyBorder="1" applyAlignment="1" applyProtection="1">
      <alignment horizontal="left" vertical="center" wrapText="1"/>
    </xf>
    <xf numFmtId="10" fontId="10" fillId="6" borderId="45" xfId="0" applyNumberFormat="1" applyFont="1" applyFill="1" applyBorder="1" applyAlignment="1" applyProtection="1">
      <alignment horizontal="left" vertical="center" wrapText="1"/>
    </xf>
    <xf numFmtId="17" fontId="8" fillId="6" borderId="44" xfId="0" applyNumberFormat="1" applyFont="1" applyFill="1" applyBorder="1" applyAlignment="1" applyProtection="1">
      <alignment horizontal="left" vertical="center" wrapText="1"/>
    </xf>
    <xf numFmtId="0" fontId="0" fillId="0" borderId="45" xfId="0" applyNumberFormat="1" applyBorder="1" applyAlignment="1" applyProtection="1">
      <alignment horizontal="left" vertical="center" wrapText="1"/>
    </xf>
    <xf numFmtId="9" fontId="8" fillId="6" borderId="44" xfId="3" applyFont="1" applyFill="1" applyBorder="1" applyAlignment="1" applyProtection="1">
      <alignment horizontal="left" vertical="center" wrapText="1"/>
    </xf>
    <xf numFmtId="10" fontId="9" fillId="0" borderId="44" xfId="0" applyNumberFormat="1" applyFont="1" applyFill="1" applyBorder="1" applyAlignment="1" applyProtection="1">
      <alignment horizontal="left" vertical="center" wrapText="1"/>
    </xf>
    <xf numFmtId="8" fontId="10" fillId="6" borderId="44" xfId="0" applyNumberFormat="1" applyFont="1" applyFill="1" applyBorder="1" applyAlignment="1" applyProtection="1">
      <alignment horizontal="left" vertical="center" wrapText="1"/>
    </xf>
    <xf numFmtId="8" fontId="10" fillId="6" borderId="4" xfId="0" applyNumberFormat="1" applyFont="1" applyFill="1" applyBorder="1" applyAlignment="1" applyProtection="1">
      <alignment horizontal="left" vertical="center" wrapText="1"/>
    </xf>
    <xf numFmtId="4" fontId="10" fillId="6" borderId="44" xfId="0" applyNumberFormat="1" applyFont="1" applyFill="1" applyBorder="1" applyAlignment="1" applyProtection="1">
      <alignment horizontal="left" vertical="center" wrapText="1"/>
    </xf>
    <xf numFmtId="0" fontId="10" fillId="37" borderId="45" xfId="0" applyNumberFormat="1" applyFont="1" applyFill="1" applyBorder="1" applyAlignment="1" applyProtection="1">
      <alignment horizontal="left" vertical="center" wrapText="1"/>
    </xf>
    <xf numFmtId="0" fontId="10" fillId="0" borderId="44" xfId="0" applyNumberFormat="1" applyFont="1" applyFill="1" applyBorder="1" applyAlignment="1" applyProtection="1">
      <alignment horizontal="left" vertical="center" wrapText="1"/>
    </xf>
    <xf numFmtId="10" fontId="8" fillId="6" borderId="45" xfId="0" applyNumberFormat="1" applyFont="1" applyFill="1" applyBorder="1" applyAlignment="1" applyProtection="1">
      <alignment horizontal="left" vertical="center" wrapText="1"/>
    </xf>
    <xf numFmtId="10" fontId="10" fillId="0" borderId="4" xfId="0" applyNumberFormat="1" applyFont="1" applyFill="1" applyBorder="1" applyAlignment="1" applyProtection="1">
      <alignment horizontal="left" vertical="center" wrapText="1"/>
    </xf>
    <xf numFmtId="166" fontId="27" fillId="35" borderId="68" xfId="0" applyNumberFormat="1" applyFont="1" applyFill="1" applyBorder="1" applyAlignment="1" applyProtection="1">
      <alignment horizontal="center" vertical="center" wrapText="1"/>
    </xf>
    <xf numFmtId="166" fontId="27" fillId="35" borderId="0" xfId="0" applyNumberFormat="1" applyFont="1" applyFill="1" applyBorder="1" applyAlignment="1" applyProtection="1">
      <alignment horizontal="center" vertical="center" wrapText="1"/>
    </xf>
    <xf numFmtId="166" fontId="27" fillId="35" borderId="69" xfId="0" applyNumberFormat="1" applyFont="1" applyFill="1" applyBorder="1" applyAlignment="1" applyProtection="1">
      <alignment horizontal="center" vertical="center" wrapText="1"/>
    </xf>
    <xf numFmtId="0" fontId="4" fillId="12" borderId="1" xfId="0" applyNumberFormat="1" applyFont="1" applyFill="1" applyBorder="1" applyAlignment="1" applyProtection="1">
      <alignment horizontal="center" vertical="center"/>
    </xf>
    <xf numFmtId="0" fontId="4" fillId="36" borderId="1" xfId="0" applyNumberFormat="1" applyFont="1" applyFill="1" applyBorder="1" applyAlignment="1" applyProtection="1">
      <alignment horizontal="center" vertical="center"/>
    </xf>
    <xf numFmtId="0" fontId="4" fillId="24" borderId="1" xfId="0" applyNumberFormat="1" applyFont="1" applyFill="1" applyBorder="1" applyAlignment="1" applyProtection="1">
      <alignment horizontal="center" vertical="center"/>
    </xf>
    <xf numFmtId="166" fontId="59" fillId="33" borderId="68" xfId="0" applyNumberFormat="1" applyFont="1" applyFill="1" applyBorder="1" applyAlignment="1" applyProtection="1">
      <alignment horizontal="center" vertical="center" wrapText="1"/>
    </xf>
    <xf numFmtId="166" fontId="59" fillId="33" borderId="0" xfId="0" applyNumberFormat="1" applyFont="1" applyFill="1" applyBorder="1" applyAlignment="1" applyProtection="1">
      <alignment horizontal="center" vertical="center" wrapText="1"/>
    </xf>
    <xf numFmtId="166" fontId="59" fillId="33" borderId="69" xfId="0" applyNumberFormat="1" applyFont="1" applyFill="1" applyBorder="1" applyAlignment="1" applyProtection="1">
      <alignment horizontal="center" vertical="center" wrapText="1"/>
    </xf>
    <xf numFmtId="0" fontId="21" fillId="6" borderId="20" xfId="0" applyFont="1" applyFill="1" applyBorder="1" applyAlignment="1">
      <alignment horizontal="center" vertical="center" wrapText="1"/>
    </xf>
    <xf numFmtId="0" fontId="21" fillId="6" borderId="25" xfId="0" applyFont="1" applyFill="1" applyBorder="1" applyAlignment="1">
      <alignment horizontal="center" vertical="center" wrapText="1"/>
    </xf>
    <xf numFmtId="0" fontId="30" fillId="14" borderId="21" xfId="0" applyFont="1" applyFill="1" applyBorder="1" applyAlignment="1">
      <alignment horizontal="center" vertical="center" wrapText="1"/>
    </xf>
    <xf numFmtId="0" fontId="30" fillId="14" borderId="22" xfId="0" applyFont="1" applyFill="1" applyBorder="1" applyAlignment="1">
      <alignment horizontal="center" vertical="center" wrapText="1"/>
    </xf>
    <xf numFmtId="0" fontId="31" fillId="8" borderId="23" xfId="0" applyFont="1" applyFill="1" applyBorder="1" applyAlignment="1">
      <alignment horizontal="center" vertical="center" wrapText="1"/>
    </xf>
    <xf numFmtId="0" fontId="31" fillId="8" borderId="24" xfId="0" applyFont="1" applyFill="1" applyBorder="1" applyAlignment="1">
      <alignment horizontal="center" vertical="center" wrapText="1"/>
    </xf>
    <xf numFmtId="0" fontId="30" fillId="9" borderId="34" xfId="0" applyFont="1" applyFill="1" applyBorder="1" applyAlignment="1">
      <alignment horizontal="center" vertical="center" wrapText="1"/>
    </xf>
    <xf numFmtId="10" fontId="2" fillId="0" borderId="12" xfId="0" applyNumberFormat="1" applyFont="1" applyFill="1" applyBorder="1" applyAlignment="1" applyProtection="1">
      <alignment horizontal="center" vertical="center" wrapText="1"/>
    </xf>
    <xf numFmtId="10" fontId="17" fillId="9" borderId="12" xfId="0" applyNumberFormat="1" applyFont="1" applyFill="1" applyBorder="1" applyAlignment="1" applyProtection="1">
      <alignment horizontal="center" vertical="center" wrapText="1"/>
    </xf>
    <xf numFmtId="10" fontId="17" fillId="10" borderId="12" xfId="0" applyNumberFormat="1"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2" xfId="0" applyNumberFormat="1" applyFont="1" applyFill="1" applyBorder="1" applyAlignment="1" applyProtection="1">
      <alignment horizontal="center" vertical="center" wrapText="1"/>
    </xf>
    <xf numFmtId="0" fontId="5" fillId="11" borderId="13" xfId="0" applyFont="1" applyFill="1" applyBorder="1" applyAlignment="1" applyProtection="1">
      <alignment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0" borderId="18" xfId="0" applyFont="1" applyFill="1" applyBorder="1" applyAlignment="1" applyProtection="1">
      <alignment horizontal="center" vertical="center" wrapText="1"/>
    </xf>
    <xf numFmtId="0" fontId="5" fillId="0" borderId="46"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10" fontId="23" fillId="20" borderId="0" xfId="0" applyNumberFormat="1" applyFont="1" applyFill="1" applyAlignment="1" applyProtection="1">
      <alignment horizontal="center" vertical="center"/>
    </xf>
    <xf numFmtId="0" fontId="23" fillId="20" borderId="0" xfId="0" applyFont="1" applyFill="1" applyAlignment="1" applyProtection="1">
      <alignment horizontal="center" vertical="center"/>
    </xf>
    <xf numFmtId="10" fontId="17" fillId="10" borderId="18" xfId="0" applyNumberFormat="1" applyFont="1" applyFill="1" applyBorder="1" applyAlignment="1" applyProtection="1">
      <alignment horizontal="center" vertical="center" wrapText="1"/>
    </xf>
    <xf numFmtId="10" fontId="17" fillId="10" borderId="47" xfId="0" applyNumberFormat="1" applyFont="1" applyFill="1" applyBorder="1" applyAlignment="1" applyProtection="1">
      <alignment horizontal="center" vertical="center" wrapText="1"/>
    </xf>
    <xf numFmtId="0" fontId="21" fillId="13" borderId="0" xfId="0" applyFont="1" applyFill="1" applyBorder="1" applyAlignment="1">
      <alignment horizontal="left" vertical="center" wrapText="1"/>
    </xf>
    <xf numFmtId="10" fontId="2" fillId="0" borderId="36" xfId="0" applyNumberFormat="1" applyFont="1" applyFill="1" applyBorder="1" applyAlignment="1" applyProtection="1">
      <alignment horizontal="center" vertical="center" wrapText="1"/>
    </xf>
    <xf numFmtId="10" fontId="17" fillId="9" borderId="36" xfId="0" applyNumberFormat="1" applyFont="1" applyFill="1" applyBorder="1" applyAlignment="1" applyProtection="1">
      <alignment horizontal="center" vertical="center" wrapText="1"/>
    </xf>
    <xf numFmtId="10" fontId="17" fillId="15" borderId="36" xfId="0" applyNumberFormat="1" applyFont="1" applyFill="1" applyBorder="1" applyAlignment="1" applyProtection="1">
      <alignment horizontal="center" vertical="center" wrapText="1"/>
    </xf>
    <xf numFmtId="10" fontId="2" fillId="0" borderId="37" xfId="0" applyNumberFormat="1" applyFont="1" applyFill="1" applyBorder="1" applyAlignment="1" applyProtection="1">
      <alignment horizontal="center" vertical="center" wrapText="1"/>
    </xf>
    <xf numFmtId="10" fontId="2" fillId="0" borderId="38" xfId="0" applyNumberFormat="1" applyFont="1" applyFill="1" applyBorder="1" applyAlignment="1" applyProtection="1">
      <alignment horizontal="center" vertical="center" wrapText="1"/>
    </xf>
    <xf numFmtId="10" fontId="2" fillId="0" borderId="39" xfId="0" applyNumberFormat="1" applyFont="1" applyFill="1" applyBorder="1" applyAlignment="1" applyProtection="1">
      <alignment horizontal="center" vertical="center" wrapText="1"/>
    </xf>
    <xf numFmtId="10" fontId="2" fillId="0" borderId="37" xfId="0" applyNumberFormat="1" applyFont="1" applyFill="1" applyBorder="1" applyAlignment="1" applyProtection="1">
      <alignment vertical="center" wrapText="1"/>
    </xf>
    <xf numFmtId="10" fontId="2" fillId="0" borderId="38" xfId="0" applyNumberFormat="1" applyFont="1" applyFill="1" applyBorder="1" applyAlignment="1" applyProtection="1">
      <alignment vertical="center" wrapText="1"/>
    </xf>
    <xf numFmtId="10" fontId="2" fillId="0" borderId="39" xfId="0" applyNumberFormat="1" applyFont="1" applyFill="1" applyBorder="1" applyAlignment="1" applyProtection="1">
      <alignment vertical="center" wrapText="1"/>
    </xf>
    <xf numFmtId="10" fontId="16" fillId="8" borderId="37" xfId="0" applyNumberFormat="1" applyFont="1" applyFill="1" applyBorder="1" applyAlignment="1" applyProtection="1">
      <alignment horizontal="center" vertical="center" wrapText="1"/>
    </xf>
    <xf numFmtId="10" fontId="16" fillId="8" borderId="38" xfId="0" applyNumberFormat="1" applyFont="1" applyFill="1" applyBorder="1" applyAlignment="1" applyProtection="1">
      <alignment horizontal="center" vertical="center" wrapText="1"/>
    </xf>
    <xf numFmtId="10" fontId="16" fillId="8" borderId="39" xfId="0" applyNumberFormat="1" applyFont="1" applyFill="1" applyBorder="1" applyAlignment="1" applyProtection="1">
      <alignment horizontal="center" vertical="center" wrapText="1"/>
    </xf>
    <xf numFmtId="0" fontId="5" fillId="8" borderId="37" xfId="0" applyFont="1" applyFill="1" applyBorder="1" applyAlignment="1" applyProtection="1">
      <alignment vertical="center" wrapText="1"/>
    </xf>
    <xf numFmtId="0" fontId="5" fillId="8" borderId="38" xfId="0" applyFont="1" applyFill="1" applyBorder="1" applyAlignment="1" applyProtection="1">
      <alignment vertical="center" wrapText="1"/>
    </xf>
    <xf numFmtId="0" fontId="5" fillId="8" borderId="39" xfId="0" applyFont="1" applyFill="1" applyBorder="1" applyAlignment="1" applyProtection="1">
      <alignment vertical="center" wrapText="1"/>
    </xf>
    <xf numFmtId="0" fontId="5" fillId="0" borderId="48" xfId="0" applyFont="1" applyFill="1" applyBorder="1" applyAlignment="1" applyProtection="1">
      <alignment horizontal="center" vertical="center" wrapText="1"/>
    </xf>
    <xf numFmtId="0" fontId="5" fillId="0" borderId="49" xfId="0" applyFont="1" applyFill="1" applyBorder="1" applyAlignment="1" applyProtection="1">
      <alignment horizontal="center" vertical="center" wrapText="1"/>
    </xf>
    <xf numFmtId="0" fontId="5" fillId="0" borderId="50" xfId="0" applyFont="1" applyFill="1" applyBorder="1" applyAlignment="1" applyProtection="1">
      <alignment horizontal="center" vertical="center" wrapText="1"/>
    </xf>
    <xf numFmtId="0" fontId="21" fillId="16" borderId="0"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280">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0.93258426966292141</c:v>
                </c:pt>
                <c:pt idx="1">
                  <c:v>0.94214876033057848</c:v>
                </c:pt>
                <c:pt idx="2">
                  <c:v>0</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6.741573033707865E-2</c:v>
                </c:pt>
                <c:pt idx="1">
                  <c:v>1.6528925619834711E-2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4.1322314049586778E-2</c:v>
                </c:pt>
                <c:pt idx="2">
                  <c:v>0</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4183424"/>
        <c:axId val="334179896"/>
      </c:lineChart>
      <c:catAx>
        <c:axId val="334183424"/>
        <c:scaling>
          <c:orientation val="minMax"/>
        </c:scaling>
        <c:delete val="0"/>
        <c:axPos val="b"/>
        <c:numFmt formatCode="General" sourceLinked="0"/>
        <c:majorTickMark val="out"/>
        <c:minorTickMark val="none"/>
        <c:tickLblPos val="nextTo"/>
        <c:txPr>
          <a:bodyPr/>
          <a:lstStyle/>
          <a:p>
            <a:pPr>
              <a:defRPr lang="en-US"/>
            </a:pPr>
            <a:endParaRPr lang="en-US"/>
          </a:p>
        </c:txPr>
        <c:crossAx val="334179896"/>
        <c:crosses val="autoZero"/>
        <c:auto val="1"/>
        <c:lblAlgn val="ctr"/>
        <c:lblOffset val="100"/>
        <c:noMultiLvlLbl val="0"/>
      </c:catAx>
      <c:valAx>
        <c:axId val="334179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3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paperSize="8"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1</c:v>
                </c:pt>
                <c:pt idx="1">
                  <c:v>0</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Creating a prosperous East Staffordshire</a:t>
            </a:r>
            <a:r>
              <a:rPr lang="en-US" sz="1800" b="1" i="0" baseline="0"/>
              <a:t>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1</c:v>
                </c:pt>
                <c:pt idx="1">
                  <c:v>0</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Improving Local Democracy-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Creating a prosperous East Staffordshire</a:t>
            </a:r>
            <a:r>
              <a:rPr lang="en-US" sz="1800" b="1" i="0" baseline="0"/>
              <a:t>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effectLst/>
              </a:rPr>
              <a:t>Creating a prosperous East Staffordshire</a:t>
            </a: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Improving Local Democracy</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4180680"/>
        <c:axId val="334181072"/>
      </c:lineChart>
      <c:catAx>
        <c:axId val="334180680"/>
        <c:scaling>
          <c:orientation val="minMax"/>
        </c:scaling>
        <c:delete val="0"/>
        <c:axPos val="b"/>
        <c:numFmt formatCode="General" sourceLinked="0"/>
        <c:majorTickMark val="out"/>
        <c:minorTickMark val="none"/>
        <c:tickLblPos val="nextTo"/>
        <c:txPr>
          <a:bodyPr/>
          <a:lstStyle/>
          <a:p>
            <a:pPr>
              <a:defRPr lang="en-US"/>
            </a:pPr>
            <a:endParaRPr lang="en-US"/>
          </a:p>
        </c:txPr>
        <c:crossAx val="334181072"/>
        <c:crosses val="autoZero"/>
        <c:auto val="1"/>
        <c:lblAlgn val="ctr"/>
        <c:lblOffset val="100"/>
        <c:noMultiLvlLbl val="0"/>
      </c:catAx>
      <c:valAx>
        <c:axId val="334181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0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Developing a Green New Deal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our heritage</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Priority'!$AY$71</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Priority'!$AZ$70:$BC$70</c:f>
              <c:strCache>
                <c:ptCount val="4"/>
                <c:pt idx="0">
                  <c:v>Q1</c:v>
                </c:pt>
                <c:pt idx="1">
                  <c:v>Q2</c:v>
                </c:pt>
                <c:pt idx="2">
                  <c:v>Q3</c:v>
                </c:pt>
                <c:pt idx="3">
                  <c:v>Q4</c:v>
                </c:pt>
              </c:strCache>
            </c:strRef>
          </c:cat>
          <c:val>
            <c:numRef>
              <c:f>'2b. Charts by Priority'!$AZ$71:$BC$71</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21A3-4BFA-BBB5-DF5B18E71016}"/>
            </c:ext>
          </c:extLst>
        </c:ser>
        <c:ser>
          <c:idx val="1"/>
          <c:order val="1"/>
          <c:tx>
            <c:strRef>
              <c:f>'2b. Charts by Priority'!$AY$72</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Priority'!$AZ$70:$BC$70</c:f>
              <c:strCache>
                <c:ptCount val="4"/>
                <c:pt idx="0">
                  <c:v>Q1</c:v>
                </c:pt>
                <c:pt idx="1">
                  <c:v>Q2</c:v>
                </c:pt>
                <c:pt idx="2">
                  <c:v>Q3</c:v>
                </c:pt>
                <c:pt idx="3">
                  <c:v>Q4</c:v>
                </c:pt>
              </c:strCache>
            </c:strRef>
          </c:cat>
          <c:val>
            <c:numRef>
              <c:f>'2b. Charts by Priority'!$AZ$72:$BC$72</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21A3-4BFA-BBB5-DF5B18E71016}"/>
            </c:ext>
          </c:extLst>
        </c:ser>
        <c:ser>
          <c:idx val="2"/>
          <c:order val="2"/>
          <c:tx>
            <c:strRef>
              <c:f>'2b. Charts by Priority'!$AY$73</c:f>
              <c:strCache>
                <c:ptCount val="1"/>
                <c:pt idx="0">
                  <c:v>Red</c:v>
                </c:pt>
              </c:strCache>
            </c:strRef>
          </c:tx>
          <c:marker>
            <c:symbol val="none"/>
          </c:marker>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'2b. Charts by Priority'!$AZ$70:$BC$70</c:f>
              <c:strCache>
                <c:ptCount val="4"/>
                <c:pt idx="0">
                  <c:v>Q1</c:v>
                </c:pt>
                <c:pt idx="1">
                  <c:v>Q2</c:v>
                </c:pt>
                <c:pt idx="2">
                  <c:v>Q3</c:v>
                </c:pt>
                <c:pt idx="3">
                  <c:v>Q4</c:v>
                </c:pt>
              </c:strCache>
            </c:strRef>
          </c:cat>
          <c:val>
            <c:numRef>
              <c:f>'2b. Charts by Priority'!$AZ$73:$BC$73</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C-21A3-4BFA-BBB5-DF5B18E71016}"/>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a:t>
            </a:r>
            <a:r>
              <a:rPr lang="en-US" baseline="0"/>
              <a:t> our heritage </a:t>
            </a: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Priority'!$AZ$70</c:f>
              <c:strCache>
                <c:ptCount val="1"/>
                <c:pt idx="0">
                  <c:v>Q1</c:v>
                </c:pt>
              </c:strCache>
            </c:strRef>
          </c:tx>
          <c:cat>
            <c:strRef>
              <c:f>'2b. Charts by Priority'!$AY$71:$AY$73</c:f>
              <c:strCache>
                <c:ptCount val="3"/>
                <c:pt idx="0">
                  <c:v>Green</c:v>
                </c:pt>
                <c:pt idx="1">
                  <c:v>Amber</c:v>
                </c:pt>
                <c:pt idx="2">
                  <c:v>Red</c:v>
                </c:pt>
              </c:strCache>
            </c:strRef>
          </c:cat>
          <c:val>
            <c:numRef>
              <c:f>'2b. Charts by Priority'!$AZ$71:$AZ$73</c:f>
              <c:numCache>
                <c:formatCode>0.00%</c:formatCode>
                <c:ptCount val="3"/>
                <c:pt idx="0">
                  <c:v>1</c:v>
                </c:pt>
                <c:pt idx="1">
                  <c:v>0</c:v>
                </c:pt>
                <c:pt idx="2">
                  <c:v>0</c:v>
                </c:pt>
              </c:numCache>
            </c:numRef>
          </c:val>
          <c:extLst>
            <c:ext xmlns:c16="http://schemas.microsoft.com/office/drawing/2014/chart" uri="{C3380CC4-5D6E-409C-BE32-E72D297353CC}">
              <c16:uniqueId val="{00000006-A190-423B-8A49-D421E49B515C}"/>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Priority'!$BA$70</c:f>
              <c:strCache>
                <c:ptCount val="1"/>
                <c:pt idx="0">
                  <c:v>Q2</c:v>
                </c:pt>
              </c:strCache>
            </c:strRef>
          </c:tx>
          <c:cat>
            <c:strRef>
              <c:f>'2b. Charts by Priority'!$AY$71:$AY$73</c:f>
              <c:strCache>
                <c:ptCount val="3"/>
                <c:pt idx="0">
                  <c:v>Green</c:v>
                </c:pt>
                <c:pt idx="1">
                  <c:v>Amber</c:v>
                </c:pt>
                <c:pt idx="2">
                  <c:v>Red</c:v>
                </c:pt>
              </c:strCache>
            </c:strRef>
          </c:cat>
          <c:val>
            <c:numRef>
              <c:f>'2b. Charts by Priority'!$BA$71:$BA$73</c:f>
              <c:numCache>
                <c:formatCode>0.00%</c:formatCode>
                <c:ptCount val="3"/>
                <c:pt idx="0">
                  <c:v>1</c:v>
                </c:pt>
                <c:pt idx="1">
                  <c:v>0</c:v>
                </c:pt>
                <c:pt idx="2">
                  <c:v>0</c:v>
                </c:pt>
              </c:numCache>
            </c:numRef>
          </c:val>
          <c:extLst>
            <c:ext xmlns:c16="http://schemas.microsoft.com/office/drawing/2014/chart" uri="{C3380CC4-5D6E-409C-BE32-E72D297353CC}">
              <c16:uniqueId val="{00000006-70BB-4E45-86EF-F55AC9481CA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a:t>
            </a:r>
            <a:r>
              <a:rPr lang="en-US" sz="1800" b="1" i="0" baseline="0"/>
              <a:t>Quarter 3</a:t>
            </a:r>
            <a:endParaRPr lang="en-GB"/>
          </a:p>
        </c:rich>
      </c:tx>
      <c:layout>
        <c:manualLayout>
          <c:xMode val="edge"/>
          <c:yMode val="edge"/>
          <c:x val="0.11275406980377453"/>
          <c:y val="3.2429928190873293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Priority'!$BB$70</c:f>
              <c:strCache>
                <c:ptCount val="1"/>
                <c:pt idx="0">
                  <c:v>Q3</c:v>
                </c:pt>
              </c:strCache>
            </c:strRef>
          </c:tx>
          <c:cat>
            <c:strRef>
              <c:f>'2b. Charts by Priority'!$AY$71:$AY$73</c:f>
              <c:strCache>
                <c:ptCount val="3"/>
                <c:pt idx="0">
                  <c:v>Green</c:v>
                </c:pt>
                <c:pt idx="1">
                  <c:v>Amber</c:v>
                </c:pt>
                <c:pt idx="2">
                  <c:v>Red</c:v>
                </c:pt>
              </c:strCache>
            </c:strRef>
          </c:cat>
          <c:val>
            <c:numRef>
              <c:f>'2b. Charts by Priority'!$BB$71:$BB$73</c:f>
              <c:numCache>
                <c:formatCode>0.00%</c:formatCode>
                <c:ptCount val="3"/>
                <c:pt idx="0">
                  <c:v>0</c:v>
                </c:pt>
                <c:pt idx="1">
                  <c:v>0</c:v>
                </c:pt>
                <c:pt idx="2">
                  <c:v>0</c:v>
                </c:pt>
              </c:numCache>
            </c:numRef>
          </c:val>
          <c:extLst>
            <c:ext xmlns:c16="http://schemas.microsoft.com/office/drawing/2014/chart" uri="{C3380CC4-5D6E-409C-BE32-E72D297353CC}">
              <c16:uniqueId val="{00000006-141D-40D7-B585-2CE41F6808DC}"/>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Protecting our heritage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Priority'!$BC$70</c:f>
              <c:strCache>
                <c:ptCount val="1"/>
                <c:pt idx="0">
                  <c:v>Q4</c:v>
                </c:pt>
              </c:strCache>
            </c:strRef>
          </c:tx>
          <c:cat>
            <c:strRef>
              <c:f>'2b. Charts by Priority'!$AY$71:$AY$73</c:f>
              <c:strCache>
                <c:ptCount val="3"/>
                <c:pt idx="0">
                  <c:v>Green</c:v>
                </c:pt>
                <c:pt idx="1">
                  <c:v>Amber</c:v>
                </c:pt>
                <c:pt idx="2">
                  <c:v>Red</c:v>
                </c:pt>
              </c:strCache>
            </c:strRef>
          </c:cat>
          <c:val>
            <c:numRef>
              <c:f>'2b. Charts by Priority'!$BC$71:$BC$73</c:f>
              <c:numCache>
                <c:formatCode>0.00%</c:formatCode>
                <c:ptCount val="3"/>
                <c:pt idx="0">
                  <c:v>0</c:v>
                </c:pt>
                <c:pt idx="1">
                  <c:v>0</c:v>
                </c:pt>
                <c:pt idx="2">
                  <c:v>0</c:v>
                </c:pt>
              </c:numCache>
            </c:numRef>
          </c:val>
          <c:extLst>
            <c:ext xmlns:c16="http://schemas.microsoft.com/office/drawing/2014/chart" uri="{C3380CC4-5D6E-409C-BE32-E72D297353CC}">
              <c16:uniqueId val="{00000006-C9DF-4E1B-BBB8-FBF2670D6A9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Standing up for our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Priority'!$AY$86</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Priority'!$AZ$86:$BC$86</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B2CF-466E-A181-6E2E2E9B9E32}"/>
            </c:ext>
          </c:extLst>
        </c:ser>
        <c:ser>
          <c:idx val="1"/>
          <c:order val="1"/>
          <c:tx>
            <c:strRef>
              <c:f>'2b. Charts by Priority'!$AY$87</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Priority'!$AZ$87:$BC$87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B2CF-466E-A181-6E2E2E9B9E32}"/>
            </c:ext>
          </c:extLst>
        </c:ser>
        <c:ser>
          <c:idx val="2"/>
          <c:order val="2"/>
          <c:tx>
            <c:strRef>
              <c:f>'2b. Charts by Priority'!$AY$88</c:f>
              <c:strCache>
                <c:ptCount val="1"/>
                <c:pt idx="0">
                  <c:v>Red</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Priority'!$AZ$85:$BC$85</c:f>
              <c:strCache>
                <c:ptCount val="4"/>
                <c:pt idx="0">
                  <c:v>Q1</c:v>
                </c:pt>
                <c:pt idx="1">
                  <c:v>Q2</c:v>
                </c:pt>
                <c:pt idx="2">
                  <c:v>Q3</c:v>
                </c:pt>
                <c:pt idx="3">
                  <c:v>Q4</c:v>
                </c:pt>
              </c:strCache>
            </c:strRef>
          </c:cat>
          <c:val>
            <c:numRef>
              <c:f>'2b. Charts by Priority'!$AZ$88:$BC$88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B2CF-466E-A181-6E2E2E9B9E32}"/>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Standing up for our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Priority'!$AZ$85</c:f>
              <c:strCache>
                <c:ptCount val="1"/>
                <c:pt idx="0">
                  <c:v>Q1</c:v>
                </c:pt>
              </c:strCache>
            </c:strRef>
          </c:tx>
          <c:cat>
            <c:strRef>
              <c:f>'2b. Charts by Priority'!$AY$86:$AY$88</c:f>
              <c:strCache>
                <c:ptCount val="3"/>
                <c:pt idx="0">
                  <c:v>Green</c:v>
                </c:pt>
                <c:pt idx="1">
                  <c:v>Amber</c:v>
                </c:pt>
                <c:pt idx="2">
                  <c:v>Red</c:v>
                </c:pt>
              </c:strCache>
            </c:strRef>
          </c:cat>
          <c:val>
            <c:numRef>
              <c:f>'2b. Charts by Priority'!$AZ$86:$AZ$88</c:f>
              <c:numCache>
                <c:formatCode>0.00%</c:formatCode>
                <c:ptCount val="3"/>
                <c:pt idx="0">
                  <c:v>1</c:v>
                </c:pt>
                <c:pt idx="1">
                  <c:v>0</c:v>
                </c:pt>
                <c:pt idx="2">
                  <c:v>0</c:v>
                </c:pt>
              </c:numCache>
            </c:numRef>
          </c:val>
          <c:extLst>
            <c:ext xmlns:c16="http://schemas.microsoft.com/office/drawing/2014/chart" uri="{C3380CC4-5D6E-409C-BE32-E72D297353CC}">
              <c16:uniqueId val="{00000006-7939-4199-A1D4-BB2DDD834F4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Priority'!$BA$85</c:f>
              <c:strCache>
                <c:ptCount val="1"/>
                <c:pt idx="0">
                  <c:v>Q2</c:v>
                </c:pt>
              </c:strCache>
            </c:strRef>
          </c:tx>
          <c:cat>
            <c:strRef>
              <c:f>'2b. Charts by Priority'!$AY$86:$AY$88</c:f>
              <c:strCache>
                <c:ptCount val="3"/>
                <c:pt idx="0">
                  <c:v>Green</c:v>
                </c:pt>
                <c:pt idx="1">
                  <c:v>Amber</c:v>
                </c:pt>
                <c:pt idx="2">
                  <c:v>Red</c:v>
                </c:pt>
              </c:strCache>
            </c:strRef>
          </c:cat>
          <c:val>
            <c:numRef>
              <c:f>'2b. Charts by Priority'!$BA$86:$BA$88</c:f>
              <c:numCache>
                <c:formatCode>0.00%</c:formatCode>
                <c:ptCount val="3"/>
                <c:pt idx="0">
                  <c:v>1</c:v>
                </c:pt>
                <c:pt idx="1">
                  <c:v>0</c:v>
                </c:pt>
                <c:pt idx="2">
                  <c:v>0</c:v>
                </c:pt>
              </c:numCache>
            </c:numRef>
          </c:val>
          <c:extLst>
            <c:ext xmlns:c16="http://schemas.microsoft.com/office/drawing/2014/chart" uri="{C3380CC4-5D6E-409C-BE32-E72D297353CC}">
              <c16:uniqueId val="{00000006-A9FB-492F-9F6D-30EAD8AF660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a:t>
            </a:r>
            <a:r>
              <a:rPr lang="en-US" sz="1800" b="1" i="0" baseline="0"/>
              <a:t>Quarter 3</a:t>
            </a:r>
            <a:endParaRPr lang="en-GB"/>
          </a:p>
        </c:rich>
      </c:tx>
      <c:layout>
        <c:manualLayout>
          <c:xMode val="edge"/>
          <c:yMode val="edge"/>
          <c:x val="0.11275406980377453"/>
          <c:y val="3.2429928190873293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Priority'!$BB$85</c:f>
              <c:strCache>
                <c:ptCount val="1"/>
                <c:pt idx="0">
                  <c:v>Q3</c:v>
                </c:pt>
              </c:strCache>
            </c:strRef>
          </c:tx>
          <c:cat>
            <c:strRef>
              <c:f>'2b. Charts by Priority'!$AY$86:$AY$88</c:f>
              <c:strCache>
                <c:ptCount val="3"/>
                <c:pt idx="0">
                  <c:v>Green</c:v>
                </c:pt>
                <c:pt idx="1">
                  <c:v>Amber</c:v>
                </c:pt>
                <c:pt idx="2">
                  <c:v>Red</c:v>
                </c:pt>
              </c:strCache>
            </c:strRef>
          </c:cat>
          <c:val>
            <c:numRef>
              <c:f>'2b. Charts by Priority'!$BB$86:$BB$88</c:f>
              <c:numCache>
                <c:formatCode>0.00%</c:formatCode>
                <c:ptCount val="3"/>
                <c:pt idx="0">
                  <c:v>0</c:v>
                </c:pt>
                <c:pt idx="1">
                  <c:v>0</c:v>
                </c:pt>
                <c:pt idx="2">
                  <c:v>0</c:v>
                </c:pt>
              </c:numCache>
            </c:numRef>
          </c:val>
          <c:extLst>
            <c:ext xmlns:c16="http://schemas.microsoft.com/office/drawing/2014/chart" uri="{C3380CC4-5D6E-409C-BE32-E72D297353CC}">
              <c16:uniqueId val="{00000006-6C93-48DE-BE3C-B82565B62EA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Creating a prosperous East Staffordshire</a:t>
            </a: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56717536"/>
        <c:axId val="356712048"/>
      </c:lineChart>
      <c:catAx>
        <c:axId val="356717536"/>
        <c:scaling>
          <c:orientation val="minMax"/>
        </c:scaling>
        <c:delete val="0"/>
        <c:axPos val="b"/>
        <c:numFmt formatCode="General" sourceLinked="0"/>
        <c:majorTickMark val="out"/>
        <c:minorTickMark val="none"/>
        <c:tickLblPos val="nextTo"/>
        <c:txPr>
          <a:bodyPr/>
          <a:lstStyle/>
          <a:p>
            <a:pPr>
              <a:defRPr lang="en-US"/>
            </a:pPr>
            <a:endParaRPr lang="en-US"/>
          </a:p>
        </c:txPr>
        <c:crossAx val="356712048"/>
        <c:crosses val="autoZero"/>
        <c:auto val="1"/>
        <c:lblAlgn val="ctr"/>
        <c:lblOffset val="100"/>
        <c:noMultiLvlLbl val="0"/>
      </c:catAx>
      <c:valAx>
        <c:axId val="356712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7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Standing up for our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'2b. Charts by Priority'!$BC$85</c:f>
              <c:strCache>
                <c:ptCount val="1"/>
                <c:pt idx="0">
                  <c:v>Q4</c:v>
                </c:pt>
              </c:strCache>
            </c:strRef>
          </c:tx>
          <c:cat>
            <c:strRef>
              <c:f>'2b. Charts by Priority'!$AY$86:$AY$88</c:f>
              <c:strCache>
                <c:ptCount val="3"/>
                <c:pt idx="0">
                  <c:v>Green</c:v>
                </c:pt>
                <c:pt idx="1">
                  <c:v>Amber</c:v>
                </c:pt>
                <c:pt idx="2">
                  <c:v>Red</c:v>
                </c:pt>
              </c:strCache>
            </c:strRef>
          </c:cat>
          <c:val>
            <c:numRef>
              <c:f>'2b. Charts by Priority'!$BC$86:$BC$88</c:f>
              <c:numCache>
                <c:formatCode>0.00%</c:formatCode>
                <c:ptCount val="3"/>
                <c:pt idx="0">
                  <c:v>0</c:v>
                </c:pt>
                <c:pt idx="1">
                  <c:v>0</c:v>
                </c:pt>
                <c:pt idx="2">
                  <c:v>0</c:v>
                </c:pt>
              </c:numCache>
            </c:numRef>
          </c:val>
          <c:extLst>
            <c:ext xmlns:c16="http://schemas.microsoft.com/office/drawing/2014/chart" uri="{C3380CC4-5D6E-409C-BE32-E72D297353CC}">
              <c16:uniqueId val="{00000006-44DC-4A7C-8B55-3194D233DA9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Communities and Regulatory</a:t>
            </a:r>
            <a:r>
              <a:rPr lang="en-US" sz="1200" u="sng" baseline="0">
                <a:latin typeface="Arial" pitchFamily="34" charset="0"/>
                <a:cs typeface="Arial" pitchFamily="34" charset="0"/>
              </a:rPr>
              <a:t> Services</a:t>
            </a:r>
            <a:endParaRPr lang="en-US"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0.94444444444444442</c:v>
                </c:pt>
                <c:pt idx="1">
                  <c:v>0.95454545454545459</c:v>
                </c:pt>
                <c:pt idx="2">
                  <c:v>0</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5.5555555555555552E-2</c:v>
                </c:pt>
                <c:pt idx="1">
                  <c:v>0</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4.5454545454545456E-2</c:v>
                </c:pt>
                <c:pt idx="2">
                  <c:v>0</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57745056"/>
        <c:axId val="357746624"/>
      </c:lineChart>
      <c:catAx>
        <c:axId val="357745056"/>
        <c:scaling>
          <c:orientation val="minMax"/>
        </c:scaling>
        <c:delete val="0"/>
        <c:axPos val="b"/>
        <c:numFmt formatCode="General" sourceLinked="1"/>
        <c:majorTickMark val="out"/>
        <c:minorTickMark val="none"/>
        <c:tickLblPos val="nextTo"/>
        <c:txPr>
          <a:bodyPr/>
          <a:lstStyle/>
          <a:p>
            <a:pPr>
              <a:defRPr lang="en-US"/>
            </a:pPr>
            <a:endParaRPr lang="en-US"/>
          </a:p>
        </c:txPr>
        <c:crossAx val="357746624"/>
        <c:crosses val="autoZero"/>
        <c:auto val="1"/>
        <c:lblAlgn val="ctr"/>
        <c:lblOffset val="100"/>
        <c:noMultiLvlLbl val="0"/>
      </c:catAx>
      <c:valAx>
        <c:axId val="357746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0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and Climate Change</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0.83333333333333326</c:v>
                </c:pt>
                <c:pt idx="1">
                  <c:v>0.90322580645161299</c:v>
                </c:pt>
                <c:pt idx="2">
                  <c:v>0</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0.16666666666666666</c:v>
                </c:pt>
                <c:pt idx="1">
                  <c:v>6.4516129032258063E-2</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3.2258064516129031E-2</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57745448"/>
        <c:axId val="357749368"/>
      </c:lineChart>
      <c:catAx>
        <c:axId val="357745448"/>
        <c:scaling>
          <c:orientation val="minMax"/>
        </c:scaling>
        <c:delete val="0"/>
        <c:axPos val="b"/>
        <c:numFmt formatCode="General" sourceLinked="0"/>
        <c:majorTickMark val="out"/>
        <c:minorTickMark val="none"/>
        <c:tickLblPos val="nextTo"/>
        <c:txPr>
          <a:bodyPr/>
          <a:lstStyle/>
          <a:p>
            <a:pPr>
              <a:defRPr lang="en-US"/>
            </a:pPr>
            <a:endParaRPr lang="en-US"/>
          </a:p>
        </c:txPr>
        <c:crossAx val="357749368"/>
        <c:crosses val="autoZero"/>
        <c:auto val="1"/>
        <c:lblAlgn val="ctr"/>
        <c:lblOffset val="100"/>
        <c:noMultiLvlLbl val="0"/>
      </c:catAx>
      <c:valAx>
        <c:axId val="357749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Finance and Treasury Management</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57752112"/>
        <c:axId val="357744664"/>
      </c:lineChart>
      <c:catAx>
        <c:axId val="357752112"/>
        <c:scaling>
          <c:orientation val="minMax"/>
        </c:scaling>
        <c:delete val="0"/>
        <c:axPos val="b"/>
        <c:numFmt formatCode="General" sourceLinked="0"/>
        <c:majorTickMark val="out"/>
        <c:minorTickMark val="none"/>
        <c:tickLblPos val="nextTo"/>
        <c:txPr>
          <a:bodyPr/>
          <a:lstStyle/>
          <a:p>
            <a:pPr>
              <a:defRPr lang="en-US"/>
            </a:pPr>
            <a:endParaRPr lang="en-US"/>
          </a:p>
        </c:txPr>
        <c:crossAx val="357744664"/>
        <c:crosses val="autoZero"/>
        <c:auto val="1"/>
        <c:lblAlgn val="ctr"/>
        <c:lblOffset val="100"/>
        <c:noMultiLvlLbl val="0"/>
      </c:catAx>
      <c:valAx>
        <c:axId val="3577446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52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Leader</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0</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57749760"/>
        <c:axId val="357748192"/>
      </c:lineChart>
      <c:catAx>
        <c:axId val="357749760"/>
        <c:scaling>
          <c:orientation val="minMax"/>
        </c:scaling>
        <c:delete val="0"/>
        <c:axPos val="b"/>
        <c:numFmt formatCode="General" sourceLinked="0"/>
        <c:majorTickMark val="out"/>
        <c:minorTickMark val="none"/>
        <c:tickLblPos val="nextTo"/>
        <c:txPr>
          <a:bodyPr/>
          <a:lstStyle/>
          <a:p>
            <a:pPr>
              <a:defRPr lang="en-US"/>
            </a:pPr>
            <a:endParaRPr lang="en-US"/>
          </a:p>
        </c:txPr>
        <c:crossAx val="357748192"/>
        <c:crosses val="autoZero"/>
        <c:auto val="1"/>
        <c:lblAlgn val="ctr"/>
        <c:lblOffset val="100"/>
        <c:noMultiLvlLbl val="0"/>
      </c:catAx>
      <c:valAx>
        <c:axId val="3577481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7749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sng" baseline="0">
                <a:effectLst/>
              </a:rPr>
              <a:t>Communities and Regulatory Services</a:t>
            </a:r>
            <a:endParaRPr lang="en-GB">
              <a:effectLst/>
            </a:endParaRPr>
          </a:p>
          <a:p>
            <a:pPr>
              <a:defRPr lang="en-US" u="none"/>
            </a:pPr>
            <a:r>
              <a:rPr lang="en-US" u="none"/>
              <a:t>- Quarter 1</a:t>
            </a:r>
          </a:p>
        </c:rich>
      </c:tx>
      <c:layout>
        <c:manualLayout>
          <c:xMode val="edge"/>
          <c:yMode val="edge"/>
          <c:x val="0.14580677415323084"/>
          <c:y val="2.7894002789400279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0.94444444444444442</c:v>
                </c:pt>
                <c:pt idx="1">
                  <c:v>5.5555555555555552E-2</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Environment and Climate Change</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0.83333333333333326</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0.16666666666666666</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Communities and Regulatory Services</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0.95454545454545459</c:v>
                </c:pt>
                <c:pt idx="1">
                  <c:v>0</c:v>
                </c:pt>
                <c:pt idx="2">
                  <c:v>4.5454545454545456E-2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Developing a Green New Deal</a:t>
            </a:r>
            <a:r>
              <a:rPr lang="en-GB" sz="1100" baseline="0">
                <a:latin typeface="Arial" pitchFamily="34" charset="0"/>
                <a:cs typeface="Arial" pitchFamily="34" charset="0"/>
              </a:rPr>
              <a:t> for East Staffordshire</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0.8571428571428571</c:v>
                </c:pt>
                <c:pt idx="1">
                  <c:v>1</c:v>
                </c:pt>
                <c:pt idx="2">
                  <c:v>0</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0.14285714285714285</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0.90322580645161299</c:v>
                </c:pt>
                <c:pt idx="1">
                  <c:v>6.4516129032258063E-2</c:v>
                </c:pt>
                <c:pt idx="2">
                  <c:v>3.2258064516129031E-2</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Regulatory Services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Regulatory Services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Environment and Climate Change</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Environment and Climate Change</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and Treasury Management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Finance and Treasury Management</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0.93258426966292141</c:v>
                </c:pt>
                <c:pt idx="1">
                  <c:v>6.741573033707865E-2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Leader</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 and Development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0.88888888888888884</c:v>
                </c:pt>
                <c:pt idx="1">
                  <c:v>0.90909090909090906</c:v>
                </c:pt>
                <c:pt idx="2">
                  <c:v>0</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0.1111111111111111</c:v>
                </c:pt>
                <c:pt idx="1">
                  <c:v>0</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9.0909090909090912E-2</c:v>
                </c:pt>
                <c:pt idx="2">
                  <c:v>0</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Regeneration and Development</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0.88888888888888884</c:v>
                </c:pt>
                <c:pt idx="1">
                  <c:v>0.1111111111111111</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0.90909090909090906</c:v>
                </c:pt>
                <c:pt idx="1">
                  <c:v>0</c:v>
                </c:pt>
                <c:pt idx="2">
                  <c:v>9.0909090909090912E-2</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Regeneration and Development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 Cultural Development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Portfolio'!$AY$87</c:f>
              <c:strCache>
                <c:ptCount val="1"/>
                <c:pt idx="0">
                  <c:v>Green</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Portfolio'!$AZ$87:$BC$87</c:f>
              <c:numCache>
                <c:formatCode>0.00%</c:formatCode>
                <c:ptCount val="4"/>
                <c:pt idx="0">
                  <c:v>1</c:v>
                </c:pt>
                <c:pt idx="1">
                  <c:v>0.95</c:v>
                </c:pt>
                <c:pt idx="2">
                  <c:v>0</c:v>
                </c:pt>
                <c:pt idx="3">
                  <c:v>0</c:v>
                </c:pt>
              </c:numCache>
            </c:numRef>
          </c:val>
          <c:smooth val="0"/>
          <c:extLst>
            <c:ext xmlns:c16="http://schemas.microsoft.com/office/drawing/2014/chart" uri="{C3380CC4-5D6E-409C-BE32-E72D297353CC}">
              <c16:uniqueId val="{00000002-8247-40C9-A0BA-4E3E90F6C197}"/>
            </c:ext>
          </c:extLst>
        </c:ser>
        <c:ser>
          <c:idx val="1"/>
          <c:order val="1"/>
          <c:tx>
            <c:strRef>
              <c:f>'3b. Charts by Portfolio'!$AY$88</c:f>
              <c:strCache>
                <c:ptCount val="1"/>
                <c:pt idx="0">
                  <c:v>Amber</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Portfolio'!$AZ$88:$BC$88</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8247-40C9-A0BA-4E3E90F6C197}"/>
            </c:ext>
          </c:extLst>
        </c:ser>
        <c:ser>
          <c:idx val="2"/>
          <c:order val="2"/>
          <c:tx>
            <c:strRef>
              <c:f>'3b. Charts by Portfolio'!$AY$89</c:f>
              <c:strCache>
                <c:ptCount val="1"/>
                <c:pt idx="0">
                  <c:v>Red</c:v>
                </c:pt>
              </c:strCache>
            </c:strRef>
          </c:tx>
          <c:marker>
            <c:symbol val="none"/>
          </c:marker>
          <c:dLbls>
            <c:spPr>
              <a:noFill/>
              <a:ln>
                <a:noFill/>
              </a:ln>
              <a:effectLst/>
            </c:spPr>
            <c:txPr>
              <a:bodyPr/>
              <a:lstStyle/>
              <a:p>
                <a:pPr>
                  <a:defRPr lang="en-US"/>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Portfolio'!$AZ$86:$BC$86</c:f>
              <c:strCache>
                <c:ptCount val="4"/>
                <c:pt idx="0">
                  <c:v>Q1</c:v>
                </c:pt>
                <c:pt idx="1">
                  <c:v>Q2</c:v>
                </c:pt>
                <c:pt idx="2">
                  <c:v>Q3</c:v>
                </c:pt>
                <c:pt idx="3">
                  <c:v>Q4</c:v>
                </c:pt>
              </c:strCache>
            </c:strRef>
          </c:cat>
          <c:val>
            <c:numRef>
              <c:f>'3b. Charts by Portfolio'!$AZ$89:$BC$89</c:f>
              <c:numCache>
                <c:formatCode>0.00%</c:formatCode>
                <c:ptCount val="4"/>
                <c:pt idx="0">
                  <c:v>0</c:v>
                </c:pt>
                <c:pt idx="1">
                  <c:v>0.05</c:v>
                </c:pt>
                <c:pt idx="2">
                  <c:v>0</c:v>
                </c:pt>
                <c:pt idx="3">
                  <c:v>0</c:v>
                </c:pt>
              </c:numCache>
            </c:numRef>
          </c:val>
          <c:smooth val="0"/>
          <c:extLst>
            <c:ext xmlns:c16="http://schemas.microsoft.com/office/drawing/2014/chart" uri="{C3380CC4-5D6E-409C-BE32-E72D297353CC}">
              <c16:uniqueId val="{0000000B-8247-40C9-A0BA-4E3E90F6C197}"/>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Portfolio'!$AZ$86</c:f>
              <c:strCache>
                <c:ptCount val="1"/>
                <c:pt idx="0">
                  <c:v>Q1</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Portfolio'!$AZ$87:$AZ$89</c:f>
              <c:numCache>
                <c:formatCode>0.00%</c:formatCode>
                <c:ptCount val="3"/>
                <c:pt idx="0">
                  <c:v>1</c:v>
                </c:pt>
                <c:pt idx="1">
                  <c:v>0</c:v>
                </c:pt>
                <c:pt idx="2">
                  <c:v>0</c:v>
                </c:pt>
              </c:numCache>
            </c:numRef>
          </c:val>
          <c:extLst>
            <c:ext xmlns:c16="http://schemas.microsoft.com/office/drawing/2014/chart" uri="{C3380CC4-5D6E-409C-BE32-E72D297353CC}">
              <c16:uniqueId val="{00000006-604B-49FA-AE84-9D9B6FBC40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Portfolio'!$BA$86</c:f>
              <c:strCache>
                <c:ptCount val="1"/>
                <c:pt idx="0">
                  <c:v>Q2</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Portfolio'!$BA$87:$BA$89</c:f>
              <c:numCache>
                <c:formatCode>0.00%</c:formatCode>
                <c:ptCount val="3"/>
                <c:pt idx="0">
                  <c:v>0.95</c:v>
                </c:pt>
                <c:pt idx="1">
                  <c:v>0</c:v>
                </c:pt>
                <c:pt idx="2">
                  <c:v>0.05</c:v>
                </c:pt>
              </c:numCache>
            </c:numRef>
          </c:val>
          <c:extLst>
            <c:ext xmlns:c16="http://schemas.microsoft.com/office/drawing/2014/chart" uri="{C3380CC4-5D6E-409C-BE32-E72D297353CC}">
              <c16:uniqueId val="{00000006-0894-4CAA-91CB-5A922F916EA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Portfolio'!$BB$86</c:f>
              <c:strCache>
                <c:ptCount val="1"/>
                <c:pt idx="0">
                  <c:v>Q3</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Portfolio'!$BB$87:$BB$89</c:f>
              <c:numCache>
                <c:formatCode>0.00%</c:formatCode>
                <c:ptCount val="3"/>
                <c:pt idx="0">
                  <c:v>0</c:v>
                </c:pt>
                <c:pt idx="1">
                  <c:v>0</c:v>
                </c:pt>
                <c:pt idx="2">
                  <c:v>0</c:v>
                </c:pt>
              </c:numCache>
            </c:numRef>
          </c:val>
          <c:extLst>
            <c:ext xmlns:c16="http://schemas.microsoft.com/office/drawing/2014/chart" uri="{C3380CC4-5D6E-409C-BE32-E72D297353CC}">
              <c16:uniqueId val="{00000006-01FE-4390-9DD7-EEC751DF31A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Improving Local Democracy-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Tourism and Cultural Development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Portfolio'!$BC$86</c:f>
              <c:strCache>
                <c:ptCount val="1"/>
                <c:pt idx="0">
                  <c:v>Q4</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Portfolio'!$AY$87:$AY$89</c:f>
              <c:strCache>
                <c:ptCount val="3"/>
                <c:pt idx="0">
                  <c:v>Green</c:v>
                </c:pt>
                <c:pt idx="1">
                  <c:v>Amber</c:v>
                </c:pt>
                <c:pt idx="2">
                  <c:v>Red</c:v>
                </c:pt>
              </c:strCache>
            </c:strRef>
          </c:cat>
          <c:val>
            <c:numRef>
              <c:f>'3b. Charts by Portfolio'!$BC$87:$BC$89</c:f>
              <c:numCache>
                <c:formatCode>0.00%</c:formatCode>
                <c:ptCount val="3"/>
                <c:pt idx="0">
                  <c:v>0</c:v>
                </c:pt>
                <c:pt idx="1">
                  <c:v>0</c:v>
                </c:pt>
                <c:pt idx="2">
                  <c:v>0</c:v>
                </c:pt>
              </c:numCache>
            </c:numRef>
          </c:val>
          <c:extLst>
            <c:ext xmlns:c16="http://schemas.microsoft.com/office/drawing/2014/chart" uri="{C3380CC4-5D6E-409C-BE32-E72D297353CC}">
              <c16:uniqueId val="{00000006-10A0-4B04-BEF0-D1A127628F3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Creating</a:t>
            </a:r>
            <a:r>
              <a:rPr lang="en-US" baseline="0"/>
              <a:t> a prosperous East Staffordshire </a:t>
            </a:r>
            <a:r>
              <a:rPr lang="en-US"/>
              <a:t>-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Developing a Green New Deal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0.8571428571428571</c:v>
                </c:pt>
                <c:pt idx="1">
                  <c:v>0.14285714285714285</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0.94214876033057848</c:v>
                </c:pt>
                <c:pt idx="1">
                  <c:v>1.6528925619834711E-2</c:v>
                </c:pt>
                <c:pt idx="2">
                  <c:v>4.1322314049586778E-2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8.xml"/><Relationship Id="rId13" Type="http://schemas.openxmlformats.org/officeDocument/2006/relationships/chart" Target="../charts/chart43.xml"/><Relationship Id="rId18" Type="http://schemas.openxmlformats.org/officeDocument/2006/relationships/chart" Target="../charts/chart48.xml"/><Relationship Id="rId26" Type="http://schemas.openxmlformats.org/officeDocument/2006/relationships/chart" Target="../charts/chart56.xml"/><Relationship Id="rId3" Type="http://schemas.openxmlformats.org/officeDocument/2006/relationships/chart" Target="../charts/chart33.xml"/><Relationship Id="rId21" Type="http://schemas.openxmlformats.org/officeDocument/2006/relationships/chart" Target="../charts/chart51.xml"/><Relationship Id="rId7" Type="http://schemas.openxmlformats.org/officeDocument/2006/relationships/chart" Target="../charts/chart37.xml"/><Relationship Id="rId12" Type="http://schemas.openxmlformats.org/officeDocument/2006/relationships/chart" Target="../charts/chart42.xml"/><Relationship Id="rId17" Type="http://schemas.openxmlformats.org/officeDocument/2006/relationships/chart" Target="../charts/chart47.xml"/><Relationship Id="rId25" Type="http://schemas.openxmlformats.org/officeDocument/2006/relationships/chart" Target="../charts/chart55.xml"/><Relationship Id="rId2" Type="http://schemas.openxmlformats.org/officeDocument/2006/relationships/chart" Target="../charts/chart32.xml"/><Relationship Id="rId16" Type="http://schemas.openxmlformats.org/officeDocument/2006/relationships/chart" Target="../charts/chart46.xml"/><Relationship Id="rId20" Type="http://schemas.openxmlformats.org/officeDocument/2006/relationships/chart" Target="../charts/chart50.xml"/><Relationship Id="rId29" Type="http://schemas.openxmlformats.org/officeDocument/2006/relationships/chart" Target="../charts/chart59.xml"/><Relationship Id="rId1" Type="http://schemas.openxmlformats.org/officeDocument/2006/relationships/chart" Target="../charts/chart31.xml"/><Relationship Id="rId6" Type="http://schemas.openxmlformats.org/officeDocument/2006/relationships/chart" Target="../charts/chart36.xml"/><Relationship Id="rId11" Type="http://schemas.openxmlformats.org/officeDocument/2006/relationships/chart" Target="../charts/chart41.xml"/><Relationship Id="rId24" Type="http://schemas.openxmlformats.org/officeDocument/2006/relationships/chart" Target="../charts/chart54.xml"/><Relationship Id="rId5" Type="http://schemas.openxmlformats.org/officeDocument/2006/relationships/chart" Target="../charts/chart35.xml"/><Relationship Id="rId15" Type="http://schemas.openxmlformats.org/officeDocument/2006/relationships/chart" Target="../charts/chart45.xml"/><Relationship Id="rId23" Type="http://schemas.openxmlformats.org/officeDocument/2006/relationships/chart" Target="../charts/chart53.xml"/><Relationship Id="rId28" Type="http://schemas.openxmlformats.org/officeDocument/2006/relationships/chart" Target="../charts/chart58.xml"/><Relationship Id="rId10" Type="http://schemas.openxmlformats.org/officeDocument/2006/relationships/chart" Target="../charts/chart40.xml"/><Relationship Id="rId19" Type="http://schemas.openxmlformats.org/officeDocument/2006/relationships/chart" Target="../charts/chart49.xml"/><Relationship Id="rId4" Type="http://schemas.openxmlformats.org/officeDocument/2006/relationships/chart" Target="../charts/chart34.xml"/><Relationship Id="rId9" Type="http://schemas.openxmlformats.org/officeDocument/2006/relationships/chart" Target="../charts/chart39.xml"/><Relationship Id="rId14" Type="http://schemas.openxmlformats.org/officeDocument/2006/relationships/chart" Target="../charts/chart44.xml"/><Relationship Id="rId22" Type="http://schemas.openxmlformats.org/officeDocument/2006/relationships/chart" Target="../charts/chart52.xml"/><Relationship Id="rId27" Type="http://schemas.openxmlformats.org/officeDocument/2006/relationships/chart" Target="../charts/chart57.xml"/><Relationship Id="rId30" Type="http://schemas.openxmlformats.org/officeDocument/2006/relationships/chart" Target="../charts/chart60.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173355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173355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220980</xdr:colOff>
      <xdr:row>84</xdr:row>
      <xdr:rowOff>53340</xdr:rowOff>
    </xdr:from>
    <xdr:to>
      <xdr:col>8</xdr:col>
      <xdr:colOff>584834</xdr:colOff>
      <xdr:row>99</xdr:row>
      <xdr:rowOff>51435</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26"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iscovereaststaffordshire.com/tourism-development-grant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79"/>
  <sheetViews>
    <sheetView tabSelected="1" zoomScale="80" zoomScaleNormal="80" workbookViewId="0">
      <pane xSplit="5" ySplit="2" topLeftCell="F3" activePane="bottomRight" state="frozen"/>
      <selection pane="topRight" activeCell="F1" sqref="F1"/>
      <selection pane="bottomLeft" activeCell="A3" sqref="A3"/>
      <selection pane="bottomRight" activeCell="D3" sqref="D3"/>
    </sheetView>
  </sheetViews>
  <sheetFormatPr defaultColWidth="9.28515625" defaultRowHeight="97.9" customHeight="1"/>
  <cols>
    <col min="1" max="1" width="20.42578125" style="242" customWidth="1"/>
    <col min="2" max="2" width="14.7109375" style="230" customWidth="1"/>
    <col min="3" max="3" width="49.5703125" style="229" customWidth="1"/>
    <col min="4" max="4" width="50" style="229" customWidth="1"/>
    <col min="5" max="5" width="19.42578125" style="237" customWidth="1"/>
    <col min="6" max="6" width="51.28515625" style="331" customWidth="1"/>
    <col min="7" max="7" width="18.5703125" style="331" customWidth="1"/>
    <col min="8" max="8" width="18.5703125" style="230" customWidth="1"/>
    <col min="9" max="9" width="49" style="229" customWidth="1"/>
    <col min="10" max="10" width="56.28515625" style="229" customWidth="1"/>
    <col min="11" max="11" width="16" style="229" customWidth="1"/>
    <col min="12" max="12" width="18.42578125" style="229" customWidth="1"/>
    <col min="13" max="13" width="18.5703125" style="229" customWidth="1"/>
    <col min="14" max="14" width="53.85546875" style="229" customWidth="1"/>
    <col min="15" max="15" width="57.7109375" style="229" hidden="1" customWidth="1"/>
    <col min="16" max="16" width="18.42578125" style="229" hidden="1" customWidth="1"/>
    <col min="17" max="18" width="18.5703125" style="229" hidden="1" customWidth="1"/>
    <col min="19" max="19" width="32.7109375" style="229" hidden="1" customWidth="1"/>
    <col min="20" max="20" width="62.7109375" style="229" hidden="1" customWidth="1"/>
    <col min="21" max="22" width="18.5703125" style="229" hidden="1" customWidth="1"/>
    <col min="23" max="23" width="13.7109375" style="229" hidden="1" customWidth="1"/>
    <col min="24" max="24" width="8.28515625" style="230" customWidth="1"/>
    <col min="25" max="25" width="19.5703125" style="229" customWidth="1"/>
    <col min="26" max="27" width="20.42578125" style="242" customWidth="1"/>
    <col min="28" max="28" width="19.5703125" style="229" customWidth="1"/>
    <col min="29" max="35" width="19.5703125" style="229" hidden="1" customWidth="1"/>
    <col min="36" max="36" width="14.7109375" style="230" customWidth="1"/>
    <col min="37" max="16384" width="9.28515625" style="291"/>
  </cols>
  <sheetData>
    <row r="1" spans="1:36" s="275" customFormat="1" ht="33.6" customHeight="1">
      <c r="A1" s="245"/>
      <c r="B1" s="245" t="s">
        <v>123</v>
      </c>
      <c r="C1" s="246"/>
      <c r="D1" s="246"/>
      <c r="E1" s="247"/>
      <c r="F1" s="362" t="s">
        <v>124</v>
      </c>
      <c r="G1" s="362"/>
      <c r="H1" s="362"/>
      <c r="I1" s="362"/>
      <c r="J1" s="363" t="s">
        <v>615</v>
      </c>
      <c r="K1" s="363"/>
      <c r="L1" s="363"/>
      <c r="M1" s="363"/>
      <c r="N1" s="363"/>
      <c r="O1" s="364" t="s">
        <v>83</v>
      </c>
      <c r="P1" s="364"/>
      <c r="Q1" s="364"/>
      <c r="R1" s="364"/>
      <c r="S1" s="364"/>
      <c r="T1" s="364" t="s">
        <v>85</v>
      </c>
      <c r="U1" s="364"/>
      <c r="V1" s="364"/>
      <c r="W1" s="364"/>
      <c r="X1" s="248"/>
      <c r="Y1" s="246"/>
      <c r="Z1" s="249"/>
      <c r="AA1" s="249"/>
      <c r="AB1" s="246"/>
      <c r="AC1" s="365" t="s">
        <v>431</v>
      </c>
      <c r="AD1" s="366"/>
      <c r="AE1" s="367"/>
      <c r="AF1" s="359" t="s">
        <v>431</v>
      </c>
      <c r="AG1" s="360"/>
      <c r="AH1" s="360"/>
      <c r="AI1" s="361"/>
      <c r="AJ1" s="274"/>
    </row>
    <row r="2" spans="1:36" s="280" customFormat="1" ht="61.9" customHeight="1" thickBot="1">
      <c r="A2" s="240" t="s">
        <v>17</v>
      </c>
      <c r="B2" s="238" t="s">
        <v>114</v>
      </c>
      <c r="C2" s="238" t="s">
        <v>212</v>
      </c>
      <c r="D2" s="238" t="s">
        <v>125</v>
      </c>
      <c r="E2" s="239" t="s">
        <v>18</v>
      </c>
      <c r="F2" s="276" t="s">
        <v>503</v>
      </c>
      <c r="G2" s="276" t="s">
        <v>117</v>
      </c>
      <c r="H2" s="276" t="s">
        <v>19</v>
      </c>
      <c r="I2" s="276" t="s">
        <v>20</v>
      </c>
      <c r="J2" s="339" t="s">
        <v>613</v>
      </c>
      <c r="K2" s="339" t="s">
        <v>614</v>
      </c>
      <c r="L2" s="339" t="s">
        <v>118</v>
      </c>
      <c r="M2" s="339" t="s">
        <v>36</v>
      </c>
      <c r="N2" s="339" t="s">
        <v>37</v>
      </c>
      <c r="O2" s="277" t="s">
        <v>82</v>
      </c>
      <c r="P2" s="277" t="s">
        <v>119</v>
      </c>
      <c r="Q2" s="277" t="s">
        <v>120</v>
      </c>
      <c r="R2" s="277" t="s">
        <v>38</v>
      </c>
      <c r="S2" s="277" t="s">
        <v>39</v>
      </c>
      <c r="T2" s="277" t="s">
        <v>84</v>
      </c>
      <c r="U2" s="277" t="s">
        <v>121</v>
      </c>
      <c r="V2" s="277" t="s">
        <v>79</v>
      </c>
      <c r="W2" s="277" t="s">
        <v>40</v>
      </c>
      <c r="X2" s="231" t="s">
        <v>11</v>
      </c>
      <c r="Y2" s="240" t="s">
        <v>10</v>
      </c>
      <c r="Z2" s="240" t="s">
        <v>16</v>
      </c>
      <c r="AA2" s="240" t="s">
        <v>62</v>
      </c>
      <c r="AB2" s="239" t="s">
        <v>9</v>
      </c>
      <c r="AC2" s="278"/>
      <c r="AD2" s="338" t="s">
        <v>605</v>
      </c>
      <c r="AE2" s="338"/>
      <c r="AF2" s="337" t="s">
        <v>608</v>
      </c>
      <c r="AG2" s="337" t="s">
        <v>590</v>
      </c>
      <c r="AH2" s="337" t="s">
        <v>208</v>
      </c>
      <c r="AI2" s="337" t="s">
        <v>482</v>
      </c>
      <c r="AJ2" s="279" t="s">
        <v>122</v>
      </c>
    </row>
    <row r="3" spans="1:36" ht="117" customHeight="1" thickBot="1">
      <c r="A3" s="241" t="s">
        <v>207</v>
      </c>
      <c r="B3" s="268" t="s">
        <v>213</v>
      </c>
      <c r="C3" s="250" t="s">
        <v>214</v>
      </c>
      <c r="D3" s="256" t="s">
        <v>215</v>
      </c>
      <c r="E3" s="252">
        <v>45352</v>
      </c>
      <c r="F3" s="281" t="s">
        <v>523</v>
      </c>
      <c r="G3" s="281"/>
      <c r="H3" s="282" t="s">
        <v>31</v>
      </c>
      <c r="I3" s="283"/>
      <c r="J3" s="284" t="s">
        <v>718</v>
      </c>
      <c r="K3" s="284"/>
      <c r="L3" s="285"/>
      <c r="M3" s="282" t="s">
        <v>31</v>
      </c>
      <c r="N3" s="283"/>
      <c r="O3" s="286"/>
      <c r="P3" s="286"/>
      <c r="Q3" s="287"/>
      <c r="R3" s="282"/>
      <c r="S3" s="283"/>
      <c r="T3" s="284"/>
      <c r="U3" s="285"/>
      <c r="V3" s="288"/>
      <c r="W3" s="283"/>
      <c r="X3" s="233"/>
      <c r="Y3" s="241" t="s">
        <v>390</v>
      </c>
      <c r="Z3" s="241" t="s">
        <v>391</v>
      </c>
      <c r="AA3" s="241" t="s">
        <v>417</v>
      </c>
      <c r="AB3" s="257" t="s">
        <v>208</v>
      </c>
      <c r="AC3" s="289" t="s">
        <v>208</v>
      </c>
      <c r="AD3" s="289" t="s">
        <v>482</v>
      </c>
      <c r="AE3" s="289"/>
      <c r="AF3" s="290"/>
      <c r="AG3" s="290"/>
      <c r="AH3" s="290" t="s">
        <v>609</v>
      </c>
      <c r="AI3" s="290" t="s">
        <v>609</v>
      </c>
      <c r="AJ3" s="291">
        <v>1</v>
      </c>
    </row>
    <row r="4" spans="1:36" ht="82.5" customHeight="1" thickBot="1">
      <c r="A4" s="241" t="s">
        <v>106</v>
      </c>
      <c r="B4" s="268" t="s">
        <v>216</v>
      </c>
      <c r="C4" s="250" t="s">
        <v>214</v>
      </c>
      <c r="D4" s="256" t="s">
        <v>217</v>
      </c>
      <c r="E4" s="258">
        <v>45170</v>
      </c>
      <c r="F4" s="281"/>
      <c r="G4" s="281"/>
      <c r="H4" s="282" t="s">
        <v>35</v>
      </c>
      <c r="I4" s="283"/>
      <c r="J4" s="284" t="s">
        <v>729</v>
      </c>
      <c r="K4" s="284"/>
      <c r="L4" s="285"/>
      <c r="M4" s="282" t="s">
        <v>22</v>
      </c>
      <c r="N4" s="283"/>
      <c r="O4" s="286"/>
      <c r="P4" s="286"/>
      <c r="Q4" s="287"/>
      <c r="R4" s="282"/>
      <c r="S4" s="283"/>
      <c r="T4" s="284"/>
      <c r="U4" s="285"/>
      <c r="V4" s="288"/>
      <c r="W4" s="283"/>
      <c r="X4" s="233"/>
      <c r="Y4" s="241" t="s">
        <v>392</v>
      </c>
      <c r="Z4" s="241" t="s">
        <v>393</v>
      </c>
      <c r="AA4" s="241" t="s">
        <v>417</v>
      </c>
      <c r="AB4" s="259" t="s">
        <v>429</v>
      </c>
      <c r="AC4" s="289" t="s">
        <v>482</v>
      </c>
      <c r="AD4" s="289"/>
      <c r="AE4" s="289"/>
      <c r="AF4" s="290"/>
      <c r="AG4" s="290"/>
      <c r="AH4" s="290"/>
      <c r="AI4" s="290" t="s">
        <v>609</v>
      </c>
      <c r="AJ4" s="291">
        <v>2</v>
      </c>
    </row>
    <row r="5" spans="1:36" ht="90.75" thickBot="1">
      <c r="A5" s="241" t="s">
        <v>106</v>
      </c>
      <c r="B5" s="268" t="s">
        <v>218</v>
      </c>
      <c r="C5" s="250" t="s">
        <v>214</v>
      </c>
      <c r="D5" s="256" t="s">
        <v>219</v>
      </c>
      <c r="E5" s="258">
        <v>45170</v>
      </c>
      <c r="F5" s="281" t="s">
        <v>562</v>
      </c>
      <c r="G5" s="281"/>
      <c r="H5" s="282" t="s">
        <v>31</v>
      </c>
      <c r="I5" s="283"/>
      <c r="J5" s="281" t="s">
        <v>636</v>
      </c>
      <c r="K5" s="284"/>
      <c r="L5" s="285"/>
      <c r="M5" s="282" t="s">
        <v>22</v>
      </c>
      <c r="N5" s="283" t="s">
        <v>672</v>
      </c>
      <c r="O5" s="286"/>
      <c r="P5" s="286"/>
      <c r="Q5" s="287"/>
      <c r="R5" s="282"/>
      <c r="S5" s="283"/>
      <c r="T5" s="284"/>
      <c r="U5" s="285"/>
      <c r="V5" s="288"/>
      <c r="W5" s="283"/>
      <c r="X5" s="232"/>
      <c r="Y5" s="241" t="s">
        <v>392</v>
      </c>
      <c r="Z5" s="241" t="s">
        <v>393</v>
      </c>
      <c r="AA5" s="241" t="s">
        <v>417</v>
      </c>
      <c r="AB5" s="259" t="s">
        <v>429</v>
      </c>
      <c r="AC5" s="289" t="s">
        <v>482</v>
      </c>
      <c r="AD5" s="289"/>
      <c r="AE5" s="289"/>
      <c r="AF5" s="290"/>
      <c r="AG5" s="290"/>
      <c r="AH5" s="290"/>
      <c r="AI5" s="290" t="s">
        <v>609</v>
      </c>
      <c r="AJ5" s="291">
        <v>3</v>
      </c>
    </row>
    <row r="6" spans="1:36" ht="97.15" customHeight="1" thickBot="1">
      <c r="A6" s="241" t="s">
        <v>106</v>
      </c>
      <c r="B6" s="268" t="s">
        <v>220</v>
      </c>
      <c r="C6" s="250" t="s">
        <v>214</v>
      </c>
      <c r="D6" s="260" t="s">
        <v>221</v>
      </c>
      <c r="E6" s="252">
        <v>45108</v>
      </c>
      <c r="F6" s="281" t="s">
        <v>593</v>
      </c>
      <c r="G6" s="281"/>
      <c r="H6" s="282" t="s">
        <v>31</v>
      </c>
      <c r="I6" s="283"/>
      <c r="J6" s="296" t="s">
        <v>673</v>
      </c>
      <c r="K6" s="293"/>
      <c r="L6" s="294"/>
      <c r="M6" s="282" t="s">
        <v>22</v>
      </c>
      <c r="N6" s="295"/>
      <c r="O6" s="286"/>
      <c r="P6" s="286"/>
      <c r="Q6" s="287"/>
      <c r="R6" s="282"/>
      <c r="S6" s="295"/>
      <c r="T6" s="293"/>
      <c r="U6" s="294"/>
      <c r="V6" s="288"/>
      <c r="W6" s="295"/>
      <c r="X6" s="233"/>
      <c r="Y6" s="241" t="s">
        <v>394</v>
      </c>
      <c r="Z6" s="241" t="s">
        <v>393</v>
      </c>
      <c r="AA6" s="241" t="s">
        <v>417</v>
      </c>
      <c r="AB6" s="259" t="s">
        <v>429</v>
      </c>
      <c r="AC6" s="289" t="s">
        <v>482</v>
      </c>
      <c r="AD6" s="289"/>
      <c r="AE6" s="289"/>
      <c r="AF6" s="290"/>
      <c r="AG6" s="290"/>
      <c r="AH6" s="290"/>
      <c r="AI6" s="290" t="s">
        <v>609</v>
      </c>
      <c r="AJ6" s="291">
        <v>4</v>
      </c>
    </row>
    <row r="7" spans="1:36" ht="73.150000000000006" customHeight="1" thickBot="1">
      <c r="A7" s="241" t="s">
        <v>106</v>
      </c>
      <c r="B7" s="268" t="s">
        <v>222</v>
      </c>
      <c r="C7" s="250" t="s">
        <v>214</v>
      </c>
      <c r="D7" s="256" t="s">
        <v>223</v>
      </c>
      <c r="E7" s="252">
        <v>45200</v>
      </c>
      <c r="F7" s="281" t="s">
        <v>492</v>
      </c>
      <c r="G7" s="281"/>
      <c r="H7" s="282" t="s">
        <v>35</v>
      </c>
      <c r="I7" s="283"/>
      <c r="J7" s="293" t="s">
        <v>637</v>
      </c>
      <c r="K7" s="293"/>
      <c r="L7" s="294"/>
      <c r="M7" s="282" t="s">
        <v>31</v>
      </c>
      <c r="N7" s="295"/>
      <c r="O7" s="286"/>
      <c r="P7" s="286"/>
      <c r="Q7" s="287"/>
      <c r="R7" s="282"/>
      <c r="S7" s="295"/>
      <c r="T7" s="293"/>
      <c r="U7" s="294"/>
      <c r="V7" s="288"/>
      <c r="W7" s="295"/>
      <c r="X7" s="233"/>
      <c r="Y7" s="241" t="s">
        <v>395</v>
      </c>
      <c r="Z7" s="241" t="s">
        <v>393</v>
      </c>
      <c r="AA7" s="241" t="s">
        <v>417</v>
      </c>
      <c r="AB7" s="259" t="s">
        <v>429</v>
      </c>
      <c r="AC7" s="289" t="s">
        <v>482</v>
      </c>
      <c r="AD7" s="289"/>
      <c r="AE7" s="289"/>
      <c r="AF7" s="290"/>
      <c r="AG7" s="290"/>
      <c r="AH7" s="290"/>
      <c r="AI7" s="290" t="s">
        <v>609</v>
      </c>
      <c r="AJ7" s="291">
        <v>5</v>
      </c>
    </row>
    <row r="8" spans="1:36" ht="96.6" customHeight="1" thickBot="1">
      <c r="A8" s="241" t="s">
        <v>106</v>
      </c>
      <c r="B8" s="268" t="s">
        <v>224</v>
      </c>
      <c r="C8" s="250" t="s">
        <v>214</v>
      </c>
      <c r="D8" s="256" t="s">
        <v>475</v>
      </c>
      <c r="E8" s="258">
        <v>45352</v>
      </c>
      <c r="F8" s="281" t="s">
        <v>493</v>
      </c>
      <c r="G8" s="281"/>
      <c r="H8" s="282" t="s">
        <v>35</v>
      </c>
      <c r="I8" s="283"/>
      <c r="J8" s="293" t="s">
        <v>719</v>
      </c>
      <c r="K8" s="284"/>
      <c r="L8" s="285"/>
      <c r="M8" s="282" t="s">
        <v>31</v>
      </c>
      <c r="N8" s="295"/>
      <c r="O8" s="286"/>
      <c r="P8" s="286"/>
      <c r="Q8" s="287"/>
      <c r="R8" s="282"/>
      <c r="S8" s="295"/>
      <c r="T8" s="293"/>
      <c r="U8" s="294"/>
      <c r="V8" s="288"/>
      <c r="W8" s="295"/>
      <c r="X8" s="233"/>
      <c r="Y8" s="241" t="s">
        <v>392</v>
      </c>
      <c r="Z8" s="241" t="s">
        <v>393</v>
      </c>
      <c r="AA8" s="241" t="s">
        <v>417</v>
      </c>
      <c r="AB8" s="259" t="s">
        <v>429</v>
      </c>
      <c r="AC8" s="289" t="s">
        <v>482</v>
      </c>
      <c r="AD8" s="289"/>
      <c r="AE8" s="289"/>
      <c r="AF8" s="290"/>
      <c r="AG8" s="290"/>
      <c r="AH8" s="290"/>
      <c r="AI8" s="290" t="s">
        <v>609</v>
      </c>
      <c r="AJ8" s="291">
        <v>6</v>
      </c>
    </row>
    <row r="9" spans="1:36" ht="73.150000000000006" customHeight="1" thickBot="1">
      <c r="A9" s="241" t="s">
        <v>111</v>
      </c>
      <c r="B9" s="268" t="s">
        <v>225</v>
      </c>
      <c r="C9" s="250" t="s">
        <v>226</v>
      </c>
      <c r="D9" s="251" t="s">
        <v>227</v>
      </c>
      <c r="E9" s="252" t="s">
        <v>228</v>
      </c>
      <c r="F9" s="281" t="s">
        <v>551</v>
      </c>
      <c r="G9" s="281"/>
      <c r="H9" s="282" t="s">
        <v>31</v>
      </c>
      <c r="I9" s="283"/>
      <c r="J9" s="292" t="s">
        <v>652</v>
      </c>
      <c r="K9" s="284"/>
      <c r="L9" s="285"/>
      <c r="M9" s="282" t="s">
        <v>22</v>
      </c>
      <c r="N9" s="283"/>
      <c r="O9" s="286"/>
      <c r="P9" s="286"/>
      <c r="Q9" s="287"/>
      <c r="R9" s="282"/>
      <c r="S9" s="283"/>
      <c r="T9" s="292"/>
      <c r="U9" s="285"/>
      <c r="V9" s="288"/>
      <c r="W9" s="283"/>
      <c r="X9" s="232"/>
      <c r="Y9" s="241" t="s">
        <v>390</v>
      </c>
      <c r="Z9" s="241" t="s">
        <v>396</v>
      </c>
      <c r="AA9" s="241" t="s">
        <v>418</v>
      </c>
      <c r="AB9" s="261" t="s">
        <v>209</v>
      </c>
      <c r="AC9" s="289" t="s">
        <v>590</v>
      </c>
      <c r="AD9" s="289"/>
      <c r="AE9" s="289"/>
      <c r="AF9" s="290"/>
      <c r="AG9" s="290" t="s">
        <v>609</v>
      </c>
      <c r="AH9" s="290"/>
      <c r="AI9" s="290"/>
      <c r="AJ9" s="291">
        <v>7</v>
      </c>
    </row>
    <row r="10" spans="1:36" ht="73.150000000000006" customHeight="1" thickBot="1">
      <c r="A10" s="241" t="s">
        <v>111</v>
      </c>
      <c r="B10" s="268" t="s">
        <v>229</v>
      </c>
      <c r="C10" s="250" t="s">
        <v>226</v>
      </c>
      <c r="D10" s="251" t="s">
        <v>230</v>
      </c>
      <c r="E10" s="252">
        <v>45352</v>
      </c>
      <c r="F10" s="281" t="s">
        <v>591</v>
      </c>
      <c r="G10" s="281"/>
      <c r="H10" s="282" t="s">
        <v>31</v>
      </c>
      <c r="I10" s="285"/>
      <c r="J10" s="284" t="s">
        <v>653</v>
      </c>
      <c r="K10" s="285"/>
      <c r="L10" s="285"/>
      <c r="M10" s="282" t="s">
        <v>31</v>
      </c>
      <c r="N10" s="283"/>
      <c r="O10" s="286"/>
      <c r="P10" s="286"/>
      <c r="Q10" s="287"/>
      <c r="R10" s="282"/>
      <c r="S10" s="283"/>
      <c r="T10" s="284"/>
      <c r="U10" s="285"/>
      <c r="V10" s="288"/>
      <c r="W10" s="283"/>
      <c r="X10" s="233"/>
      <c r="Y10" s="241" t="s">
        <v>390</v>
      </c>
      <c r="Z10" s="241" t="s">
        <v>397</v>
      </c>
      <c r="AA10" s="241" t="s">
        <v>418</v>
      </c>
      <c r="AB10" s="261" t="s">
        <v>209</v>
      </c>
      <c r="AC10" s="289" t="s">
        <v>590</v>
      </c>
      <c r="AD10" s="289"/>
      <c r="AE10" s="289"/>
      <c r="AF10" s="290"/>
      <c r="AG10" s="290" t="s">
        <v>609</v>
      </c>
      <c r="AH10" s="290"/>
      <c r="AI10" s="290"/>
      <c r="AJ10" s="291">
        <v>8</v>
      </c>
    </row>
    <row r="11" spans="1:36" ht="73.150000000000006" customHeight="1" thickBot="1">
      <c r="A11" s="241" t="s">
        <v>111</v>
      </c>
      <c r="B11" s="268" t="s">
        <v>231</v>
      </c>
      <c r="C11" s="250" t="s">
        <v>226</v>
      </c>
      <c r="D11" s="251" t="s">
        <v>232</v>
      </c>
      <c r="E11" s="252" t="s">
        <v>233</v>
      </c>
      <c r="F11" s="281" t="s">
        <v>563</v>
      </c>
      <c r="G11" s="281"/>
      <c r="H11" s="282" t="s">
        <v>31</v>
      </c>
      <c r="I11" s="283" t="s">
        <v>564</v>
      </c>
      <c r="J11" s="294" t="s">
        <v>654</v>
      </c>
      <c r="K11" s="293"/>
      <c r="L11" s="294"/>
      <c r="M11" s="282" t="s">
        <v>31</v>
      </c>
      <c r="N11" s="295"/>
      <c r="O11" s="286"/>
      <c r="P11" s="286"/>
      <c r="Q11" s="287"/>
      <c r="R11" s="282"/>
      <c r="S11" s="295"/>
      <c r="T11" s="293"/>
      <c r="U11" s="294"/>
      <c r="V11" s="288"/>
      <c r="W11" s="295"/>
      <c r="X11" s="233"/>
      <c r="Y11" s="241" t="s">
        <v>390</v>
      </c>
      <c r="Z11" s="241" t="s">
        <v>396</v>
      </c>
      <c r="AA11" s="241" t="s">
        <v>418</v>
      </c>
      <c r="AB11" s="261" t="s">
        <v>209</v>
      </c>
      <c r="AC11" s="289" t="s">
        <v>590</v>
      </c>
      <c r="AD11" s="289"/>
      <c r="AE11" s="289"/>
      <c r="AF11" s="290"/>
      <c r="AG11" s="290" t="s">
        <v>609</v>
      </c>
      <c r="AH11" s="290"/>
      <c r="AI11" s="290"/>
      <c r="AJ11" s="291">
        <v>9</v>
      </c>
    </row>
    <row r="12" spans="1:36" ht="96" customHeight="1" thickBot="1">
      <c r="A12" s="241" t="s">
        <v>111</v>
      </c>
      <c r="B12" s="268" t="s">
        <v>234</v>
      </c>
      <c r="C12" s="250" t="s">
        <v>235</v>
      </c>
      <c r="D12" s="251" t="s">
        <v>236</v>
      </c>
      <c r="E12" s="252">
        <v>45170</v>
      </c>
      <c r="F12" s="281" t="s">
        <v>544</v>
      </c>
      <c r="G12" s="281"/>
      <c r="H12" s="282" t="s">
        <v>31</v>
      </c>
      <c r="I12" s="283" t="s">
        <v>545</v>
      </c>
      <c r="J12" s="293" t="s">
        <v>655</v>
      </c>
      <c r="K12" s="293"/>
      <c r="L12" s="294"/>
      <c r="M12" s="282" t="s">
        <v>22</v>
      </c>
      <c r="N12" s="295"/>
      <c r="O12" s="286"/>
      <c r="P12" s="286"/>
      <c r="Q12" s="287"/>
      <c r="R12" s="282"/>
      <c r="S12" s="295"/>
      <c r="T12" s="293"/>
      <c r="U12" s="294"/>
      <c r="V12" s="288"/>
      <c r="W12" s="295"/>
      <c r="X12" s="233"/>
      <c r="Y12" s="241" t="s">
        <v>390</v>
      </c>
      <c r="Z12" s="241" t="s">
        <v>396</v>
      </c>
      <c r="AA12" s="241" t="s">
        <v>418</v>
      </c>
      <c r="AB12" s="261" t="s">
        <v>209</v>
      </c>
      <c r="AC12" s="289" t="s">
        <v>590</v>
      </c>
      <c r="AD12" s="289" t="s">
        <v>208</v>
      </c>
      <c r="AE12" s="289" t="s">
        <v>482</v>
      </c>
      <c r="AF12" s="290"/>
      <c r="AG12" s="290" t="s">
        <v>609</v>
      </c>
      <c r="AH12" s="290" t="s">
        <v>609</v>
      </c>
      <c r="AI12" s="290"/>
      <c r="AJ12" s="291">
        <v>10</v>
      </c>
    </row>
    <row r="13" spans="1:36" ht="73.150000000000006" customHeight="1" thickBot="1">
      <c r="A13" s="241" t="s">
        <v>109</v>
      </c>
      <c r="B13" s="268" t="s">
        <v>237</v>
      </c>
      <c r="C13" s="250" t="s">
        <v>238</v>
      </c>
      <c r="D13" s="251" t="s">
        <v>239</v>
      </c>
      <c r="E13" s="252">
        <v>45352</v>
      </c>
      <c r="F13" s="281"/>
      <c r="G13" s="281"/>
      <c r="H13" s="282" t="s">
        <v>35</v>
      </c>
      <c r="I13" s="283"/>
      <c r="J13" s="284"/>
      <c r="K13" s="284"/>
      <c r="L13" s="285"/>
      <c r="M13" s="282" t="s">
        <v>35</v>
      </c>
      <c r="N13" s="283"/>
      <c r="O13" s="286"/>
      <c r="P13" s="286"/>
      <c r="Q13" s="287"/>
      <c r="R13" s="282"/>
      <c r="S13" s="283"/>
      <c r="T13" s="284"/>
      <c r="U13" s="285"/>
      <c r="V13" s="288"/>
      <c r="W13" s="283"/>
      <c r="X13" s="232"/>
      <c r="Y13" s="241" t="s">
        <v>398</v>
      </c>
      <c r="Z13" s="241" t="s">
        <v>399</v>
      </c>
      <c r="AA13" s="241" t="s">
        <v>418</v>
      </c>
      <c r="AB13" s="262" t="s">
        <v>115</v>
      </c>
      <c r="AC13" s="289" t="s">
        <v>482</v>
      </c>
      <c r="AD13" s="289" t="s">
        <v>208</v>
      </c>
      <c r="AE13" s="289"/>
      <c r="AF13" s="290"/>
      <c r="AG13" s="290"/>
      <c r="AH13" s="290" t="s">
        <v>609</v>
      </c>
      <c r="AI13" s="290" t="s">
        <v>609</v>
      </c>
      <c r="AJ13" s="291">
        <v>11</v>
      </c>
    </row>
    <row r="14" spans="1:36" ht="94.15" customHeight="1" thickBot="1">
      <c r="A14" s="241" t="s">
        <v>113</v>
      </c>
      <c r="B14" s="268" t="s">
        <v>471</v>
      </c>
      <c r="C14" s="250" t="s">
        <v>240</v>
      </c>
      <c r="D14" s="251" t="s">
        <v>474</v>
      </c>
      <c r="E14" s="252">
        <v>45200</v>
      </c>
      <c r="F14" s="281" t="s">
        <v>582</v>
      </c>
      <c r="G14" s="281"/>
      <c r="H14" s="282" t="s">
        <v>35</v>
      </c>
      <c r="I14" s="283"/>
      <c r="J14" s="284" t="s">
        <v>682</v>
      </c>
      <c r="K14" s="284"/>
      <c r="L14" s="285"/>
      <c r="M14" s="282" t="s">
        <v>31</v>
      </c>
      <c r="N14" s="283"/>
      <c r="O14" s="286"/>
      <c r="P14" s="286"/>
      <c r="Q14" s="287"/>
      <c r="R14" s="282"/>
      <c r="S14" s="283"/>
      <c r="T14" s="293"/>
      <c r="U14" s="294"/>
      <c r="V14" s="288"/>
      <c r="W14" s="295"/>
      <c r="X14" s="232"/>
      <c r="Y14" s="241" t="s">
        <v>400</v>
      </c>
      <c r="Z14" s="241" t="s">
        <v>401</v>
      </c>
      <c r="AA14" s="241" t="s">
        <v>418</v>
      </c>
      <c r="AB14" s="262" t="s">
        <v>115</v>
      </c>
      <c r="AC14" s="289" t="s">
        <v>208</v>
      </c>
      <c r="AD14" s="289" t="s">
        <v>482</v>
      </c>
      <c r="AE14" s="289"/>
      <c r="AF14" s="290"/>
      <c r="AG14" s="290"/>
      <c r="AH14" s="290" t="s">
        <v>609</v>
      </c>
      <c r="AI14" s="290"/>
      <c r="AJ14" s="291">
        <v>12</v>
      </c>
    </row>
    <row r="15" spans="1:36" ht="147" customHeight="1" thickBot="1">
      <c r="A15" s="241" t="s">
        <v>106</v>
      </c>
      <c r="B15" s="268" t="s">
        <v>472</v>
      </c>
      <c r="C15" s="250" t="s">
        <v>240</v>
      </c>
      <c r="D15" s="251" t="s">
        <v>473</v>
      </c>
      <c r="E15" s="252">
        <v>45200</v>
      </c>
      <c r="F15" s="281"/>
      <c r="G15" s="281"/>
      <c r="H15" s="282" t="s">
        <v>35</v>
      </c>
      <c r="I15" s="283"/>
      <c r="J15" s="284" t="s">
        <v>674</v>
      </c>
      <c r="K15" s="284"/>
      <c r="L15" s="285"/>
      <c r="M15" s="282" t="s">
        <v>31</v>
      </c>
      <c r="N15" s="283"/>
      <c r="O15" s="286"/>
      <c r="P15" s="286"/>
      <c r="Q15" s="287"/>
      <c r="R15" s="282"/>
      <c r="S15" s="283"/>
      <c r="T15" s="293"/>
      <c r="U15" s="294"/>
      <c r="V15" s="288"/>
      <c r="W15" s="295"/>
      <c r="X15" s="232"/>
      <c r="Y15" s="241" t="s">
        <v>400</v>
      </c>
      <c r="Z15" s="241" t="s">
        <v>488</v>
      </c>
      <c r="AA15" s="241" t="s">
        <v>418</v>
      </c>
      <c r="AB15" s="262" t="s">
        <v>115</v>
      </c>
      <c r="AC15" s="289" t="s">
        <v>208</v>
      </c>
      <c r="AD15" s="289"/>
      <c r="AE15" s="289"/>
      <c r="AF15" s="290"/>
      <c r="AG15" s="290"/>
      <c r="AH15" s="290" t="s">
        <v>609</v>
      </c>
      <c r="AI15" s="290"/>
      <c r="AJ15" s="291">
        <v>13</v>
      </c>
    </row>
    <row r="16" spans="1:36" ht="81.599999999999994" customHeight="1" thickBot="1">
      <c r="A16" s="241" t="s">
        <v>107</v>
      </c>
      <c r="B16" s="268" t="s">
        <v>241</v>
      </c>
      <c r="C16" s="250" t="s">
        <v>242</v>
      </c>
      <c r="D16" s="251" t="s">
        <v>243</v>
      </c>
      <c r="E16" s="252">
        <v>45261</v>
      </c>
      <c r="F16" s="281" t="s">
        <v>519</v>
      </c>
      <c r="G16" s="281"/>
      <c r="H16" s="282" t="s">
        <v>31</v>
      </c>
      <c r="I16" s="283"/>
      <c r="J16" s="284"/>
      <c r="K16" s="293"/>
      <c r="L16" s="294"/>
      <c r="M16" s="282" t="s">
        <v>31</v>
      </c>
      <c r="N16" s="295"/>
      <c r="O16" s="286"/>
      <c r="P16" s="286"/>
      <c r="Q16" s="287"/>
      <c r="R16" s="282"/>
      <c r="S16" s="295"/>
      <c r="T16" s="293"/>
      <c r="U16" s="294"/>
      <c r="V16" s="288"/>
      <c r="W16" s="295"/>
      <c r="X16" s="233"/>
      <c r="Y16" s="241" t="s">
        <v>390</v>
      </c>
      <c r="Z16" s="241" t="s">
        <v>402</v>
      </c>
      <c r="AA16" s="241" t="s">
        <v>418</v>
      </c>
      <c r="AB16" s="257" t="s">
        <v>208</v>
      </c>
      <c r="AC16" s="289" t="s">
        <v>208</v>
      </c>
      <c r="AD16" s="289"/>
      <c r="AE16" s="289"/>
      <c r="AF16" s="290"/>
      <c r="AG16" s="290"/>
      <c r="AH16" s="290" t="s">
        <v>609</v>
      </c>
      <c r="AI16" s="290"/>
      <c r="AJ16" s="291">
        <v>14</v>
      </c>
    </row>
    <row r="17" spans="1:36" ht="73.150000000000006" customHeight="1" thickBot="1">
      <c r="A17" s="241" t="s">
        <v>207</v>
      </c>
      <c r="B17" s="268" t="s">
        <v>244</v>
      </c>
      <c r="C17" s="250" t="s">
        <v>245</v>
      </c>
      <c r="D17" s="251" t="s">
        <v>246</v>
      </c>
      <c r="E17" s="252">
        <v>45108</v>
      </c>
      <c r="F17" s="281" t="s">
        <v>524</v>
      </c>
      <c r="G17" s="281"/>
      <c r="H17" s="282" t="s">
        <v>31</v>
      </c>
      <c r="I17" s="283"/>
      <c r="J17" s="284" t="s">
        <v>625</v>
      </c>
      <c r="K17" s="285"/>
      <c r="L17" s="285"/>
      <c r="M17" s="282" t="s">
        <v>22</v>
      </c>
      <c r="N17" s="295"/>
      <c r="O17" s="284"/>
      <c r="P17" s="286"/>
      <c r="Q17" s="287"/>
      <c r="R17" s="282"/>
      <c r="S17" s="283"/>
      <c r="T17" s="284"/>
      <c r="U17" s="285"/>
      <c r="V17" s="288"/>
      <c r="W17" s="283"/>
      <c r="X17" s="233"/>
      <c r="Y17" s="241" t="s">
        <v>390</v>
      </c>
      <c r="Z17" s="241" t="s">
        <v>391</v>
      </c>
      <c r="AA17" s="241" t="s">
        <v>418</v>
      </c>
      <c r="AB17" s="257" t="s">
        <v>208</v>
      </c>
      <c r="AC17" s="289" t="s">
        <v>208</v>
      </c>
      <c r="AD17" s="289"/>
      <c r="AE17" s="289"/>
      <c r="AF17" s="290"/>
      <c r="AG17" s="290"/>
      <c r="AH17" s="290" t="s">
        <v>609</v>
      </c>
      <c r="AI17" s="290"/>
      <c r="AJ17" s="291">
        <v>15</v>
      </c>
    </row>
    <row r="18" spans="1:36" ht="147" customHeight="1" thickBot="1">
      <c r="A18" s="241" t="s">
        <v>207</v>
      </c>
      <c r="B18" s="268" t="s">
        <v>247</v>
      </c>
      <c r="C18" s="250" t="s">
        <v>245</v>
      </c>
      <c r="D18" s="251" t="s">
        <v>248</v>
      </c>
      <c r="E18" s="252">
        <v>45170</v>
      </c>
      <c r="F18" s="281" t="s">
        <v>595</v>
      </c>
      <c r="G18" s="281"/>
      <c r="H18" s="282" t="s">
        <v>35</v>
      </c>
      <c r="I18" s="283"/>
      <c r="J18" s="340" t="s">
        <v>626</v>
      </c>
      <c r="K18" s="341"/>
      <c r="L18" s="340"/>
      <c r="M18" s="282" t="s">
        <v>22</v>
      </c>
      <c r="N18" s="295"/>
      <c r="O18" s="286"/>
      <c r="P18" s="286"/>
      <c r="Q18" s="287"/>
      <c r="R18" s="282"/>
      <c r="S18" s="295"/>
      <c r="T18" s="293"/>
      <c r="U18" s="294"/>
      <c r="V18" s="288"/>
      <c r="W18" s="295"/>
      <c r="X18" s="233"/>
      <c r="Y18" s="241" t="s">
        <v>390</v>
      </c>
      <c r="Z18" s="241" t="s">
        <v>391</v>
      </c>
      <c r="AA18" s="241" t="s">
        <v>418</v>
      </c>
      <c r="AB18" s="257" t="s">
        <v>208</v>
      </c>
      <c r="AC18" s="289" t="s">
        <v>208</v>
      </c>
      <c r="AD18" s="289"/>
      <c r="AE18" s="289"/>
      <c r="AF18" s="290"/>
      <c r="AG18" s="290"/>
      <c r="AH18" s="290" t="s">
        <v>609</v>
      </c>
      <c r="AI18" s="290"/>
      <c r="AJ18" s="291">
        <v>16</v>
      </c>
    </row>
    <row r="19" spans="1:36" ht="82.5" customHeight="1" thickBot="1">
      <c r="A19" s="241" t="s">
        <v>112</v>
      </c>
      <c r="B19" s="268" t="s">
        <v>249</v>
      </c>
      <c r="C19" s="250" t="s">
        <v>250</v>
      </c>
      <c r="D19" s="251" t="s">
        <v>251</v>
      </c>
      <c r="E19" s="252">
        <v>45200</v>
      </c>
      <c r="F19" s="281" t="s">
        <v>723</v>
      </c>
      <c r="G19" s="281"/>
      <c r="H19" s="282" t="s">
        <v>31</v>
      </c>
      <c r="I19" s="283"/>
      <c r="J19" s="285"/>
      <c r="K19" s="284"/>
      <c r="L19" s="285"/>
      <c r="M19" s="282" t="s">
        <v>31</v>
      </c>
      <c r="N19" s="283"/>
      <c r="O19" s="284"/>
      <c r="P19" s="286"/>
      <c r="Q19" s="287"/>
      <c r="R19" s="282"/>
      <c r="S19" s="283"/>
      <c r="T19" s="284"/>
      <c r="U19" s="285"/>
      <c r="V19" s="288"/>
      <c r="W19" s="283"/>
      <c r="X19" s="233"/>
      <c r="Y19" s="241" t="s">
        <v>403</v>
      </c>
      <c r="Z19" s="270" t="s">
        <v>404</v>
      </c>
      <c r="AA19" s="241" t="s">
        <v>418</v>
      </c>
      <c r="AB19" s="273" t="s">
        <v>429</v>
      </c>
      <c r="AC19" s="289" t="s">
        <v>208</v>
      </c>
      <c r="AD19" s="289"/>
      <c r="AE19" s="289"/>
      <c r="AF19" s="290"/>
      <c r="AG19" s="290"/>
      <c r="AH19" s="290" t="s">
        <v>609</v>
      </c>
      <c r="AI19" s="290"/>
      <c r="AJ19" s="291">
        <v>17</v>
      </c>
    </row>
    <row r="20" spans="1:36" ht="106.9" customHeight="1" thickBot="1">
      <c r="A20" s="241" t="s">
        <v>109</v>
      </c>
      <c r="B20" s="268" t="s">
        <v>252</v>
      </c>
      <c r="C20" s="250" t="s">
        <v>226</v>
      </c>
      <c r="D20" s="251" t="s">
        <v>253</v>
      </c>
      <c r="E20" s="252">
        <v>45352</v>
      </c>
      <c r="F20" s="281" t="s">
        <v>541</v>
      </c>
      <c r="G20" s="281"/>
      <c r="H20" s="282" t="s">
        <v>31</v>
      </c>
      <c r="I20" s="283"/>
      <c r="J20" s="285" t="s">
        <v>707</v>
      </c>
      <c r="K20" s="284"/>
      <c r="L20" s="285"/>
      <c r="M20" s="282" t="s">
        <v>31</v>
      </c>
      <c r="N20" s="283"/>
      <c r="O20" s="287"/>
      <c r="P20" s="286"/>
      <c r="Q20" s="287"/>
      <c r="R20" s="282"/>
      <c r="S20" s="283"/>
      <c r="T20" s="293"/>
      <c r="U20" s="311"/>
      <c r="V20" s="288"/>
      <c r="W20" s="283"/>
      <c r="X20" s="233"/>
      <c r="Y20" s="241" t="s">
        <v>394</v>
      </c>
      <c r="Z20" s="241" t="s">
        <v>399</v>
      </c>
      <c r="AA20" s="241" t="s">
        <v>419</v>
      </c>
      <c r="AB20" s="261" t="s">
        <v>209</v>
      </c>
      <c r="AC20" s="289" t="s">
        <v>483</v>
      </c>
      <c r="AD20" s="289" t="s">
        <v>590</v>
      </c>
      <c r="AE20" s="289"/>
      <c r="AF20" s="290" t="s">
        <v>609</v>
      </c>
      <c r="AG20" s="290" t="s">
        <v>609</v>
      </c>
      <c r="AH20" s="290"/>
      <c r="AI20" s="290"/>
      <c r="AJ20" s="291">
        <v>18</v>
      </c>
    </row>
    <row r="21" spans="1:36" ht="79.900000000000006" customHeight="1" thickBot="1">
      <c r="A21" s="241" t="s">
        <v>108</v>
      </c>
      <c r="B21" s="268" t="s">
        <v>254</v>
      </c>
      <c r="C21" s="250" t="s">
        <v>255</v>
      </c>
      <c r="D21" s="251" t="s">
        <v>256</v>
      </c>
      <c r="E21" s="258" t="s">
        <v>257</v>
      </c>
      <c r="F21" s="281" t="s">
        <v>513</v>
      </c>
      <c r="G21" s="281"/>
      <c r="H21" s="282" t="s">
        <v>31</v>
      </c>
      <c r="I21" s="283"/>
      <c r="J21" s="285" t="s">
        <v>683</v>
      </c>
      <c r="K21" s="284"/>
      <c r="L21" s="285"/>
      <c r="M21" s="282" t="s">
        <v>31</v>
      </c>
      <c r="N21" s="283"/>
      <c r="O21" s="287"/>
      <c r="P21" s="286"/>
      <c r="Q21" s="287"/>
      <c r="R21" s="282"/>
      <c r="S21" s="283"/>
      <c r="T21" s="284"/>
      <c r="U21" s="285"/>
      <c r="V21" s="288"/>
      <c r="W21" s="283"/>
      <c r="X21" s="233"/>
      <c r="Y21" s="241" t="s">
        <v>394</v>
      </c>
      <c r="Z21" s="241" t="s">
        <v>405</v>
      </c>
      <c r="AA21" s="241" t="s">
        <v>419</v>
      </c>
      <c r="AB21" s="261" t="s">
        <v>209</v>
      </c>
      <c r="AC21" s="289" t="s">
        <v>483</v>
      </c>
      <c r="AD21" s="289" t="s">
        <v>482</v>
      </c>
      <c r="AE21" s="289" t="s">
        <v>590</v>
      </c>
      <c r="AF21" s="290" t="s">
        <v>609</v>
      </c>
      <c r="AG21" s="290" t="s">
        <v>609</v>
      </c>
      <c r="AH21" s="290"/>
      <c r="AI21" s="290" t="s">
        <v>609</v>
      </c>
      <c r="AJ21" s="291">
        <v>19</v>
      </c>
    </row>
    <row r="22" spans="1:36" ht="73.150000000000006" customHeight="1" thickBot="1">
      <c r="A22" s="241" t="s">
        <v>108</v>
      </c>
      <c r="B22" s="268" t="s">
        <v>258</v>
      </c>
      <c r="C22" s="250" t="s">
        <v>255</v>
      </c>
      <c r="D22" s="251" t="s">
        <v>259</v>
      </c>
      <c r="E22" s="258" t="s">
        <v>257</v>
      </c>
      <c r="F22" s="281" t="s">
        <v>514</v>
      </c>
      <c r="G22" s="281"/>
      <c r="H22" s="282" t="s">
        <v>31</v>
      </c>
      <c r="I22" s="283"/>
      <c r="J22" s="285" t="s">
        <v>715</v>
      </c>
      <c r="K22" s="284"/>
      <c r="L22" s="285"/>
      <c r="M22" s="282" t="s">
        <v>31</v>
      </c>
      <c r="N22" s="283"/>
      <c r="O22" s="287"/>
      <c r="P22" s="286"/>
      <c r="Q22" s="287"/>
      <c r="R22" s="282"/>
      <c r="S22" s="283"/>
      <c r="T22" s="284"/>
      <c r="U22" s="285"/>
      <c r="V22" s="288"/>
      <c r="W22" s="283"/>
      <c r="X22" s="232"/>
      <c r="Y22" s="241" t="s">
        <v>394</v>
      </c>
      <c r="Z22" s="241" t="s">
        <v>405</v>
      </c>
      <c r="AA22" s="241" t="s">
        <v>419</v>
      </c>
      <c r="AB22" s="261" t="s">
        <v>209</v>
      </c>
      <c r="AC22" s="289" t="s">
        <v>483</v>
      </c>
      <c r="AD22" s="289" t="s">
        <v>590</v>
      </c>
      <c r="AE22" s="289"/>
      <c r="AF22" s="290" t="s">
        <v>609</v>
      </c>
      <c r="AG22" s="290" t="s">
        <v>609</v>
      </c>
      <c r="AH22" s="290"/>
      <c r="AI22" s="290"/>
      <c r="AJ22" s="291">
        <v>20</v>
      </c>
    </row>
    <row r="23" spans="1:36" ht="107.45" customHeight="1" thickBot="1">
      <c r="A23" s="241" t="s">
        <v>109</v>
      </c>
      <c r="B23" s="268" t="s">
        <v>260</v>
      </c>
      <c r="C23" s="250" t="s">
        <v>261</v>
      </c>
      <c r="D23" s="251" t="s">
        <v>262</v>
      </c>
      <c r="E23" s="258" t="s">
        <v>257</v>
      </c>
      <c r="F23" s="281" t="s">
        <v>600</v>
      </c>
      <c r="G23" s="281"/>
      <c r="H23" s="282" t="s">
        <v>31</v>
      </c>
      <c r="I23" s="283"/>
      <c r="J23" s="285" t="s">
        <v>708</v>
      </c>
      <c r="K23" s="284"/>
      <c r="L23" s="285"/>
      <c r="M23" s="282" t="s">
        <v>31</v>
      </c>
      <c r="N23" s="283"/>
      <c r="O23" s="286"/>
      <c r="P23" s="286"/>
      <c r="Q23" s="287"/>
      <c r="R23" s="282"/>
      <c r="S23" s="283"/>
      <c r="T23" s="284"/>
      <c r="U23" s="285"/>
      <c r="V23" s="288"/>
      <c r="W23" s="283"/>
      <c r="X23" s="232"/>
      <c r="Y23" s="241" t="s">
        <v>394</v>
      </c>
      <c r="Z23" s="241" t="s">
        <v>399</v>
      </c>
      <c r="AA23" s="241" t="s">
        <v>419</v>
      </c>
      <c r="AB23" s="255" t="s">
        <v>116</v>
      </c>
      <c r="AC23" s="289" t="s">
        <v>483</v>
      </c>
      <c r="AD23" s="289"/>
      <c r="AE23" s="289"/>
      <c r="AF23" s="290" t="s">
        <v>609</v>
      </c>
      <c r="AG23" s="290"/>
      <c r="AH23" s="290"/>
      <c r="AI23" s="290"/>
      <c r="AJ23" s="291">
        <v>21</v>
      </c>
    </row>
    <row r="24" spans="1:36" ht="73.150000000000006" customHeight="1" thickBot="1">
      <c r="A24" s="241" t="s">
        <v>109</v>
      </c>
      <c r="B24" s="268" t="s">
        <v>263</v>
      </c>
      <c r="C24" s="250" t="s">
        <v>261</v>
      </c>
      <c r="D24" s="251" t="s">
        <v>264</v>
      </c>
      <c r="E24" s="258" t="s">
        <v>257</v>
      </c>
      <c r="F24" s="281" t="s">
        <v>542</v>
      </c>
      <c r="G24" s="281"/>
      <c r="H24" s="282" t="s">
        <v>31</v>
      </c>
      <c r="I24" s="283"/>
      <c r="J24" s="285" t="s">
        <v>641</v>
      </c>
      <c r="K24" s="284"/>
      <c r="L24" s="285"/>
      <c r="M24" s="282" t="s">
        <v>31</v>
      </c>
      <c r="N24" s="283"/>
      <c r="O24" s="287"/>
      <c r="P24" s="286"/>
      <c r="Q24" s="287"/>
      <c r="R24" s="282"/>
      <c r="S24" s="283"/>
      <c r="T24" s="284"/>
      <c r="U24" s="285"/>
      <c r="V24" s="288"/>
      <c r="W24" s="283"/>
      <c r="X24" s="233"/>
      <c r="Y24" s="241" t="s">
        <v>394</v>
      </c>
      <c r="Z24" s="241" t="s">
        <v>399</v>
      </c>
      <c r="AA24" s="241" t="s">
        <v>419</v>
      </c>
      <c r="AB24" s="255" t="s">
        <v>116</v>
      </c>
      <c r="AC24" s="289" t="s">
        <v>483</v>
      </c>
      <c r="AD24" s="289"/>
      <c r="AE24" s="289"/>
      <c r="AF24" s="290" t="s">
        <v>609</v>
      </c>
      <c r="AG24" s="290"/>
      <c r="AH24" s="290"/>
      <c r="AI24" s="290"/>
      <c r="AJ24" s="291">
        <v>22</v>
      </c>
    </row>
    <row r="25" spans="1:36" ht="71.45" customHeight="1" thickBot="1">
      <c r="A25" s="241" t="s">
        <v>109</v>
      </c>
      <c r="B25" s="268" t="s">
        <v>265</v>
      </c>
      <c r="C25" s="250" t="s">
        <v>261</v>
      </c>
      <c r="D25" s="251" t="s">
        <v>266</v>
      </c>
      <c r="E25" s="258" t="s">
        <v>257</v>
      </c>
      <c r="F25" s="281"/>
      <c r="G25" s="281"/>
      <c r="H25" s="282" t="s">
        <v>35</v>
      </c>
      <c r="I25" s="283"/>
      <c r="J25" s="284"/>
      <c r="K25" s="284"/>
      <c r="L25" s="285"/>
      <c r="M25" s="282" t="s">
        <v>35</v>
      </c>
      <c r="N25" s="283"/>
      <c r="O25" s="286"/>
      <c r="P25" s="286"/>
      <c r="Q25" s="287"/>
      <c r="R25" s="282"/>
      <c r="S25" s="283"/>
      <c r="T25" s="284"/>
      <c r="U25" s="285"/>
      <c r="V25" s="288"/>
      <c r="W25" s="283"/>
      <c r="X25" s="233"/>
      <c r="Y25" s="241" t="s">
        <v>394</v>
      </c>
      <c r="Z25" s="241" t="s">
        <v>399</v>
      </c>
      <c r="AA25" s="241" t="s">
        <v>419</v>
      </c>
      <c r="AB25" s="255" t="s">
        <v>116</v>
      </c>
      <c r="AC25" s="289" t="s">
        <v>483</v>
      </c>
      <c r="AD25" s="289"/>
      <c r="AE25" s="289"/>
      <c r="AF25" s="290" t="s">
        <v>609</v>
      </c>
      <c r="AG25" s="290"/>
      <c r="AH25" s="290"/>
      <c r="AI25" s="290"/>
      <c r="AJ25" s="291">
        <v>23</v>
      </c>
    </row>
    <row r="26" spans="1:36" ht="73.150000000000006" customHeight="1" thickBot="1">
      <c r="A26" s="241" t="s">
        <v>107</v>
      </c>
      <c r="B26" s="268" t="s">
        <v>267</v>
      </c>
      <c r="C26" s="250" t="s">
        <v>261</v>
      </c>
      <c r="D26" s="251" t="s">
        <v>268</v>
      </c>
      <c r="E26" s="258" t="s">
        <v>257</v>
      </c>
      <c r="F26" s="281"/>
      <c r="G26" s="281"/>
      <c r="H26" s="282" t="s">
        <v>35</v>
      </c>
      <c r="I26" s="283"/>
      <c r="J26" s="285"/>
      <c r="K26" s="284"/>
      <c r="L26" s="285"/>
      <c r="M26" s="282" t="s">
        <v>31</v>
      </c>
      <c r="N26" s="283"/>
      <c r="O26" s="284"/>
      <c r="P26" s="286"/>
      <c r="Q26" s="287"/>
      <c r="R26" s="282"/>
      <c r="S26" s="283"/>
      <c r="T26" s="284"/>
      <c r="U26" s="285"/>
      <c r="V26" s="288"/>
      <c r="W26" s="283"/>
      <c r="X26" s="233"/>
      <c r="Y26" s="241" t="s">
        <v>390</v>
      </c>
      <c r="Z26" s="241" t="s">
        <v>406</v>
      </c>
      <c r="AA26" s="241" t="s">
        <v>419</v>
      </c>
      <c r="AB26" s="255" t="s">
        <v>116</v>
      </c>
      <c r="AC26" s="289" t="s">
        <v>483</v>
      </c>
      <c r="AD26" s="289" t="s">
        <v>208</v>
      </c>
      <c r="AE26" s="289"/>
      <c r="AF26" s="290" t="s">
        <v>609</v>
      </c>
      <c r="AG26" s="290"/>
      <c r="AH26" s="290" t="s">
        <v>609</v>
      </c>
      <c r="AI26" s="290"/>
      <c r="AJ26" s="291">
        <v>24</v>
      </c>
    </row>
    <row r="27" spans="1:36" ht="169.15" customHeight="1" thickBot="1">
      <c r="A27" s="241" t="s">
        <v>105</v>
      </c>
      <c r="B27" s="268" t="s">
        <v>269</v>
      </c>
      <c r="C27" s="250" t="s">
        <v>261</v>
      </c>
      <c r="D27" s="260" t="s">
        <v>422</v>
      </c>
      <c r="E27" s="258" t="s">
        <v>257</v>
      </c>
      <c r="F27" s="281" t="s">
        <v>571</v>
      </c>
      <c r="G27" s="281"/>
      <c r="H27" s="282" t="s">
        <v>35</v>
      </c>
      <c r="I27" s="283"/>
      <c r="J27" s="281" t="s">
        <v>716</v>
      </c>
      <c r="K27" s="284"/>
      <c r="L27" s="285"/>
      <c r="M27" s="282" t="s">
        <v>31</v>
      </c>
      <c r="N27" s="283"/>
      <c r="O27" s="286"/>
      <c r="P27" s="286"/>
      <c r="Q27" s="287"/>
      <c r="R27" s="282"/>
      <c r="S27" s="283"/>
      <c r="T27" s="286"/>
      <c r="U27" s="285"/>
      <c r="V27" s="288"/>
      <c r="W27" s="283"/>
      <c r="X27" s="232"/>
      <c r="Y27" s="241" t="s">
        <v>395</v>
      </c>
      <c r="Z27" s="241" t="s">
        <v>412</v>
      </c>
      <c r="AA27" s="241" t="s">
        <v>419</v>
      </c>
      <c r="AB27" s="255" t="s">
        <v>116</v>
      </c>
      <c r="AC27" s="289" t="s">
        <v>483</v>
      </c>
      <c r="AD27" s="289"/>
      <c r="AE27" s="289"/>
      <c r="AF27" s="290" t="s">
        <v>609</v>
      </c>
      <c r="AG27" s="290"/>
      <c r="AH27" s="290"/>
      <c r="AI27" s="290"/>
      <c r="AJ27" s="291">
        <v>25</v>
      </c>
    </row>
    <row r="28" spans="1:36" ht="111" customHeight="1" thickBot="1">
      <c r="A28" s="241" t="s">
        <v>105</v>
      </c>
      <c r="B28" s="268" t="s">
        <v>270</v>
      </c>
      <c r="C28" s="250" t="s">
        <v>261</v>
      </c>
      <c r="D28" s="251" t="s">
        <v>271</v>
      </c>
      <c r="E28" s="258" t="s">
        <v>257</v>
      </c>
      <c r="F28" s="281" t="s">
        <v>571</v>
      </c>
      <c r="G28" s="281"/>
      <c r="H28" s="282" t="s">
        <v>35</v>
      </c>
      <c r="I28" s="283"/>
      <c r="J28" s="284" t="s">
        <v>659</v>
      </c>
      <c r="K28" s="284"/>
      <c r="L28" s="285"/>
      <c r="M28" s="282" t="s">
        <v>31</v>
      </c>
      <c r="N28" s="283"/>
      <c r="O28" s="286"/>
      <c r="P28" s="286"/>
      <c r="Q28" s="287"/>
      <c r="R28" s="282"/>
      <c r="S28" s="283"/>
      <c r="T28" s="284"/>
      <c r="U28" s="285"/>
      <c r="V28" s="288"/>
      <c r="W28" s="283"/>
      <c r="X28" s="233"/>
      <c r="Y28" s="241" t="s">
        <v>395</v>
      </c>
      <c r="Z28" s="241" t="s">
        <v>412</v>
      </c>
      <c r="AA28" s="241" t="s">
        <v>419</v>
      </c>
      <c r="AB28" s="255" t="s">
        <v>116</v>
      </c>
      <c r="AC28" s="289" t="s">
        <v>483</v>
      </c>
      <c r="AD28" s="289"/>
      <c r="AE28" s="289"/>
      <c r="AF28" s="290" t="s">
        <v>609</v>
      </c>
      <c r="AG28" s="290"/>
      <c r="AH28" s="290"/>
      <c r="AI28" s="290"/>
      <c r="AJ28" s="291">
        <v>26</v>
      </c>
    </row>
    <row r="29" spans="1:36" ht="93" customHeight="1" thickBot="1">
      <c r="A29" s="241" t="s">
        <v>110</v>
      </c>
      <c r="B29" s="268" t="s">
        <v>272</v>
      </c>
      <c r="C29" s="250" t="s">
        <v>255</v>
      </c>
      <c r="D29" s="251" t="s">
        <v>273</v>
      </c>
      <c r="E29" s="258" t="s">
        <v>257</v>
      </c>
      <c r="F29" s="281" t="s">
        <v>508</v>
      </c>
      <c r="G29" s="281"/>
      <c r="H29" s="282" t="s">
        <v>31</v>
      </c>
      <c r="I29" s="283"/>
      <c r="J29" s="285" t="s">
        <v>696</v>
      </c>
      <c r="K29" s="284"/>
      <c r="L29" s="342"/>
      <c r="M29" s="282" t="s">
        <v>31</v>
      </c>
      <c r="N29" s="283"/>
      <c r="O29" s="286"/>
      <c r="P29" s="286"/>
      <c r="Q29" s="287"/>
      <c r="R29" s="282"/>
      <c r="S29" s="283"/>
      <c r="T29" s="284"/>
      <c r="U29" s="285"/>
      <c r="V29" s="288"/>
      <c r="W29" s="283"/>
      <c r="X29" s="233"/>
      <c r="Y29" s="241" t="s">
        <v>395</v>
      </c>
      <c r="Z29" s="241" t="s">
        <v>407</v>
      </c>
      <c r="AA29" s="241" t="s">
        <v>419</v>
      </c>
      <c r="AB29" s="255" t="s">
        <v>116</v>
      </c>
      <c r="AC29" s="289" t="s">
        <v>483</v>
      </c>
      <c r="AD29" s="289"/>
      <c r="AE29" s="289"/>
      <c r="AF29" s="290" t="s">
        <v>609</v>
      </c>
      <c r="AG29" s="290"/>
      <c r="AH29" s="290"/>
      <c r="AI29" s="290"/>
      <c r="AJ29" s="291">
        <v>27</v>
      </c>
    </row>
    <row r="30" spans="1:36" ht="75" customHeight="1" thickBot="1">
      <c r="A30" s="241" t="s">
        <v>110</v>
      </c>
      <c r="B30" s="268" t="s">
        <v>274</v>
      </c>
      <c r="C30" s="250" t="s">
        <v>255</v>
      </c>
      <c r="D30" s="251" t="s">
        <v>275</v>
      </c>
      <c r="E30" s="258" t="s">
        <v>257</v>
      </c>
      <c r="F30" s="281" t="s">
        <v>606</v>
      </c>
      <c r="G30" s="281"/>
      <c r="H30" s="282" t="s">
        <v>32</v>
      </c>
      <c r="I30" s="283" t="s">
        <v>491</v>
      </c>
      <c r="J30" s="285" t="s">
        <v>722</v>
      </c>
      <c r="K30" s="284"/>
      <c r="L30" s="285"/>
      <c r="M30" s="282" t="s">
        <v>31</v>
      </c>
      <c r="N30" s="283"/>
      <c r="O30" s="286"/>
      <c r="P30" s="286"/>
      <c r="Q30" s="287"/>
      <c r="R30" s="282"/>
      <c r="S30" s="283"/>
      <c r="T30" s="284"/>
      <c r="U30" s="285"/>
      <c r="V30" s="288"/>
      <c r="W30" s="283"/>
      <c r="X30" s="232"/>
      <c r="Y30" s="241" t="s">
        <v>395</v>
      </c>
      <c r="Z30" s="241" t="s">
        <v>407</v>
      </c>
      <c r="AA30" s="241" t="s">
        <v>419</v>
      </c>
      <c r="AB30" s="255" t="s">
        <v>116</v>
      </c>
      <c r="AC30" s="289" t="s">
        <v>483</v>
      </c>
      <c r="AD30" s="289"/>
      <c r="AE30" s="289"/>
      <c r="AF30" s="290" t="s">
        <v>609</v>
      </c>
      <c r="AG30" s="290"/>
      <c r="AH30" s="290"/>
      <c r="AI30" s="290"/>
      <c r="AJ30" s="291">
        <v>28</v>
      </c>
    </row>
    <row r="31" spans="1:36" ht="73.150000000000006" customHeight="1" thickBot="1">
      <c r="A31" s="241" t="s">
        <v>105</v>
      </c>
      <c r="B31" s="268" t="s">
        <v>276</v>
      </c>
      <c r="C31" s="250" t="s">
        <v>277</v>
      </c>
      <c r="D31" s="251" t="s">
        <v>278</v>
      </c>
      <c r="E31" s="258">
        <v>45352</v>
      </c>
      <c r="F31" s="281" t="s">
        <v>584</v>
      </c>
      <c r="G31" s="281"/>
      <c r="H31" s="282" t="s">
        <v>35</v>
      </c>
      <c r="I31" s="283"/>
      <c r="J31" s="293" t="s">
        <v>725</v>
      </c>
      <c r="K31" s="284"/>
      <c r="L31" s="285"/>
      <c r="M31" s="282" t="s">
        <v>30</v>
      </c>
      <c r="N31" s="283"/>
      <c r="O31" s="293"/>
      <c r="P31" s="286"/>
      <c r="Q31" s="287"/>
      <c r="R31" s="282"/>
      <c r="S31" s="283"/>
      <c r="T31" s="284"/>
      <c r="U31" s="285"/>
      <c r="V31" s="288"/>
      <c r="W31" s="283"/>
      <c r="X31" s="232"/>
      <c r="Y31" s="241" t="s">
        <v>408</v>
      </c>
      <c r="Z31" s="241" t="s">
        <v>409</v>
      </c>
      <c r="AA31" s="241" t="s">
        <v>420</v>
      </c>
      <c r="AB31" s="262" t="s">
        <v>115</v>
      </c>
      <c r="AC31" s="289" t="s">
        <v>208</v>
      </c>
      <c r="AD31" s="289"/>
      <c r="AE31" s="289"/>
      <c r="AF31" s="290"/>
      <c r="AG31" s="290"/>
      <c r="AH31" s="290" t="s">
        <v>609</v>
      </c>
      <c r="AI31" s="290"/>
      <c r="AJ31" s="291">
        <v>29</v>
      </c>
    </row>
    <row r="32" spans="1:36" ht="70.900000000000006" customHeight="1" thickBot="1">
      <c r="A32" s="241" t="s">
        <v>207</v>
      </c>
      <c r="B32" s="268" t="s">
        <v>279</v>
      </c>
      <c r="C32" s="250" t="s">
        <v>277</v>
      </c>
      <c r="D32" s="251" t="s">
        <v>280</v>
      </c>
      <c r="E32" s="252">
        <v>45108</v>
      </c>
      <c r="F32" s="281" t="s">
        <v>525</v>
      </c>
      <c r="G32" s="281"/>
      <c r="H32" s="282" t="s">
        <v>31</v>
      </c>
      <c r="I32" s="283"/>
      <c r="J32" s="340" t="s">
        <v>678</v>
      </c>
      <c r="K32" s="293"/>
      <c r="L32" s="294"/>
      <c r="M32" s="282" t="s">
        <v>22</v>
      </c>
      <c r="N32" s="295"/>
      <c r="O32" s="294"/>
      <c r="P32" s="286"/>
      <c r="Q32" s="287"/>
      <c r="R32" s="282"/>
      <c r="S32" s="295"/>
      <c r="T32" s="334"/>
      <c r="U32" s="294"/>
      <c r="V32" s="288"/>
      <c r="W32" s="295"/>
      <c r="X32" s="233"/>
      <c r="Y32" s="241" t="s">
        <v>390</v>
      </c>
      <c r="Z32" s="241" t="s">
        <v>391</v>
      </c>
      <c r="AA32" s="241" t="s">
        <v>420</v>
      </c>
      <c r="AB32" s="262" t="s">
        <v>115</v>
      </c>
      <c r="AC32" s="289" t="s">
        <v>208</v>
      </c>
      <c r="AD32" s="289"/>
      <c r="AE32" s="289"/>
      <c r="AF32" s="290"/>
      <c r="AG32" s="290"/>
      <c r="AH32" s="290" t="s">
        <v>609</v>
      </c>
      <c r="AI32" s="290"/>
      <c r="AJ32" s="291">
        <v>30</v>
      </c>
    </row>
    <row r="33" spans="1:36" ht="73.150000000000006" customHeight="1" thickBot="1">
      <c r="A33" s="241" t="s">
        <v>207</v>
      </c>
      <c r="B33" s="268" t="s">
        <v>281</v>
      </c>
      <c r="C33" s="250" t="s">
        <v>277</v>
      </c>
      <c r="D33" s="251" t="s">
        <v>282</v>
      </c>
      <c r="E33" s="252">
        <v>45108</v>
      </c>
      <c r="F33" s="281" t="s">
        <v>526</v>
      </c>
      <c r="G33" s="281"/>
      <c r="H33" s="282" t="s">
        <v>31</v>
      </c>
      <c r="I33" s="283"/>
      <c r="J33" s="294" t="s">
        <v>627</v>
      </c>
      <c r="K33" s="293"/>
      <c r="L33" s="294"/>
      <c r="M33" s="282" t="s">
        <v>22</v>
      </c>
      <c r="N33" s="295"/>
      <c r="O33" s="286"/>
      <c r="P33" s="286"/>
      <c r="Q33" s="287"/>
      <c r="R33" s="282"/>
      <c r="S33" s="295"/>
      <c r="T33" s="293"/>
      <c r="U33" s="294"/>
      <c r="V33" s="288"/>
      <c r="W33" s="295"/>
      <c r="X33" s="232"/>
      <c r="Y33" s="241" t="s">
        <v>390</v>
      </c>
      <c r="Z33" s="241" t="s">
        <v>391</v>
      </c>
      <c r="AA33" s="241" t="s">
        <v>420</v>
      </c>
      <c r="AB33" s="262" t="s">
        <v>115</v>
      </c>
      <c r="AC33" s="289" t="s">
        <v>208</v>
      </c>
      <c r="AD33" s="289"/>
      <c r="AE33" s="289"/>
      <c r="AF33" s="290"/>
      <c r="AG33" s="290"/>
      <c r="AH33" s="290" t="s">
        <v>609</v>
      </c>
      <c r="AI33" s="290"/>
      <c r="AJ33" s="291">
        <v>31</v>
      </c>
    </row>
    <row r="34" spans="1:36" ht="94.15" customHeight="1" thickBot="1">
      <c r="A34" s="241" t="s">
        <v>207</v>
      </c>
      <c r="B34" s="268" t="s">
        <v>283</v>
      </c>
      <c r="C34" s="250" t="s">
        <v>277</v>
      </c>
      <c r="D34" s="251" t="s">
        <v>284</v>
      </c>
      <c r="E34" s="252">
        <v>45170</v>
      </c>
      <c r="F34" s="281"/>
      <c r="G34" s="281"/>
      <c r="H34" s="282" t="s">
        <v>35</v>
      </c>
      <c r="I34" s="283"/>
      <c r="J34" s="285" t="s">
        <v>628</v>
      </c>
      <c r="K34" s="284"/>
      <c r="L34" s="285"/>
      <c r="M34" s="282" t="s">
        <v>22</v>
      </c>
      <c r="N34" s="283"/>
      <c r="O34" s="286"/>
      <c r="P34" s="286"/>
      <c r="Q34" s="287"/>
      <c r="R34" s="282"/>
      <c r="S34" s="283"/>
      <c r="T34" s="284"/>
      <c r="U34" s="285"/>
      <c r="V34" s="288"/>
      <c r="W34" s="302"/>
      <c r="X34" s="233"/>
      <c r="Y34" s="241" t="s">
        <v>390</v>
      </c>
      <c r="Z34" s="241" t="s">
        <v>391</v>
      </c>
      <c r="AA34" s="241" t="s">
        <v>420</v>
      </c>
      <c r="AB34" s="257" t="s">
        <v>208</v>
      </c>
      <c r="AC34" s="289" t="s">
        <v>208</v>
      </c>
      <c r="AD34" s="289"/>
      <c r="AE34" s="289"/>
      <c r="AF34" s="290"/>
      <c r="AG34" s="290"/>
      <c r="AH34" s="290" t="s">
        <v>609</v>
      </c>
      <c r="AI34" s="290"/>
      <c r="AJ34" s="291">
        <v>32</v>
      </c>
    </row>
    <row r="35" spans="1:36" ht="109.15" customHeight="1" thickBot="1">
      <c r="A35" s="241" t="s">
        <v>106</v>
      </c>
      <c r="B35" s="268" t="s">
        <v>285</v>
      </c>
      <c r="C35" s="250" t="s">
        <v>277</v>
      </c>
      <c r="D35" s="251" t="s">
        <v>286</v>
      </c>
      <c r="E35" s="252" t="s">
        <v>287</v>
      </c>
      <c r="F35" s="281" t="s">
        <v>494</v>
      </c>
      <c r="G35" s="281"/>
      <c r="H35" s="282" t="s">
        <v>22</v>
      </c>
      <c r="I35" s="283"/>
      <c r="J35" s="284" t="s">
        <v>638</v>
      </c>
      <c r="K35" s="284"/>
      <c r="L35" s="285"/>
      <c r="M35" s="282" t="s">
        <v>22</v>
      </c>
      <c r="N35" s="283"/>
      <c r="O35" s="286"/>
      <c r="P35" s="286"/>
      <c r="Q35" s="287"/>
      <c r="R35" s="282"/>
      <c r="S35" s="283"/>
      <c r="T35" s="284"/>
      <c r="U35" s="285"/>
      <c r="V35" s="288"/>
      <c r="W35" s="283"/>
      <c r="X35" s="232"/>
      <c r="Y35" s="241" t="s">
        <v>394</v>
      </c>
      <c r="Z35" s="241"/>
      <c r="AA35" s="241" t="s">
        <v>420</v>
      </c>
      <c r="AB35" s="259" t="s">
        <v>429</v>
      </c>
      <c r="AC35" s="289" t="s">
        <v>208</v>
      </c>
      <c r="AD35" s="289"/>
      <c r="AE35" s="289"/>
      <c r="AF35" s="290"/>
      <c r="AG35" s="290" t="s">
        <v>609</v>
      </c>
      <c r="AH35" s="290"/>
      <c r="AI35" s="290"/>
      <c r="AJ35" s="291">
        <v>33</v>
      </c>
    </row>
    <row r="36" spans="1:36" ht="94.15" customHeight="1" thickBot="1">
      <c r="A36" s="241" t="s">
        <v>111</v>
      </c>
      <c r="B36" s="268" t="s">
        <v>288</v>
      </c>
      <c r="C36" s="250" t="s">
        <v>289</v>
      </c>
      <c r="D36" s="251" t="s">
        <v>552</v>
      </c>
      <c r="E36" s="258" t="s">
        <v>290</v>
      </c>
      <c r="F36" s="281"/>
      <c r="G36" s="281"/>
      <c r="H36" s="282" t="s">
        <v>35</v>
      </c>
      <c r="I36" s="283"/>
      <c r="J36" s="285" t="s">
        <v>657</v>
      </c>
      <c r="K36" s="284"/>
      <c r="L36" s="285"/>
      <c r="M36" s="282" t="s">
        <v>22</v>
      </c>
      <c r="N36" s="283"/>
      <c r="O36" s="286"/>
      <c r="P36" s="286"/>
      <c r="Q36" s="287"/>
      <c r="R36" s="282"/>
      <c r="S36" s="283"/>
      <c r="T36" s="284"/>
      <c r="U36" s="285"/>
      <c r="V36" s="288"/>
      <c r="W36" s="283"/>
      <c r="X36" s="232"/>
      <c r="Y36" s="241" t="s">
        <v>390</v>
      </c>
      <c r="Z36" s="241" t="s">
        <v>396</v>
      </c>
      <c r="AA36" s="241" t="s">
        <v>421</v>
      </c>
      <c r="AB36" s="261" t="s">
        <v>209</v>
      </c>
      <c r="AC36" s="289" t="s">
        <v>590</v>
      </c>
      <c r="AD36" s="289"/>
      <c r="AE36" s="289"/>
      <c r="AF36" s="290"/>
      <c r="AG36" s="290" t="s">
        <v>609</v>
      </c>
      <c r="AH36" s="290"/>
      <c r="AI36" s="290"/>
      <c r="AJ36" s="291">
        <v>34</v>
      </c>
    </row>
    <row r="37" spans="1:36" ht="148.9" customHeight="1" thickBot="1">
      <c r="A37" s="241" t="s">
        <v>111</v>
      </c>
      <c r="B37" s="268" t="s">
        <v>291</v>
      </c>
      <c r="C37" s="250" t="s">
        <v>289</v>
      </c>
      <c r="D37" s="251" t="s">
        <v>292</v>
      </c>
      <c r="E37" s="258">
        <v>45352</v>
      </c>
      <c r="F37" s="281"/>
      <c r="G37" s="281"/>
      <c r="H37" s="282" t="s">
        <v>35</v>
      </c>
      <c r="I37" s="283"/>
      <c r="J37" s="296" t="s">
        <v>656</v>
      </c>
      <c r="K37" s="284"/>
      <c r="L37" s="285"/>
      <c r="M37" s="282" t="s">
        <v>31</v>
      </c>
      <c r="N37" s="283"/>
      <c r="O37" s="286"/>
      <c r="P37" s="286"/>
      <c r="Q37" s="287"/>
      <c r="R37" s="282"/>
      <c r="S37" s="283"/>
      <c r="T37" s="284"/>
      <c r="U37" s="285"/>
      <c r="V37" s="288"/>
      <c r="W37" s="283"/>
      <c r="X37" s="233"/>
      <c r="Y37" s="241" t="s">
        <v>390</v>
      </c>
      <c r="Z37" s="241" t="s">
        <v>396</v>
      </c>
      <c r="AA37" s="241" t="s">
        <v>421</v>
      </c>
      <c r="AB37" s="261" t="s">
        <v>209</v>
      </c>
      <c r="AC37" s="289" t="s">
        <v>590</v>
      </c>
      <c r="AD37" s="289"/>
      <c r="AE37" s="289"/>
      <c r="AF37" s="290"/>
      <c r="AG37" s="290" t="s">
        <v>609</v>
      </c>
      <c r="AH37" s="290"/>
      <c r="AI37" s="290"/>
      <c r="AJ37" s="291">
        <v>35</v>
      </c>
    </row>
    <row r="38" spans="1:36" ht="73.150000000000006" customHeight="1" thickBot="1">
      <c r="A38" s="241" t="s">
        <v>111</v>
      </c>
      <c r="B38" s="268" t="s">
        <v>293</v>
      </c>
      <c r="C38" s="250" t="s">
        <v>289</v>
      </c>
      <c r="D38" s="251" t="s">
        <v>294</v>
      </c>
      <c r="E38" s="252">
        <v>45108</v>
      </c>
      <c r="F38" s="281" t="s">
        <v>566</v>
      </c>
      <c r="G38" s="281"/>
      <c r="H38" s="282" t="s">
        <v>31</v>
      </c>
      <c r="I38" s="302" t="s">
        <v>565</v>
      </c>
      <c r="J38" s="284"/>
      <c r="K38" s="284"/>
      <c r="L38" s="285"/>
      <c r="M38" s="282" t="s">
        <v>22</v>
      </c>
      <c r="N38" s="283"/>
      <c r="O38" s="286"/>
      <c r="P38" s="286"/>
      <c r="Q38" s="287"/>
      <c r="R38" s="282"/>
      <c r="S38" s="283"/>
      <c r="T38" s="284"/>
      <c r="U38" s="285"/>
      <c r="V38" s="288"/>
      <c r="W38" s="283"/>
      <c r="X38" s="233"/>
      <c r="Y38" s="241" t="s">
        <v>390</v>
      </c>
      <c r="Z38" s="241" t="s">
        <v>396</v>
      </c>
      <c r="AA38" s="241" t="s">
        <v>421</v>
      </c>
      <c r="AB38" s="261" t="s">
        <v>209</v>
      </c>
      <c r="AC38" s="289" t="s">
        <v>590</v>
      </c>
      <c r="AD38" s="289"/>
      <c r="AE38" s="289"/>
      <c r="AF38" s="290"/>
      <c r="AG38" s="290" t="s">
        <v>609</v>
      </c>
      <c r="AH38" s="290"/>
      <c r="AI38" s="290"/>
      <c r="AJ38" s="291">
        <v>36</v>
      </c>
    </row>
    <row r="39" spans="1:36" ht="73.150000000000006" customHeight="1" thickBot="1">
      <c r="A39" s="241" t="s">
        <v>108</v>
      </c>
      <c r="B39" s="268" t="s">
        <v>295</v>
      </c>
      <c r="C39" s="250" t="s">
        <v>296</v>
      </c>
      <c r="D39" s="251" t="s">
        <v>297</v>
      </c>
      <c r="E39" s="252">
        <v>45170</v>
      </c>
      <c r="F39" s="281" t="s">
        <v>515</v>
      </c>
      <c r="G39" s="281"/>
      <c r="H39" s="282" t="s">
        <v>31</v>
      </c>
      <c r="I39" s="283"/>
      <c r="J39" s="284" t="s">
        <v>634</v>
      </c>
      <c r="K39" s="284"/>
      <c r="L39" s="285"/>
      <c r="M39" s="282" t="s">
        <v>31</v>
      </c>
      <c r="N39" s="295"/>
      <c r="O39" s="286"/>
      <c r="P39" s="286"/>
      <c r="Q39" s="287"/>
      <c r="R39" s="282"/>
      <c r="S39" s="283"/>
      <c r="T39" s="284"/>
      <c r="U39" s="285"/>
      <c r="V39" s="288"/>
      <c r="W39" s="283"/>
      <c r="X39" s="233"/>
      <c r="Y39" s="241" t="s">
        <v>394</v>
      </c>
      <c r="Z39" s="241" t="s">
        <v>410</v>
      </c>
      <c r="AA39" s="241" t="s">
        <v>421</v>
      </c>
      <c r="AB39" s="261" t="s">
        <v>209</v>
      </c>
      <c r="AC39" s="289" t="s">
        <v>483</v>
      </c>
      <c r="AD39" s="289"/>
      <c r="AE39" s="289"/>
      <c r="AF39" s="290" t="s">
        <v>609</v>
      </c>
      <c r="AG39" s="290"/>
      <c r="AH39" s="290"/>
      <c r="AI39" s="290"/>
      <c r="AJ39" s="291">
        <v>37</v>
      </c>
    </row>
    <row r="40" spans="1:36" ht="73.150000000000006" customHeight="1" thickBot="1">
      <c r="A40" s="241" t="s">
        <v>106</v>
      </c>
      <c r="B40" s="268" t="s">
        <v>298</v>
      </c>
      <c r="C40" s="250" t="s">
        <v>299</v>
      </c>
      <c r="D40" s="251" t="s">
        <v>300</v>
      </c>
      <c r="E40" s="252">
        <v>45047</v>
      </c>
      <c r="F40" s="281" t="s">
        <v>495</v>
      </c>
      <c r="G40" s="281"/>
      <c r="H40" s="282" t="s">
        <v>22</v>
      </c>
      <c r="I40" s="283"/>
      <c r="J40" s="284" t="s">
        <v>638</v>
      </c>
      <c r="K40" s="284"/>
      <c r="L40" s="285"/>
      <c r="M40" s="282" t="s">
        <v>22</v>
      </c>
      <c r="N40" s="283"/>
      <c r="O40" s="286"/>
      <c r="P40" s="286"/>
      <c r="Q40" s="287"/>
      <c r="R40" s="282"/>
      <c r="S40" s="283"/>
      <c r="T40" s="284"/>
      <c r="U40" s="285"/>
      <c r="V40" s="288"/>
      <c r="W40" s="283"/>
      <c r="X40" s="232"/>
      <c r="Y40" s="241" t="s">
        <v>403</v>
      </c>
      <c r="Z40" s="241" t="s">
        <v>393</v>
      </c>
      <c r="AA40" s="241" t="s">
        <v>421</v>
      </c>
      <c r="AB40" s="259" t="s">
        <v>429</v>
      </c>
      <c r="AC40" s="289" t="s">
        <v>590</v>
      </c>
      <c r="AD40" s="289"/>
      <c r="AE40" s="289"/>
      <c r="AF40" s="290"/>
      <c r="AG40" s="290" t="s">
        <v>609</v>
      </c>
      <c r="AH40" s="290"/>
      <c r="AI40" s="290"/>
      <c r="AJ40" s="291">
        <v>38</v>
      </c>
    </row>
    <row r="41" spans="1:36" ht="200.45" customHeight="1" thickBot="1">
      <c r="A41" s="241" t="s">
        <v>108</v>
      </c>
      <c r="B41" s="268" t="s">
        <v>301</v>
      </c>
      <c r="C41" s="250" t="s">
        <v>167</v>
      </c>
      <c r="D41" s="251" t="s">
        <v>168</v>
      </c>
      <c r="E41" s="258">
        <v>45108</v>
      </c>
      <c r="F41" s="281" t="s">
        <v>516</v>
      </c>
      <c r="G41" s="281"/>
      <c r="H41" s="282" t="s">
        <v>32</v>
      </c>
      <c r="I41" s="283" t="s">
        <v>583</v>
      </c>
      <c r="J41" s="284" t="s">
        <v>685</v>
      </c>
      <c r="K41" s="284"/>
      <c r="L41" s="285"/>
      <c r="M41" s="282" t="s">
        <v>26</v>
      </c>
      <c r="N41" s="283"/>
      <c r="O41" s="286"/>
      <c r="P41" s="286"/>
      <c r="Q41" s="287"/>
      <c r="R41" s="282"/>
      <c r="S41" s="283"/>
      <c r="T41" s="284"/>
      <c r="U41" s="285"/>
      <c r="V41" s="288"/>
      <c r="W41" s="283"/>
      <c r="X41" s="232"/>
      <c r="Y41" s="241" t="s">
        <v>394</v>
      </c>
      <c r="Z41" s="241" t="s">
        <v>411</v>
      </c>
      <c r="AA41" s="241"/>
      <c r="AB41" s="261" t="s">
        <v>209</v>
      </c>
      <c r="AC41" s="289" t="s">
        <v>482</v>
      </c>
      <c r="AD41" s="289"/>
      <c r="AE41" s="289"/>
      <c r="AF41" s="290"/>
      <c r="AG41" s="290"/>
      <c r="AH41" s="290"/>
      <c r="AI41" s="290" t="s">
        <v>609</v>
      </c>
      <c r="AJ41" s="291">
        <v>39</v>
      </c>
    </row>
    <row r="42" spans="1:36" ht="73.150000000000006" customHeight="1" thickBot="1">
      <c r="A42" s="241" t="s">
        <v>109</v>
      </c>
      <c r="B42" s="268" t="s">
        <v>302</v>
      </c>
      <c r="C42" s="250" t="s">
        <v>163</v>
      </c>
      <c r="D42" s="251" t="s">
        <v>164</v>
      </c>
      <c r="E42" s="252">
        <v>45352</v>
      </c>
      <c r="F42" s="281"/>
      <c r="G42" s="281"/>
      <c r="H42" s="282" t="s">
        <v>35</v>
      </c>
      <c r="I42" s="283"/>
      <c r="J42" s="284" t="s">
        <v>699</v>
      </c>
      <c r="K42" s="284"/>
      <c r="L42" s="285"/>
      <c r="M42" s="282" t="s">
        <v>31</v>
      </c>
      <c r="N42" s="283"/>
      <c r="O42" s="286"/>
      <c r="P42" s="286"/>
      <c r="Q42" s="287"/>
      <c r="R42" s="282"/>
      <c r="S42" s="283"/>
      <c r="T42" s="284"/>
      <c r="U42" s="285"/>
      <c r="V42" s="288"/>
      <c r="W42" s="283"/>
      <c r="X42" s="233"/>
      <c r="Y42" s="241" t="s">
        <v>394</v>
      </c>
      <c r="Z42" s="241" t="s">
        <v>399</v>
      </c>
      <c r="AA42" s="241"/>
      <c r="AB42" s="261" t="s">
        <v>209</v>
      </c>
      <c r="AC42" s="289" t="s">
        <v>483</v>
      </c>
      <c r="AD42" s="289" t="s">
        <v>590</v>
      </c>
      <c r="AE42" s="289"/>
      <c r="AF42" s="290" t="s">
        <v>609</v>
      </c>
      <c r="AG42" s="290" t="s">
        <v>609</v>
      </c>
      <c r="AH42" s="290"/>
      <c r="AI42" s="290"/>
      <c r="AJ42" s="291">
        <v>40</v>
      </c>
    </row>
    <row r="43" spans="1:36" ht="73.150000000000006" customHeight="1" thickBot="1">
      <c r="A43" s="241" t="s">
        <v>105</v>
      </c>
      <c r="B43" s="268" t="s">
        <v>303</v>
      </c>
      <c r="C43" s="250" t="s">
        <v>304</v>
      </c>
      <c r="D43" s="251" t="s">
        <v>139</v>
      </c>
      <c r="E43" s="252">
        <v>45108</v>
      </c>
      <c r="F43" s="281" t="s">
        <v>579</v>
      </c>
      <c r="G43" s="281"/>
      <c r="H43" s="282" t="s">
        <v>22</v>
      </c>
      <c r="I43" s="283"/>
      <c r="J43" s="284" t="s">
        <v>687</v>
      </c>
      <c r="K43" s="284"/>
      <c r="L43" s="285"/>
      <c r="M43" s="282" t="s">
        <v>22</v>
      </c>
      <c r="N43" s="283"/>
      <c r="O43" s="286"/>
      <c r="P43" s="286"/>
      <c r="Q43" s="287"/>
      <c r="R43" s="282"/>
      <c r="S43" s="283"/>
      <c r="T43" s="284"/>
      <c r="U43" s="285"/>
      <c r="V43" s="288"/>
      <c r="W43" s="283"/>
      <c r="X43" s="232"/>
      <c r="Y43" s="241" t="s">
        <v>395</v>
      </c>
      <c r="Z43" s="241" t="s">
        <v>412</v>
      </c>
      <c r="AA43" s="241"/>
      <c r="AB43" s="261" t="s">
        <v>209</v>
      </c>
      <c r="AC43" s="313" t="s">
        <v>208</v>
      </c>
      <c r="AD43" s="289"/>
      <c r="AE43" s="289"/>
      <c r="AF43" s="290"/>
      <c r="AG43" s="290"/>
      <c r="AH43" s="290" t="s">
        <v>609</v>
      </c>
      <c r="AI43" s="290"/>
      <c r="AJ43" s="291">
        <v>41</v>
      </c>
    </row>
    <row r="44" spans="1:36" ht="73.150000000000006" customHeight="1" thickBot="1">
      <c r="A44" s="241" t="s">
        <v>105</v>
      </c>
      <c r="B44" s="268" t="s">
        <v>305</v>
      </c>
      <c r="C44" s="250" t="s">
        <v>304</v>
      </c>
      <c r="D44" s="251" t="s">
        <v>306</v>
      </c>
      <c r="E44" s="252">
        <v>45352</v>
      </c>
      <c r="F44" s="281" t="s">
        <v>572</v>
      </c>
      <c r="G44" s="281"/>
      <c r="H44" s="282" t="s">
        <v>31</v>
      </c>
      <c r="I44" s="283"/>
      <c r="J44" s="284" t="s">
        <v>686</v>
      </c>
      <c r="K44" s="284"/>
      <c r="L44" s="285"/>
      <c r="M44" s="282" t="s">
        <v>22</v>
      </c>
      <c r="N44" s="283"/>
      <c r="O44" s="286"/>
      <c r="P44" s="286"/>
      <c r="Q44" s="287"/>
      <c r="R44" s="282"/>
      <c r="S44" s="283"/>
      <c r="T44" s="284"/>
      <c r="U44" s="285"/>
      <c r="V44" s="288"/>
      <c r="W44" s="283"/>
      <c r="X44" s="233"/>
      <c r="Y44" s="241" t="s">
        <v>395</v>
      </c>
      <c r="Z44" s="241" t="s">
        <v>412</v>
      </c>
      <c r="AA44" s="241"/>
      <c r="AB44" s="261" t="s">
        <v>209</v>
      </c>
      <c r="AC44" s="289" t="s">
        <v>208</v>
      </c>
      <c r="AD44" s="289"/>
      <c r="AE44" s="289"/>
      <c r="AF44" s="290"/>
      <c r="AG44" s="290"/>
      <c r="AH44" s="290" t="s">
        <v>609</v>
      </c>
      <c r="AI44" s="290"/>
      <c r="AJ44" s="291">
        <v>42</v>
      </c>
    </row>
    <row r="45" spans="1:36" ht="109.15" customHeight="1" thickBot="1">
      <c r="A45" s="241" t="s">
        <v>105</v>
      </c>
      <c r="B45" s="268" t="s">
        <v>307</v>
      </c>
      <c r="C45" s="250" t="s">
        <v>304</v>
      </c>
      <c r="D45" s="251" t="s">
        <v>138</v>
      </c>
      <c r="E45" s="252">
        <v>45078</v>
      </c>
      <c r="F45" s="281" t="s">
        <v>573</v>
      </c>
      <c r="G45" s="317"/>
      <c r="H45" s="282" t="s">
        <v>22</v>
      </c>
      <c r="I45" s="283"/>
      <c r="J45" s="343" t="s">
        <v>687</v>
      </c>
      <c r="K45" s="285"/>
      <c r="L45" s="285"/>
      <c r="M45" s="282" t="s">
        <v>22</v>
      </c>
      <c r="N45" s="302"/>
      <c r="O45" s="286"/>
      <c r="P45" s="286"/>
      <c r="Q45" s="281"/>
      <c r="R45" s="282"/>
      <c r="S45" s="283"/>
      <c r="T45" s="315"/>
      <c r="U45" s="316"/>
      <c r="V45" s="288"/>
      <c r="W45" s="302"/>
      <c r="X45" s="233"/>
      <c r="Y45" s="241" t="s">
        <v>395</v>
      </c>
      <c r="Z45" s="241" t="s">
        <v>412</v>
      </c>
      <c r="AA45" s="241"/>
      <c r="AB45" s="261" t="s">
        <v>209</v>
      </c>
      <c r="AC45" s="289" t="s">
        <v>208</v>
      </c>
      <c r="AD45" s="289"/>
      <c r="AE45" s="289"/>
      <c r="AF45" s="290"/>
      <c r="AG45" s="290"/>
      <c r="AH45" s="290" t="s">
        <v>609</v>
      </c>
      <c r="AI45" s="290"/>
      <c r="AJ45" s="291">
        <v>43</v>
      </c>
    </row>
    <row r="46" spans="1:36" ht="96" customHeight="1" thickBot="1">
      <c r="A46" s="241" t="s">
        <v>109</v>
      </c>
      <c r="B46" s="268" t="s">
        <v>308</v>
      </c>
      <c r="C46" s="250" t="s">
        <v>304</v>
      </c>
      <c r="D46" s="251" t="s">
        <v>165</v>
      </c>
      <c r="E46" s="252">
        <v>45170</v>
      </c>
      <c r="F46" s="281" t="s">
        <v>543</v>
      </c>
      <c r="G46" s="281"/>
      <c r="H46" s="282" t="s">
        <v>31</v>
      </c>
      <c r="I46" s="283"/>
      <c r="J46" s="299" t="s">
        <v>642</v>
      </c>
      <c r="K46" s="298"/>
      <c r="L46" s="298"/>
      <c r="M46" s="282" t="s">
        <v>22</v>
      </c>
      <c r="N46" s="283"/>
      <c r="O46" s="299"/>
      <c r="P46" s="297"/>
      <c r="Q46" s="298"/>
      <c r="R46" s="282"/>
      <c r="S46" s="283"/>
      <c r="T46" s="300"/>
      <c r="U46" s="301"/>
      <c r="V46" s="288"/>
      <c r="W46" s="302"/>
      <c r="X46" s="233"/>
      <c r="Y46" s="241" t="s">
        <v>394</v>
      </c>
      <c r="Z46" s="241" t="s">
        <v>399</v>
      </c>
      <c r="AA46" s="241"/>
      <c r="AB46" s="261" t="s">
        <v>209</v>
      </c>
      <c r="AC46" s="289" t="s">
        <v>590</v>
      </c>
      <c r="AD46" s="289"/>
      <c r="AE46" s="289"/>
      <c r="AF46" s="290"/>
      <c r="AG46" s="290" t="s">
        <v>609</v>
      </c>
      <c r="AH46" s="290"/>
      <c r="AI46" s="290"/>
      <c r="AJ46" s="291">
        <v>44</v>
      </c>
    </row>
    <row r="47" spans="1:36" ht="73.150000000000006" customHeight="1" thickBot="1">
      <c r="A47" s="241" t="s">
        <v>111</v>
      </c>
      <c r="B47" s="268" t="s">
        <v>309</v>
      </c>
      <c r="C47" s="250" t="s">
        <v>8</v>
      </c>
      <c r="D47" s="251" t="s">
        <v>166</v>
      </c>
      <c r="E47" s="252">
        <v>45261</v>
      </c>
      <c r="F47" s="281" t="s">
        <v>553</v>
      </c>
      <c r="G47" s="281"/>
      <c r="H47" s="282" t="s">
        <v>31</v>
      </c>
      <c r="I47" s="283"/>
      <c r="J47" s="344" t="s">
        <v>658</v>
      </c>
      <c r="K47" s="298"/>
      <c r="L47" s="298"/>
      <c r="M47" s="282" t="s">
        <v>31</v>
      </c>
      <c r="N47" s="283"/>
      <c r="O47" s="299"/>
      <c r="P47" s="332"/>
      <c r="Q47" s="333"/>
      <c r="R47" s="282"/>
      <c r="S47" s="283"/>
      <c r="T47" s="300"/>
      <c r="U47" s="301"/>
      <c r="V47" s="288"/>
      <c r="W47" s="302"/>
      <c r="X47" s="233"/>
      <c r="Y47" s="241" t="s">
        <v>390</v>
      </c>
      <c r="Z47" s="241" t="s">
        <v>396</v>
      </c>
      <c r="AA47" s="241"/>
      <c r="AB47" s="261" t="s">
        <v>209</v>
      </c>
      <c r="AC47" s="289" t="s">
        <v>208</v>
      </c>
      <c r="AD47" s="289" t="s">
        <v>590</v>
      </c>
      <c r="AE47" s="289"/>
      <c r="AF47" s="290"/>
      <c r="AG47" s="290" t="s">
        <v>609</v>
      </c>
      <c r="AH47" s="290" t="s">
        <v>609</v>
      </c>
      <c r="AI47" s="290"/>
      <c r="AJ47" s="291">
        <v>45</v>
      </c>
    </row>
    <row r="48" spans="1:36" ht="73.150000000000006" customHeight="1" thickBot="1">
      <c r="A48" s="241" t="s">
        <v>111</v>
      </c>
      <c r="B48" s="268" t="s">
        <v>310</v>
      </c>
      <c r="C48" s="250" t="s">
        <v>140</v>
      </c>
      <c r="D48" s="251" t="s">
        <v>98</v>
      </c>
      <c r="E48" s="252">
        <v>45231</v>
      </c>
      <c r="F48" s="281" t="s">
        <v>554</v>
      </c>
      <c r="G48" s="281"/>
      <c r="H48" s="282" t="s">
        <v>31</v>
      </c>
      <c r="I48" s="283"/>
      <c r="J48" s="344"/>
      <c r="K48" s="298"/>
      <c r="L48" s="298"/>
      <c r="M48" s="282" t="s">
        <v>31</v>
      </c>
      <c r="N48" s="283"/>
      <c r="O48" s="303"/>
      <c r="P48" s="297"/>
      <c r="Q48" s="298"/>
      <c r="R48" s="282"/>
      <c r="S48" s="295"/>
      <c r="T48" s="300"/>
      <c r="U48" s="301"/>
      <c r="V48" s="288"/>
      <c r="W48" s="295"/>
      <c r="X48" s="233"/>
      <c r="Y48" s="241" t="s">
        <v>390</v>
      </c>
      <c r="Z48" s="241" t="s">
        <v>396</v>
      </c>
      <c r="AA48" s="241"/>
      <c r="AB48" s="261" t="s">
        <v>209</v>
      </c>
      <c r="AC48" s="313" t="s">
        <v>482</v>
      </c>
      <c r="AD48" s="289" t="s">
        <v>208</v>
      </c>
      <c r="AE48" s="289"/>
      <c r="AF48" s="290"/>
      <c r="AG48" s="290"/>
      <c r="AH48" s="290" t="s">
        <v>609</v>
      </c>
      <c r="AI48" s="290" t="s">
        <v>609</v>
      </c>
      <c r="AJ48" s="291">
        <v>46</v>
      </c>
    </row>
    <row r="49" spans="1:36" ht="73.150000000000006" customHeight="1" thickBot="1">
      <c r="A49" s="241" t="s">
        <v>111</v>
      </c>
      <c r="B49" s="268" t="s">
        <v>311</v>
      </c>
      <c r="C49" s="250" t="s">
        <v>140</v>
      </c>
      <c r="D49" s="251" t="s">
        <v>99</v>
      </c>
      <c r="E49" s="252">
        <v>45323</v>
      </c>
      <c r="F49" s="281"/>
      <c r="G49" s="281"/>
      <c r="H49" s="282" t="s">
        <v>35</v>
      </c>
      <c r="I49" s="283"/>
      <c r="J49" s="304"/>
      <c r="K49" s="342"/>
      <c r="L49" s="342"/>
      <c r="M49" s="282" t="s">
        <v>35</v>
      </c>
      <c r="N49" s="283"/>
      <c r="O49" s="306"/>
      <c r="P49" s="286"/>
      <c r="Q49" s="287"/>
      <c r="R49" s="282"/>
      <c r="S49" s="283"/>
      <c r="T49" s="307"/>
      <c r="U49" s="308"/>
      <c r="V49" s="288"/>
      <c r="W49" s="283"/>
      <c r="X49" s="232"/>
      <c r="Y49" s="241" t="s">
        <v>390</v>
      </c>
      <c r="Z49" s="241" t="s">
        <v>396</v>
      </c>
      <c r="AA49" s="241"/>
      <c r="AB49" s="261" t="s">
        <v>209</v>
      </c>
      <c r="AC49" s="289" t="s">
        <v>208</v>
      </c>
      <c r="AD49" s="289" t="s">
        <v>482</v>
      </c>
      <c r="AE49" s="289"/>
      <c r="AF49" s="290"/>
      <c r="AG49" s="290"/>
      <c r="AH49" s="290" t="s">
        <v>609</v>
      </c>
      <c r="AI49" s="290" t="s">
        <v>609</v>
      </c>
      <c r="AJ49" s="291">
        <v>47</v>
      </c>
    </row>
    <row r="50" spans="1:36" ht="103.15" customHeight="1" thickBot="1">
      <c r="A50" s="241" t="s">
        <v>111</v>
      </c>
      <c r="B50" s="268" t="s">
        <v>312</v>
      </c>
      <c r="C50" s="250" t="s">
        <v>8</v>
      </c>
      <c r="D50" s="251" t="s">
        <v>80</v>
      </c>
      <c r="E50" s="252" t="s">
        <v>141</v>
      </c>
      <c r="F50" s="281" t="s">
        <v>546</v>
      </c>
      <c r="G50" s="281" t="s">
        <v>547</v>
      </c>
      <c r="H50" s="282" t="s">
        <v>31</v>
      </c>
      <c r="I50" s="283"/>
      <c r="J50" s="284" t="s">
        <v>667</v>
      </c>
      <c r="K50" s="284" t="s">
        <v>668</v>
      </c>
      <c r="L50" s="285" t="s">
        <v>547</v>
      </c>
      <c r="M50" s="282" t="s">
        <v>31</v>
      </c>
      <c r="N50" s="283"/>
      <c r="O50" s="286"/>
      <c r="P50" s="286"/>
      <c r="Q50" s="287"/>
      <c r="R50" s="282"/>
      <c r="S50" s="283"/>
      <c r="T50" s="284"/>
      <c r="U50" s="285"/>
      <c r="V50" s="288"/>
      <c r="W50" s="283"/>
      <c r="X50" s="233"/>
      <c r="Y50" s="241" t="s">
        <v>390</v>
      </c>
      <c r="Z50" s="241" t="s">
        <v>396</v>
      </c>
      <c r="AA50" s="241"/>
      <c r="AB50" s="261" t="s">
        <v>209</v>
      </c>
      <c r="AC50" s="289" t="s">
        <v>590</v>
      </c>
      <c r="AD50" s="289" t="s">
        <v>482</v>
      </c>
      <c r="AE50" s="289"/>
      <c r="AF50" s="290"/>
      <c r="AG50" s="290" t="s">
        <v>609</v>
      </c>
      <c r="AH50" s="290"/>
      <c r="AI50" s="290" t="s">
        <v>609</v>
      </c>
      <c r="AJ50" s="291">
        <v>48</v>
      </c>
    </row>
    <row r="51" spans="1:36" ht="73.150000000000006" customHeight="1" thickBot="1">
      <c r="A51" s="241" t="s">
        <v>111</v>
      </c>
      <c r="B51" s="268" t="s">
        <v>313</v>
      </c>
      <c r="C51" s="250" t="s">
        <v>8</v>
      </c>
      <c r="D51" s="251" t="s">
        <v>90</v>
      </c>
      <c r="E51" s="252" t="s">
        <v>141</v>
      </c>
      <c r="F51" s="281" t="s">
        <v>550</v>
      </c>
      <c r="G51" s="281" t="s">
        <v>549</v>
      </c>
      <c r="H51" s="282" t="s">
        <v>31</v>
      </c>
      <c r="I51" s="283" t="s">
        <v>548</v>
      </c>
      <c r="J51" s="284" t="s">
        <v>669</v>
      </c>
      <c r="K51" s="285" t="s">
        <v>670</v>
      </c>
      <c r="L51" s="285" t="s">
        <v>671</v>
      </c>
      <c r="M51" s="282" t="s">
        <v>31</v>
      </c>
      <c r="N51" s="283"/>
      <c r="O51" s="286"/>
      <c r="P51" s="286"/>
      <c r="Q51" s="287"/>
      <c r="R51" s="282"/>
      <c r="S51" s="283"/>
      <c r="T51" s="284"/>
      <c r="U51" s="285"/>
      <c r="V51" s="288"/>
      <c r="W51" s="283"/>
      <c r="X51" s="233"/>
      <c r="Y51" s="241" t="s">
        <v>390</v>
      </c>
      <c r="Z51" s="241" t="s">
        <v>396</v>
      </c>
      <c r="AA51" s="241"/>
      <c r="AB51" s="261" t="s">
        <v>209</v>
      </c>
      <c r="AC51" s="289" t="s">
        <v>590</v>
      </c>
      <c r="AD51" s="289" t="s">
        <v>482</v>
      </c>
      <c r="AE51" s="289"/>
      <c r="AF51" s="290"/>
      <c r="AG51" s="290" t="s">
        <v>609</v>
      </c>
      <c r="AH51" s="290"/>
      <c r="AI51" s="290" t="s">
        <v>609</v>
      </c>
      <c r="AJ51" s="291">
        <v>49</v>
      </c>
    </row>
    <row r="52" spans="1:36" ht="86.45" customHeight="1" thickBot="1">
      <c r="A52" s="241" t="s">
        <v>109</v>
      </c>
      <c r="B52" s="268" t="s">
        <v>314</v>
      </c>
      <c r="C52" s="250" t="s">
        <v>169</v>
      </c>
      <c r="D52" s="251" t="s">
        <v>206</v>
      </c>
      <c r="E52" s="252" t="s">
        <v>141</v>
      </c>
      <c r="F52" s="310"/>
      <c r="G52" s="281"/>
      <c r="H52" s="282" t="s">
        <v>35</v>
      </c>
      <c r="I52" s="312"/>
      <c r="J52" s="284" t="s">
        <v>700</v>
      </c>
      <c r="K52" s="284"/>
      <c r="L52" s="285"/>
      <c r="M52" s="282" t="s">
        <v>31</v>
      </c>
      <c r="N52" s="283"/>
      <c r="O52" s="286"/>
      <c r="P52" s="286"/>
      <c r="Q52" s="287"/>
      <c r="R52" s="282"/>
      <c r="S52" s="283"/>
      <c r="T52" s="284"/>
      <c r="U52" s="285"/>
      <c r="V52" s="288"/>
      <c r="W52" s="283"/>
      <c r="X52" s="232"/>
      <c r="Y52" s="241" t="s">
        <v>394</v>
      </c>
      <c r="Z52" s="241" t="s">
        <v>399</v>
      </c>
      <c r="AA52" s="241"/>
      <c r="AB52" s="261" t="s">
        <v>209</v>
      </c>
      <c r="AC52" s="289" t="s">
        <v>590</v>
      </c>
      <c r="AD52" s="289" t="s">
        <v>482</v>
      </c>
      <c r="AE52" s="289"/>
      <c r="AF52" s="290"/>
      <c r="AG52" s="290" t="s">
        <v>609</v>
      </c>
      <c r="AH52" s="290"/>
      <c r="AI52" s="290" t="s">
        <v>609</v>
      </c>
      <c r="AJ52" s="291">
        <v>50</v>
      </c>
    </row>
    <row r="53" spans="1:36" ht="73.150000000000006" customHeight="1" thickBot="1">
      <c r="A53" s="241" t="s">
        <v>109</v>
      </c>
      <c r="B53" s="268" t="s">
        <v>315</v>
      </c>
      <c r="C53" s="250" t="s">
        <v>95</v>
      </c>
      <c r="D53" s="251" t="s">
        <v>159</v>
      </c>
      <c r="E53" s="252">
        <v>45139</v>
      </c>
      <c r="F53" s="281" t="s">
        <v>586</v>
      </c>
      <c r="G53" s="281"/>
      <c r="H53" s="282" t="s">
        <v>31</v>
      </c>
      <c r="I53" s="283"/>
      <c r="J53" s="284" t="s">
        <v>701</v>
      </c>
      <c r="K53" s="284"/>
      <c r="L53" s="285"/>
      <c r="M53" s="282" t="s">
        <v>22</v>
      </c>
      <c r="N53" s="283"/>
      <c r="O53" s="326"/>
      <c r="P53" s="286"/>
      <c r="Q53" s="287"/>
      <c r="R53" s="282"/>
      <c r="S53" s="283"/>
      <c r="T53" s="284"/>
      <c r="U53" s="285"/>
      <c r="V53" s="288"/>
      <c r="W53" s="283"/>
      <c r="X53" s="232"/>
      <c r="Y53" s="241" t="s">
        <v>394</v>
      </c>
      <c r="Z53" s="241" t="s">
        <v>399</v>
      </c>
      <c r="AA53" s="241"/>
      <c r="AB53" s="255" t="s">
        <v>116</v>
      </c>
      <c r="AC53" s="289" t="s">
        <v>483</v>
      </c>
      <c r="AD53" s="289"/>
      <c r="AE53" s="289"/>
      <c r="AF53" s="290" t="s">
        <v>609</v>
      </c>
      <c r="AG53" s="290"/>
      <c r="AH53" s="290"/>
      <c r="AI53" s="290"/>
      <c r="AJ53" s="291">
        <v>51</v>
      </c>
    </row>
    <row r="54" spans="1:36" ht="73.150000000000006" customHeight="1" thickBot="1">
      <c r="A54" s="241" t="s">
        <v>109</v>
      </c>
      <c r="B54" s="268" t="s">
        <v>316</v>
      </c>
      <c r="C54" s="250" t="s">
        <v>95</v>
      </c>
      <c r="D54" s="251" t="s">
        <v>161</v>
      </c>
      <c r="E54" s="252">
        <v>45352</v>
      </c>
      <c r="F54" s="281" t="s">
        <v>587</v>
      </c>
      <c r="G54" s="281"/>
      <c r="H54" s="282" t="s">
        <v>31</v>
      </c>
      <c r="I54" s="283"/>
      <c r="J54" s="284" t="s">
        <v>643</v>
      </c>
      <c r="K54" s="284"/>
      <c r="L54" s="285"/>
      <c r="M54" s="282" t="s">
        <v>31</v>
      </c>
      <c r="N54" s="283"/>
      <c r="O54" s="286"/>
      <c r="P54" s="286"/>
      <c r="Q54" s="287"/>
      <c r="R54" s="282"/>
      <c r="S54" s="283"/>
      <c r="T54" s="284"/>
      <c r="U54" s="285"/>
      <c r="V54" s="288"/>
      <c r="W54" s="283"/>
      <c r="X54" s="232"/>
      <c r="Y54" s="241" t="s">
        <v>394</v>
      </c>
      <c r="Z54" s="241" t="s">
        <v>399</v>
      </c>
      <c r="AA54" s="241"/>
      <c r="AB54" s="255" t="s">
        <v>116</v>
      </c>
      <c r="AC54" s="289" t="s">
        <v>483</v>
      </c>
      <c r="AD54" s="289"/>
      <c r="AE54" s="289"/>
      <c r="AF54" s="290" t="s">
        <v>609</v>
      </c>
      <c r="AG54" s="290"/>
      <c r="AH54" s="290"/>
      <c r="AI54" s="290"/>
      <c r="AJ54" s="291">
        <v>52</v>
      </c>
    </row>
    <row r="55" spans="1:36" ht="73.150000000000006" customHeight="1" thickBot="1">
      <c r="A55" s="241" t="s">
        <v>109</v>
      </c>
      <c r="B55" s="268" t="s">
        <v>317</v>
      </c>
      <c r="C55" s="250" t="s">
        <v>95</v>
      </c>
      <c r="D55" s="251" t="s">
        <v>210</v>
      </c>
      <c r="E55" s="252" t="s">
        <v>162</v>
      </c>
      <c r="F55" s="281"/>
      <c r="G55" s="281"/>
      <c r="H55" s="282" t="s">
        <v>35</v>
      </c>
      <c r="I55" s="312"/>
      <c r="J55" s="284" t="s">
        <v>644</v>
      </c>
      <c r="K55" s="284"/>
      <c r="L55" s="285"/>
      <c r="M55" s="282" t="s">
        <v>31</v>
      </c>
      <c r="N55" s="283"/>
      <c r="O55" s="293"/>
      <c r="P55" s="286"/>
      <c r="Q55" s="287"/>
      <c r="R55" s="282"/>
      <c r="S55" s="283"/>
      <c r="T55" s="284"/>
      <c r="U55" s="285"/>
      <c r="V55" s="288"/>
      <c r="W55" s="283"/>
      <c r="X55" s="232"/>
      <c r="Y55" s="241" t="s">
        <v>394</v>
      </c>
      <c r="Z55" s="241" t="s">
        <v>399</v>
      </c>
      <c r="AA55" s="241"/>
      <c r="AB55" s="255" t="s">
        <v>116</v>
      </c>
      <c r="AC55" s="289" t="s">
        <v>483</v>
      </c>
      <c r="AD55" s="289"/>
      <c r="AE55" s="289"/>
      <c r="AF55" s="290" t="s">
        <v>609</v>
      </c>
      <c r="AG55" s="290"/>
      <c r="AH55" s="290"/>
      <c r="AI55" s="290"/>
      <c r="AJ55" s="291">
        <v>53</v>
      </c>
    </row>
    <row r="56" spans="1:36" ht="102" customHeight="1" thickBot="1">
      <c r="A56" s="241" t="s">
        <v>105</v>
      </c>
      <c r="B56" s="268" t="s">
        <v>318</v>
      </c>
      <c r="C56" s="250" t="s">
        <v>95</v>
      </c>
      <c r="D56" s="251" t="s">
        <v>137</v>
      </c>
      <c r="E56" s="252">
        <v>45352</v>
      </c>
      <c r="F56" s="281" t="s">
        <v>574</v>
      </c>
      <c r="G56" s="281"/>
      <c r="H56" s="282" t="s">
        <v>35</v>
      </c>
      <c r="I56" s="283"/>
      <c r="J56" s="294" t="s">
        <v>689</v>
      </c>
      <c r="K56" s="293"/>
      <c r="L56" s="294"/>
      <c r="M56" s="282" t="s">
        <v>31</v>
      </c>
      <c r="N56" s="295"/>
      <c r="O56" s="286"/>
      <c r="P56" s="286"/>
      <c r="Q56" s="287"/>
      <c r="R56" s="282"/>
      <c r="S56" s="295"/>
      <c r="T56" s="293"/>
      <c r="U56" s="294"/>
      <c r="V56" s="288"/>
      <c r="W56" s="295"/>
      <c r="X56" s="233"/>
      <c r="Y56" s="241" t="s">
        <v>395</v>
      </c>
      <c r="Z56" s="241" t="s">
        <v>412</v>
      </c>
      <c r="AA56" s="241"/>
      <c r="AB56" s="255" t="s">
        <v>116</v>
      </c>
      <c r="AC56" s="289" t="s">
        <v>483</v>
      </c>
      <c r="AD56" s="289"/>
      <c r="AE56" s="289"/>
      <c r="AF56" s="290" t="s">
        <v>609</v>
      </c>
      <c r="AG56" s="290"/>
      <c r="AH56" s="290"/>
      <c r="AI56" s="290"/>
      <c r="AJ56" s="291">
        <v>54</v>
      </c>
    </row>
    <row r="57" spans="1:36" ht="73.150000000000006" customHeight="1" thickBot="1">
      <c r="A57" s="241" t="s">
        <v>109</v>
      </c>
      <c r="B57" s="269" t="s">
        <v>319</v>
      </c>
      <c r="C57" s="250" t="s">
        <v>95</v>
      </c>
      <c r="D57" s="251" t="s">
        <v>160</v>
      </c>
      <c r="E57" s="252">
        <v>45231</v>
      </c>
      <c r="F57" s="281" t="s">
        <v>543</v>
      </c>
      <c r="G57" s="281"/>
      <c r="H57" s="282" t="s">
        <v>31</v>
      </c>
      <c r="I57" s="283"/>
      <c r="J57" s="294" t="s">
        <v>645</v>
      </c>
      <c r="K57" s="293"/>
      <c r="L57" s="294"/>
      <c r="M57" s="282" t="s">
        <v>31</v>
      </c>
      <c r="N57" s="295"/>
      <c r="O57" s="286"/>
      <c r="P57" s="286"/>
      <c r="Q57" s="287"/>
      <c r="R57" s="282"/>
      <c r="S57" s="295"/>
      <c r="T57" s="293"/>
      <c r="U57" s="294"/>
      <c r="V57" s="288"/>
      <c r="W57" s="295"/>
      <c r="X57" s="232"/>
      <c r="Y57" s="241" t="s">
        <v>394</v>
      </c>
      <c r="Z57" s="241" t="s">
        <v>399</v>
      </c>
      <c r="AA57" s="241"/>
      <c r="AB57" s="255" t="s">
        <v>116</v>
      </c>
      <c r="AC57" s="289" t="s">
        <v>483</v>
      </c>
      <c r="AD57" s="289"/>
      <c r="AE57" s="289"/>
      <c r="AF57" s="290" t="s">
        <v>609</v>
      </c>
      <c r="AG57" s="290"/>
      <c r="AH57" s="290"/>
      <c r="AI57" s="290"/>
      <c r="AJ57" s="291">
        <v>55</v>
      </c>
    </row>
    <row r="58" spans="1:36" ht="73.150000000000006" customHeight="1" thickBot="1">
      <c r="A58" s="241" t="s">
        <v>105</v>
      </c>
      <c r="B58" s="268" t="s">
        <v>320</v>
      </c>
      <c r="C58" s="250" t="s">
        <v>95</v>
      </c>
      <c r="D58" s="251" t="s">
        <v>156</v>
      </c>
      <c r="E58" s="252">
        <v>45170</v>
      </c>
      <c r="F58" s="281" t="s">
        <v>575</v>
      </c>
      <c r="G58" s="281"/>
      <c r="H58" s="282" t="s">
        <v>35</v>
      </c>
      <c r="I58" s="283"/>
      <c r="J58" s="293" t="s">
        <v>688</v>
      </c>
      <c r="K58" s="293"/>
      <c r="L58" s="294"/>
      <c r="M58" s="282" t="s">
        <v>22</v>
      </c>
      <c r="N58" s="295"/>
      <c r="O58" s="293"/>
      <c r="P58" s="286"/>
      <c r="Q58" s="287"/>
      <c r="R58" s="282"/>
      <c r="S58" s="295"/>
      <c r="T58" s="293"/>
      <c r="U58" s="294"/>
      <c r="V58" s="288"/>
      <c r="W58" s="295"/>
      <c r="X58" s="233"/>
      <c r="Y58" s="241" t="s">
        <v>395</v>
      </c>
      <c r="Z58" s="241" t="s">
        <v>412</v>
      </c>
      <c r="AA58" s="241"/>
      <c r="AB58" s="255" t="s">
        <v>116</v>
      </c>
      <c r="AC58" s="289" t="s">
        <v>483</v>
      </c>
      <c r="AD58" s="289" t="s">
        <v>208</v>
      </c>
      <c r="AE58" s="289"/>
      <c r="AF58" s="290" t="s">
        <v>609</v>
      </c>
      <c r="AG58" s="290"/>
      <c r="AH58" s="290" t="s">
        <v>609</v>
      </c>
      <c r="AI58" s="290"/>
      <c r="AJ58" s="291">
        <v>56</v>
      </c>
    </row>
    <row r="59" spans="1:36" ht="73.150000000000006" customHeight="1" thickBot="1">
      <c r="A59" s="241" t="s">
        <v>105</v>
      </c>
      <c r="B59" s="268" t="s">
        <v>321</v>
      </c>
      <c r="C59" s="250" t="s">
        <v>95</v>
      </c>
      <c r="D59" s="251" t="s">
        <v>157</v>
      </c>
      <c r="E59" s="252">
        <v>45170</v>
      </c>
      <c r="F59" s="281" t="s">
        <v>576</v>
      </c>
      <c r="G59" s="281"/>
      <c r="H59" s="282" t="s">
        <v>22</v>
      </c>
      <c r="I59" s="283"/>
      <c r="J59" s="293" t="s">
        <v>576</v>
      </c>
      <c r="K59" s="284"/>
      <c r="L59" s="285"/>
      <c r="M59" s="282" t="s">
        <v>22</v>
      </c>
      <c r="N59" s="295"/>
      <c r="O59" s="286"/>
      <c r="P59" s="286"/>
      <c r="Q59" s="287"/>
      <c r="R59" s="282"/>
      <c r="S59" s="295"/>
      <c r="T59" s="293"/>
      <c r="U59" s="294"/>
      <c r="V59" s="288"/>
      <c r="W59" s="295"/>
      <c r="X59" s="233"/>
      <c r="Y59" s="241" t="s">
        <v>395</v>
      </c>
      <c r="Z59" s="241" t="s">
        <v>412</v>
      </c>
      <c r="AA59" s="241"/>
      <c r="AB59" s="255" t="s">
        <v>116</v>
      </c>
      <c r="AC59" s="289" t="s">
        <v>483</v>
      </c>
      <c r="AD59" s="289" t="s">
        <v>208</v>
      </c>
      <c r="AE59" s="289"/>
      <c r="AF59" s="290" t="s">
        <v>609</v>
      </c>
      <c r="AG59" s="290"/>
      <c r="AH59" s="290" t="s">
        <v>609</v>
      </c>
      <c r="AI59" s="290"/>
      <c r="AJ59" s="291">
        <v>57</v>
      </c>
    </row>
    <row r="60" spans="1:36" ht="124.9" customHeight="1" thickBot="1">
      <c r="A60" s="241" t="s">
        <v>105</v>
      </c>
      <c r="B60" s="268" t="s">
        <v>322</v>
      </c>
      <c r="C60" s="250" t="s">
        <v>95</v>
      </c>
      <c r="D60" s="251" t="s">
        <v>158</v>
      </c>
      <c r="E60" s="252">
        <v>45200</v>
      </c>
      <c r="F60" s="281" t="s">
        <v>575</v>
      </c>
      <c r="G60" s="281"/>
      <c r="H60" s="282" t="s">
        <v>35</v>
      </c>
      <c r="I60" s="283"/>
      <c r="J60" s="293" t="s">
        <v>690</v>
      </c>
      <c r="K60" s="293"/>
      <c r="L60" s="294"/>
      <c r="M60" s="282" t="s">
        <v>22</v>
      </c>
      <c r="N60" s="295"/>
      <c r="O60" s="286"/>
      <c r="P60" s="286"/>
      <c r="Q60" s="287"/>
      <c r="R60" s="282"/>
      <c r="S60" s="295"/>
      <c r="T60" s="296"/>
      <c r="U60" s="294"/>
      <c r="V60" s="288"/>
      <c r="W60" s="295"/>
      <c r="X60" s="232"/>
      <c r="Y60" s="241" t="s">
        <v>395</v>
      </c>
      <c r="Z60" s="241" t="s">
        <v>412</v>
      </c>
      <c r="AA60" s="241"/>
      <c r="AB60" s="255" t="s">
        <v>116</v>
      </c>
      <c r="AC60" s="289" t="s">
        <v>483</v>
      </c>
      <c r="AD60" s="289"/>
      <c r="AE60" s="289"/>
      <c r="AF60" s="290" t="s">
        <v>609</v>
      </c>
      <c r="AG60" s="290"/>
      <c r="AH60" s="290"/>
      <c r="AI60" s="290"/>
      <c r="AJ60" s="291">
        <v>58</v>
      </c>
    </row>
    <row r="61" spans="1:36" ht="73.150000000000006" customHeight="1" thickBot="1">
      <c r="A61" s="241" t="s">
        <v>105</v>
      </c>
      <c r="B61" s="268" t="s">
        <v>323</v>
      </c>
      <c r="C61" s="250" t="s">
        <v>95</v>
      </c>
      <c r="D61" s="251" t="s">
        <v>182</v>
      </c>
      <c r="E61" s="252">
        <v>45261</v>
      </c>
      <c r="F61" s="281" t="s">
        <v>580</v>
      </c>
      <c r="G61" s="281"/>
      <c r="H61" s="282" t="s">
        <v>31</v>
      </c>
      <c r="I61" s="283"/>
      <c r="J61" s="293" t="s">
        <v>691</v>
      </c>
      <c r="K61" s="293"/>
      <c r="L61" s="294"/>
      <c r="M61" s="282" t="s">
        <v>31</v>
      </c>
      <c r="N61" s="295"/>
      <c r="O61" s="286"/>
      <c r="P61" s="286"/>
      <c r="Q61" s="287"/>
      <c r="R61" s="282"/>
      <c r="S61" s="295"/>
      <c r="T61" s="293"/>
      <c r="U61" s="294"/>
      <c r="V61" s="288"/>
      <c r="W61" s="295"/>
      <c r="X61" s="233"/>
      <c r="Y61" s="241" t="s">
        <v>395</v>
      </c>
      <c r="Z61" s="241" t="s">
        <v>412</v>
      </c>
      <c r="AA61" s="241"/>
      <c r="AB61" s="255" t="s">
        <v>116</v>
      </c>
      <c r="AC61" s="289" t="s">
        <v>483</v>
      </c>
      <c r="AD61" s="289"/>
      <c r="AE61" s="289"/>
      <c r="AF61" s="290" t="s">
        <v>609</v>
      </c>
      <c r="AG61" s="290"/>
      <c r="AH61" s="290"/>
      <c r="AI61" s="290"/>
      <c r="AJ61" s="291">
        <v>59</v>
      </c>
    </row>
    <row r="62" spans="1:36" ht="73.150000000000006" customHeight="1" thickBot="1">
      <c r="A62" s="241" t="s">
        <v>105</v>
      </c>
      <c r="B62" s="268" t="s">
        <v>324</v>
      </c>
      <c r="C62" s="250" t="s">
        <v>134</v>
      </c>
      <c r="D62" s="251" t="s">
        <v>135</v>
      </c>
      <c r="E62" s="252">
        <v>45352</v>
      </c>
      <c r="F62" s="281"/>
      <c r="G62" s="281"/>
      <c r="H62" s="282" t="s">
        <v>35</v>
      </c>
      <c r="I62" s="283"/>
      <c r="J62" s="293"/>
      <c r="K62" s="293"/>
      <c r="L62" s="294"/>
      <c r="M62" s="282" t="s">
        <v>35</v>
      </c>
      <c r="N62" s="295"/>
      <c r="O62" s="286"/>
      <c r="P62" s="286"/>
      <c r="Q62" s="287"/>
      <c r="R62" s="282"/>
      <c r="S62" s="295"/>
      <c r="T62" s="293"/>
      <c r="U62" s="294"/>
      <c r="V62" s="288"/>
      <c r="W62" s="295"/>
      <c r="X62" s="232"/>
      <c r="Y62" s="241" t="s">
        <v>395</v>
      </c>
      <c r="Z62" s="241" t="s">
        <v>412</v>
      </c>
      <c r="AA62" s="241"/>
      <c r="AB62" s="255" t="s">
        <v>116</v>
      </c>
      <c r="AC62" s="289" t="s">
        <v>483</v>
      </c>
      <c r="AD62" s="289"/>
      <c r="AE62" s="289"/>
      <c r="AF62" s="290" t="s">
        <v>609</v>
      </c>
      <c r="AG62" s="290"/>
      <c r="AH62" s="290"/>
      <c r="AI62" s="290"/>
      <c r="AJ62" s="291">
        <v>60</v>
      </c>
    </row>
    <row r="63" spans="1:36" ht="147" customHeight="1" thickBot="1">
      <c r="A63" s="241" t="s">
        <v>105</v>
      </c>
      <c r="B63" s="268" t="s">
        <v>325</v>
      </c>
      <c r="C63" s="250" t="s">
        <v>134</v>
      </c>
      <c r="D63" s="251" t="s">
        <v>136</v>
      </c>
      <c r="E63" s="252">
        <v>45352</v>
      </c>
      <c r="F63" s="281" t="s">
        <v>581</v>
      </c>
      <c r="G63" s="281"/>
      <c r="H63" s="282" t="s">
        <v>31</v>
      </c>
      <c r="I63" s="283"/>
      <c r="J63" s="293" t="s">
        <v>660</v>
      </c>
      <c r="K63" s="293"/>
      <c r="L63" s="294"/>
      <c r="M63" s="282" t="s">
        <v>31</v>
      </c>
      <c r="N63" s="345"/>
      <c r="O63" s="286"/>
      <c r="P63" s="286"/>
      <c r="Q63" s="287"/>
      <c r="R63" s="282"/>
      <c r="S63" s="295"/>
      <c r="T63" s="296"/>
      <c r="U63" s="294"/>
      <c r="V63" s="288"/>
      <c r="W63" s="295"/>
      <c r="X63" s="233"/>
      <c r="Y63" s="241" t="s">
        <v>395</v>
      </c>
      <c r="Z63" s="241" t="s">
        <v>412</v>
      </c>
      <c r="AA63" s="241"/>
      <c r="AB63" s="255" t="s">
        <v>116</v>
      </c>
      <c r="AC63" s="289" t="s">
        <v>483</v>
      </c>
      <c r="AD63" s="289" t="s">
        <v>590</v>
      </c>
      <c r="AE63" s="289"/>
      <c r="AF63" s="290" t="s">
        <v>609</v>
      </c>
      <c r="AG63" s="290" t="s">
        <v>609</v>
      </c>
      <c r="AH63" s="290"/>
      <c r="AI63" s="290"/>
      <c r="AJ63" s="291">
        <v>61</v>
      </c>
    </row>
    <row r="64" spans="1:36" ht="66.599999999999994" customHeight="1" thickBot="1">
      <c r="A64" s="241" t="s">
        <v>105</v>
      </c>
      <c r="B64" s="268" t="s">
        <v>326</v>
      </c>
      <c r="C64" s="250" t="s">
        <v>134</v>
      </c>
      <c r="D64" s="251" t="s">
        <v>181</v>
      </c>
      <c r="E64" s="263" t="s">
        <v>327</v>
      </c>
      <c r="F64" s="281" t="s">
        <v>577</v>
      </c>
      <c r="G64" s="281"/>
      <c r="H64" s="282" t="s">
        <v>31</v>
      </c>
      <c r="I64" s="283"/>
      <c r="J64" s="284" t="s">
        <v>692</v>
      </c>
      <c r="K64" s="305"/>
      <c r="L64" s="342"/>
      <c r="M64" s="282" t="s">
        <v>31</v>
      </c>
      <c r="N64" s="283"/>
      <c r="O64" s="284"/>
      <c r="P64" s="286"/>
      <c r="Q64" s="287"/>
      <c r="R64" s="282"/>
      <c r="S64" s="283"/>
      <c r="T64" s="305"/>
      <c r="U64" s="308"/>
      <c r="V64" s="288"/>
      <c r="W64" s="283"/>
      <c r="X64" s="233"/>
      <c r="Y64" s="241" t="s">
        <v>395</v>
      </c>
      <c r="Z64" s="241" t="s">
        <v>412</v>
      </c>
      <c r="AA64" s="241"/>
      <c r="AB64" s="255" t="s">
        <v>116</v>
      </c>
      <c r="AC64" s="289" t="s">
        <v>482</v>
      </c>
      <c r="AD64" s="289" t="s">
        <v>483</v>
      </c>
      <c r="AE64" s="289"/>
      <c r="AF64" s="290" t="s">
        <v>609</v>
      </c>
      <c r="AG64" s="290"/>
      <c r="AH64" s="290"/>
      <c r="AI64" s="290" t="s">
        <v>609</v>
      </c>
      <c r="AJ64" s="291">
        <v>62</v>
      </c>
    </row>
    <row r="65" spans="1:37" ht="46.9" customHeight="1" thickBot="1">
      <c r="A65" s="241" t="s">
        <v>110</v>
      </c>
      <c r="B65" s="268" t="s">
        <v>463</v>
      </c>
      <c r="C65" s="250" t="s">
        <v>97</v>
      </c>
      <c r="D65" s="251" t="s">
        <v>467</v>
      </c>
      <c r="E65" s="252" t="s">
        <v>141</v>
      </c>
      <c r="F65" s="281" t="s">
        <v>490</v>
      </c>
      <c r="G65" s="281"/>
      <c r="H65" s="282" t="s">
        <v>35</v>
      </c>
      <c r="I65" s="283"/>
      <c r="J65" s="305" t="s">
        <v>616</v>
      </c>
      <c r="K65" s="293"/>
      <c r="L65" s="294"/>
      <c r="M65" s="282" t="s">
        <v>31</v>
      </c>
      <c r="N65" s="295"/>
      <c r="O65" s="286"/>
      <c r="P65" s="286"/>
      <c r="Q65" s="287"/>
      <c r="R65" s="282"/>
      <c r="S65" s="295"/>
      <c r="T65" s="293"/>
      <c r="U65" s="294"/>
      <c r="V65" s="288"/>
      <c r="W65" s="295"/>
      <c r="X65" s="233"/>
      <c r="Y65" s="241" t="s">
        <v>395</v>
      </c>
      <c r="Z65" s="241" t="s">
        <v>407</v>
      </c>
      <c r="AA65" s="241"/>
      <c r="AB65" s="255" t="s">
        <v>116</v>
      </c>
      <c r="AC65" s="289" t="s">
        <v>483</v>
      </c>
      <c r="AD65" s="289"/>
      <c r="AE65" s="289"/>
      <c r="AF65" s="290" t="s">
        <v>609</v>
      </c>
      <c r="AG65" s="290"/>
      <c r="AH65" s="290"/>
      <c r="AI65" s="290"/>
      <c r="AJ65" s="291">
        <v>63</v>
      </c>
    </row>
    <row r="66" spans="1:37" ht="69" customHeight="1" thickBot="1">
      <c r="A66" s="241" t="s">
        <v>110</v>
      </c>
      <c r="B66" s="268" t="s">
        <v>464</v>
      </c>
      <c r="C66" s="250" t="s">
        <v>97</v>
      </c>
      <c r="D66" s="251" t="s">
        <v>468</v>
      </c>
      <c r="E66" s="252" t="s">
        <v>141</v>
      </c>
      <c r="F66" s="281" t="s">
        <v>490</v>
      </c>
      <c r="G66" s="281"/>
      <c r="H66" s="282" t="s">
        <v>35</v>
      </c>
      <c r="I66" s="283"/>
      <c r="J66" s="305" t="s">
        <v>616</v>
      </c>
      <c r="K66" s="293"/>
      <c r="L66" s="294"/>
      <c r="M66" s="282" t="s">
        <v>31</v>
      </c>
      <c r="N66" s="295"/>
      <c r="O66" s="286"/>
      <c r="P66" s="286"/>
      <c r="Q66" s="287"/>
      <c r="R66" s="282"/>
      <c r="S66" s="295"/>
      <c r="T66" s="293"/>
      <c r="U66" s="294"/>
      <c r="V66" s="288"/>
      <c r="W66" s="295"/>
      <c r="X66" s="233"/>
      <c r="Y66" s="241" t="s">
        <v>395</v>
      </c>
      <c r="Z66" s="241" t="s">
        <v>407</v>
      </c>
      <c r="AA66" s="241"/>
      <c r="AB66" s="255" t="s">
        <v>116</v>
      </c>
      <c r="AC66" s="289" t="s">
        <v>483</v>
      </c>
      <c r="AD66" s="289"/>
      <c r="AE66" s="289"/>
      <c r="AF66" s="290" t="s">
        <v>609</v>
      </c>
      <c r="AG66" s="290"/>
      <c r="AH66" s="290"/>
      <c r="AI66" s="290"/>
      <c r="AJ66" s="291">
        <v>64</v>
      </c>
    </row>
    <row r="67" spans="1:37" ht="44.45" customHeight="1" thickBot="1">
      <c r="A67" s="241" t="s">
        <v>110</v>
      </c>
      <c r="B67" s="268" t="s">
        <v>465</v>
      </c>
      <c r="C67" s="250" t="s">
        <v>97</v>
      </c>
      <c r="D67" s="251" t="s">
        <v>469</v>
      </c>
      <c r="E67" s="252" t="s">
        <v>141</v>
      </c>
      <c r="F67" s="281" t="s">
        <v>490</v>
      </c>
      <c r="G67" s="281"/>
      <c r="H67" s="282" t="s">
        <v>35</v>
      </c>
      <c r="I67" s="283"/>
      <c r="J67" s="305" t="s">
        <v>616</v>
      </c>
      <c r="K67" s="293"/>
      <c r="L67" s="294"/>
      <c r="M67" s="282" t="s">
        <v>31</v>
      </c>
      <c r="N67" s="295"/>
      <c r="O67" s="286"/>
      <c r="P67" s="286"/>
      <c r="Q67" s="287"/>
      <c r="R67" s="282"/>
      <c r="S67" s="295"/>
      <c r="T67" s="293"/>
      <c r="U67" s="294"/>
      <c r="V67" s="288"/>
      <c r="W67" s="295"/>
      <c r="X67" s="233"/>
      <c r="Y67" s="241" t="s">
        <v>395</v>
      </c>
      <c r="Z67" s="241" t="s">
        <v>407</v>
      </c>
      <c r="AA67" s="241"/>
      <c r="AB67" s="255" t="s">
        <v>116</v>
      </c>
      <c r="AC67" s="289" t="s">
        <v>483</v>
      </c>
      <c r="AD67" s="289"/>
      <c r="AE67" s="289"/>
      <c r="AF67" s="290" t="s">
        <v>609</v>
      </c>
      <c r="AG67" s="290"/>
      <c r="AH67" s="290"/>
      <c r="AI67" s="290"/>
      <c r="AJ67" s="291">
        <v>65</v>
      </c>
    </row>
    <row r="68" spans="1:37" ht="60" customHeight="1" thickBot="1">
      <c r="A68" s="241" t="s">
        <v>110</v>
      </c>
      <c r="B68" s="268" t="s">
        <v>466</v>
      </c>
      <c r="C68" s="250" t="s">
        <v>97</v>
      </c>
      <c r="D68" s="251" t="s">
        <v>470</v>
      </c>
      <c r="E68" s="252" t="s">
        <v>141</v>
      </c>
      <c r="F68" s="281" t="s">
        <v>490</v>
      </c>
      <c r="G68" s="281"/>
      <c r="H68" s="282" t="s">
        <v>35</v>
      </c>
      <c r="I68" s="283"/>
      <c r="J68" s="305" t="s">
        <v>616</v>
      </c>
      <c r="K68" s="293"/>
      <c r="L68" s="294"/>
      <c r="M68" s="282" t="s">
        <v>31</v>
      </c>
      <c r="N68" s="295"/>
      <c r="O68" s="286"/>
      <c r="P68" s="286"/>
      <c r="Q68" s="287"/>
      <c r="R68" s="282"/>
      <c r="S68" s="295"/>
      <c r="T68" s="293"/>
      <c r="U68" s="294"/>
      <c r="V68" s="288"/>
      <c r="W68" s="295"/>
      <c r="X68" s="233"/>
      <c r="Y68" s="241" t="s">
        <v>395</v>
      </c>
      <c r="Z68" s="241" t="s">
        <v>407</v>
      </c>
      <c r="AA68" s="241"/>
      <c r="AB68" s="255" t="s">
        <v>116</v>
      </c>
      <c r="AC68" s="289" t="s">
        <v>483</v>
      </c>
      <c r="AD68" s="289"/>
      <c r="AE68" s="289"/>
      <c r="AF68" s="290" t="s">
        <v>609</v>
      </c>
      <c r="AG68" s="290"/>
      <c r="AH68" s="290"/>
      <c r="AI68" s="290"/>
      <c r="AJ68" s="291">
        <v>66</v>
      </c>
    </row>
    <row r="69" spans="1:37" ht="72" customHeight="1" thickBot="1">
      <c r="A69" s="241" t="s">
        <v>110</v>
      </c>
      <c r="B69" s="268" t="s">
        <v>328</v>
      </c>
      <c r="C69" s="250" t="s">
        <v>3</v>
      </c>
      <c r="D69" s="251" t="s">
        <v>151</v>
      </c>
      <c r="E69" s="252" t="s">
        <v>141</v>
      </c>
      <c r="F69" s="325">
        <v>0.99980000000000002</v>
      </c>
      <c r="G69" s="325">
        <v>0.99980000000000002</v>
      </c>
      <c r="H69" s="282" t="s">
        <v>31</v>
      </c>
      <c r="I69" s="283"/>
      <c r="J69" s="292">
        <v>0.99970000000000003</v>
      </c>
      <c r="K69" s="293"/>
      <c r="L69" s="346">
        <v>0.99970000000000003</v>
      </c>
      <c r="M69" s="282" t="s">
        <v>31</v>
      </c>
      <c r="N69" s="295"/>
      <c r="O69" s="286"/>
      <c r="P69" s="286"/>
      <c r="Q69" s="287"/>
      <c r="R69" s="282"/>
      <c r="S69" s="295"/>
      <c r="T69" s="293"/>
      <c r="U69" s="294"/>
      <c r="V69" s="288"/>
      <c r="W69" s="295"/>
      <c r="X69" s="232"/>
      <c r="Y69" s="241" t="s">
        <v>395</v>
      </c>
      <c r="Z69" s="241" t="s">
        <v>407</v>
      </c>
      <c r="AA69" s="241"/>
      <c r="AB69" s="255" t="s">
        <v>116</v>
      </c>
      <c r="AC69" s="289" t="s">
        <v>482</v>
      </c>
      <c r="AD69" s="289"/>
      <c r="AE69" s="289"/>
      <c r="AF69" s="290"/>
      <c r="AG69" s="290"/>
      <c r="AH69" s="290"/>
      <c r="AI69" s="290" t="s">
        <v>609</v>
      </c>
      <c r="AJ69" s="291">
        <v>67</v>
      </c>
    </row>
    <row r="70" spans="1:37" ht="73.150000000000006" customHeight="1" thickBot="1">
      <c r="A70" s="241" t="s">
        <v>110</v>
      </c>
      <c r="B70" s="268" t="s">
        <v>329</v>
      </c>
      <c r="C70" s="250" t="s">
        <v>175</v>
      </c>
      <c r="D70" s="251" t="s">
        <v>176</v>
      </c>
      <c r="E70" s="252">
        <v>45108</v>
      </c>
      <c r="F70" s="281" t="s">
        <v>597</v>
      </c>
      <c r="G70" s="281"/>
      <c r="H70" s="282" t="s">
        <v>22</v>
      </c>
      <c r="I70" s="283"/>
      <c r="J70" s="284" t="s">
        <v>687</v>
      </c>
      <c r="K70" s="293"/>
      <c r="L70" s="294"/>
      <c r="M70" s="282" t="s">
        <v>22</v>
      </c>
      <c r="N70" s="295"/>
      <c r="O70" s="286"/>
      <c r="P70" s="286"/>
      <c r="Q70" s="287"/>
      <c r="R70" s="282"/>
      <c r="S70" s="295"/>
      <c r="T70" s="296"/>
      <c r="U70" s="294"/>
      <c r="V70" s="288"/>
      <c r="W70" s="295"/>
      <c r="X70" s="233"/>
      <c r="Y70" s="241" t="s">
        <v>395</v>
      </c>
      <c r="Z70" s="241" t="s">
        <v>407</v>
      </c>
      <c r="AA70" s="241"/>
      <c r="AB70" s="255" t="s">
        <v>116</v>
      </c>
      <c r="AC70" s="289" t="s">
        <v>482</v>
      </c>
      <c r="AD70" s="289"/>
      <c r="AE70" s="289"/>
      <c r="AF70" s="290"/>
      <c r="AG70" s="290"/>
      <c r="AH70" s="290"/>
      <c r="AI70" s="290" t="s">
        <v>609</v>
      </c>
      <c r="AJ70" s="291">
        <v>68</v>
      </c>
    </row>
    <row r="71" spans="1:37" ht="73.150000000000006" customHeight="1" thickBot="1">
      <c r="A71" s="241" t="s">
        <v>110</v>
      </c>
      <c r="B71" s="268" t="s">
        <v>330</v>
      </c>
      <c r="C71" s="250" t="s">
        <v>175</v>
      </c>
      <c r="D71" s="251" t="s">
        <v>177</v>
      </c>
      <c r="E71" s="252">
        <v>45170</v>
      </c>
      <c r="F71" s="281" t="s">
        <v>507</v>
      </c>
      <c r="G71" s="281"/>
      <c r="H71" s="282" t="s">
        <v>31</v>
      </c>
      <c r="I71" s="283"/>
      <c r="J71" s="284" t="s">
        <v>697</v>
      </c>
      <c r="K71" s="284"/>
      <c r="L71" s="285"/>
      <c r="M71" s="282" t="s">
        <v>22</v>
      </c>
      <c r="N71" s="283"/>
      <c r="O71" s="286"/>
      <c r="P71" s="286"/>
      <c r="Q71" s="287"/>
      <c r="R71" s="282"/>
      <c r="S71" s="283"/>
      <c r="T71" s="284"/>
      <c r="U71" s="285"/>
      <c r="V71" s="288"/>
      <c r="W71" s="283"/>
      <c r="X71" s="233"/>
      <c r="Y71" s="241" t="s">
        <v>395</v>
      </c>
      <c r="Z71" s="241" t="s">
        <v>407</v>
      </c>
      <c r="AA71" s="241"/>
      <c r="AB71" s="255" t="s">
        <v>116</v>
      </c>
      <c r="AC71" s="289" t="s">
        <v>482</v>
      </c>
      <c r="AD71" s="289"/>
      <c r="AE71" s="289"/>
      <c r="AF71" s="290"/>
      <c r="AG71" s="290"/>
      <c r="AH71" s="290"/>
      <c r="AI71" s="290" t="s">
        <v>609</v>
      </c>
      <c r="AJ71" s="291">
        <v>69</v>
      </c>
    </row>
    <row r="72" spans="1:37" ht="73.150000000000006" customHeight="1" thickBot="1">
      <c r="A72" s="241" t="s">
        <v>110</v>
      </c>
      <c r="B72" s="268" t="s">
        <v>331</v>
      </c>
      <c r="C72" s="250" t="s">
        <v>89</v>
      </c>
      <c r="D72" s="251" t="s">
        <v>155</v>
      </c>
      <c r="E72" s="252">
        <v>45200</v>
      </c>
      <c r="F72" s="281" t="s">
        <v>598</v>
      </c>
      <c r="G72" s="281"/>
      <c r="H72" s="282" t="s">
        <v>31</v>
      </c>
      <c r="I72" s="283"/>
      <c r="J72" s="284" t="s">
        <v>706</v>
      </c>
      <c r="K72" s="285"/>
      <c r="L72" s="285"/>
      <c r="M72" s="282" t="s">
        <v>31</v>
      </c>
      <c r="N72" s="283"/>
      <c r="O72" s="286"/>
      <c r="P72" s="286"/>
      <c r="Q72" s="286"/>
      <c r="R72" s="282"/>
      <c r="S72" s="283"/>
      <c r="T72" s="286"/>
      <c r="U72" s="285"/>
      <c r="V72" s="288"/>
      <c r="W72" s="283"/>
      <c r="X72" s="233"/>
      <c r="Y72" s="241" t="s">
        <v>395</v>
      </c>
      <c r="Z72" s="241" t="s">
        <v>407</v>
      </c>
      <c r="AA72" s="241"/>
      <c r="AB72" s="255" t="s">
        <v>116</v>
      </c>
      <c r="AC72" s="289" t="s">
        <v>483</v>
      </c>
      <c r="AD72" s="289" t="s">
        <v>482</v>
      </c>
      <c r="AE72" s="289"/>
      <c r="AF72" s="290" t="s">
        <v>609</v>
      </c>
      <c r="AG72" s="290"/>
      <c r="AH72" s="290"/>
      <c r="AI72" s="290" t="s">
        <v>609</v>
      </c>
      <c r="AJ72" s="291">
        <v>70</v>
      </c>
    </row>
    <row r="73" spans="1:37" ht="86.45" customHeight="1" thickBot="1">
      <c r="A73" s="241" t="s">
        <v>110</v>
      </c>
      <c r="B73" s="268" t="s">
        <v>332</v>
      </c>
      <c r="C73" s="250" t="s">
        <v>175</v>
      </c>
      <c r="D73" s="251" t="s">
        <v>178</v>
      </c>
      <c r="E73" s="252">
        <v>45231</v>
      </c>
      <c r="F73" s="281" t="s">
        <v>599</v>
      </c>
      <c r="G73" s="281"/>
      <c r="H73" s="282" t="s">
        <v>31</v>
      </c>
      <c r="I73" s="283"/>
      <c r="J73" s="284" t="s">
        <v>622</v>
      </c>
      <c r="K73" s="284"/>
      <c r="L73" s="285"/>
      <c r="M73" s="282" t="s">
        <v>31</v>
      </c>
      <c r="N73" s="283"/>
      <c r="O73" s="286"/>
      <c r="P73" s="286"/>
      <c r="Q73" s="287"/>
      <c r="R73" s="282"/>
      <c r="S73" s="283"/>
      <c r="T73" s="284"/>
      <c r="U73" s="285"/>
      <c r="V73" s="288"/>
      <c r="W73" s="283"/>
      <c r="X73" s="233"/>
      <c r="Y73" s="241" t="s">
        <v>395</v>
      </c>
      <c r="Z73" s="241" t="s">
        <v>407</v>
      </c>
      <c r="AA73" s="241"/>
      <c r="AB73" s="255" t="s">
        <v>116</v>
      </c>
      <c r="AC73" s="289" t="s">
        <v>482</v>
      </c>
      <c r="AD73" s="289"/>
      <c r="AE73" s="289"/>
      <c r="AF73" s="290"/>
      <c r="AG73" s="290"/>
      <c r="AH73" s="290"/>
      <c r="AI73" s="290" t="s">
        <v>609</v>
      </c>
      <c r="AJ73" s="291">
        <v>71</v>
      </c>
    </row>
    <row r="74" spans="1:37" ht="73.150000000000006" customHeight="1" thickBot="1">
      <c r="A74" s="241" t="s">
        <v>110</v>
      </c>
      <c r="B74" s="268" t="s">
        <v>333</v>
      </c>
      <c r="C74" s="250" t="s">
        <v>152</v>
      </c>
      <c r="D74" s="251" t="s">
        <v>153</v>
      </c>
      <c r="E74" s="252" t="s">
        <v>141</v>
      </c>
      <c r="F74" s="281" t="s">
        <v>517</v>
      </c>
      <c r="G74" s="281"/>
      <c r="H74" s="282" t="s">
        <v>32</v>
      </c>
      <c r="I74" s="283"/>
      <c r="J74" s="296" t="s">
        <v>727</v>
      </c>
      <c r="K74" s="284" t="s">
        <v>619</v>
      </c>
      <c r="L74" s="285" t="s">
        <v>621</v>
      </c>
      <c r="M74" s="282" t="s">
        <v>32</v>
      </c>
      <c r="N74" s="347"/>
      <c r="O74" s="286"/>
      <c r="P74" s="286"/>
      <c r="Q74" s="287"/>
      <c r="R74" s="282"/>
      <c r="S74" s="283"/>
      <c r="T74" s="286"/>
      <c r="U74" s="285"/>
      <c r="V74" s="288"/>
      <c r="W74" s="283"/>
      <c r="X74" s="232"/>
      <c r="Y74" s="241" t="s">
        <v>395</v>
      </c>
      <c r="Z74" s="241" t="s">
        <v>407</v>
      </c>
      <c r="AA74" s="241"/>
      <c r="AB74" s="255" t="s">
        <v>116</v>
      </c>
      <c r="AC74" s="289" t="s">
        <v>483</v>
      </c>
      <c r="AD74" s="289"/>
      <c r="AE74" s="289"/>
      <c r="AF74" s="290" t="s">
        <v>609</v>
      </c>
      <c r="AG74" s="290"/>
      <c r="AH74" s="290"/>
      <c r="AI74" s="290"/>
      <c r="AJ74" s="291">
        <v>72</v>
      </c>
    </row>
    <row r="75" spans="1:37" ht="105" customHeight="1" thickBot="1">
      <c r="A75" s="241" t="s">
        <v>110</v>
      </c>
      <c r="B75" s="268" t="s">
        <v>334</v>
      </c>
      <c r="C75" s="250" t="s">
        <v>89</v>
      </c>
      <c r="D75" s="251" t="s">
        <v>154</v>
      </c>
      <c r="E75" s="252" t="s">
        <v>141</v>
      </c>
      <c r="F75" s="281" t="s">
        <v>518</v>
      </c>
      <c r="G75" s="281"/>
      <c r="H75" s="282" t="s">
        <v>32</v>
      </c>
      <c r="I75" s="283"/>
      <c r="J75" s="284" t="s">
        <v>728</v>
      </c>
      <c r="K75" s="284" t="s">
        <v>618</v>
      </c>
      <c r="L75" s="285" t="s">
        <v>620</v>
      </c>
      <c r="M75" s="282" t="s">
        <v>32</v>
      </c>
      <c r="N75" s="283"/>
      <c r="O75" s="286"/>
      <c r="P75" s="286"/>
      <c r="Q75" s="287"/>
      <c r="R75" s="282"/>
      <c r="S75" s="283"/>
      <c r="T75" s="284"/>
      <c r="U75" s="285"/>
      <c r="V75" s="288"/>
      <c r="W75" s="283"/>
      <c r="X75" s="232"/>
      <c r="Y75" s="241" t="s">
        <v>395</v>
      </c>
      <c r="Z75" s="241" t="s">
        <v>407</v>
      </c>
      <c r="AA75" s="241"/>
      <c r="AB75" s="255" t="s">
        <v>116</v>
      </c>
      <c r="AC75" s="289" t="s">
        <v>483</v>
      </c>
      <c r="AD75" s="289"/>
      <c r="AE75" s="289"/>
      <c r="AF75" s="290" t="s">
        <v>609</v>
      </c>
      <c r="AG75" s="290"/>
      <c r="AH75" s="290"/>
      <c r="AI75" s="290"/>
      <c r="AJ75" s="291">
        <v>73</v>
      </c>
      <c r="AK75" s="291" t="s">
        <v>485</v>
      </c>
    </row>
    <row r="76" spans="1:37" ht="128.44999999999999" customHeight="1" thickBot="1">
      <c r="A76" s="241" t="s">
        <v>110</v>
      </c>
      <c r="B76" s="268" t="s">
        <v>335</v>
      </c>
      <c r="C76" s="250" t="s">
        <v>175</v>
      </c>
      <c r="D76" s="251" t="s">
        <v>179</v>
      </c>
      <c r="E76" s="252">
        <v>45352</v>
      </c>
      <c r="F76" s="281"/>
      <c r="G76" s="281"/>
      <c r="H76" s="282" t="s">
        <v>35</v>
      </c>
      <c r="I76" s="283"/>
      <c r="J76" s="284" t="s">
        <v>698</v>
      </c>
      <c r="K76" s="285"/>
      <c r="L76" s="285"/>
      <c r="M76" s="282" t="s">
        <v>31</v>
      </c>
      <c r="N76" s="283"/>
      <c r="O76" s="286"/>
      <c r="P76" s="286"/>
      <c r="Q76" s="287"/>
      <c r="R76" s="282"/>
      <c r="S76" s="283"/>
      <c r="T76" s="284"/>
      <c r="U76" s="285"/>
      <c r="V76" s="288"/>
      <c r="W76" s="283"/>
      <c r="X76" s="233"/>
      <c r="Y76" s="241" t="s">
        <v>395</v>
      </c>
      <c r="Z76" s="241" t="s">
        <v>407</v>
      </c>
      <c r="AA76" s="241"/>
      <c r="AB76" s="255" t="s">
        <v>116</v>
      </c>
      <c r="AC76" s="289" t="s">
        <v>483</v>
      </c>
      <c r="AD76" s="289"/>
      <c r="AE76" s="289"/>
      <c r="AF76" s="290" t="s">
        <v>609</v>
      </c>
      <c r="AG76" s="290"/>
      <c r="AH76" s="290"/>
      <c r="AI76" s="290"/>
      <c r="AJ76" s="291">
        <v>74</v>
      </c>
    </row>
    <row r="77" spans="1:37" ht="73.150000000000006" customHeight="1" thickBot="1">
      <c r="A77" s="241" t="s">
        <v>110</v>
      </c>
      <c r="B77" s="268" t="s">
        <v>336</v>
      </c>
      <c r="C77" s="250" t="s">
        <v>175</v>
      </c>
      <c r="D77" s="251" t="s">
        <v>180</v>
      </c>
      <c r="E77" s="252">
        <v>45352</v>
      </c>
      <c r="F77" s="281"/>
      <c r="G77" s="281"/>
      <c r="H77" s="282" t="s">
        <v>35</v>
      </c>
      <c r="I77" s="283"/>
      <c r="J77" s="284"/>
      <c r="K77" s="284"/>
      <c r="L77" s="285"/>
      <c r="M77" s="282" t="s">
        <v>35</v>
      </c>
      <c r="N77" s="283"/>
      <c r="O77" s="286"/>
      <c r="P77" s="286"/>
      <c r="Q77" s="287"/>
      <c r="R77" s="282"/>
      <c r="S77" s="283"/>
      <c r="T77" s="284"/>
      <c r="U77" s="282"/>
      <c r="V77" s="288"/>
      <c r="W77" s="283"/>
      <c r="X77" s="232"/>
      <c r="Y77" s="241" t="s">
        <v>395</v>
      </c>
      <c r="Z77" s="241" t="s">
        <v>407</v>
      </c>
      <c r="AA77" s="241"/>
      <c r="AB77" s="255" t="s">
        <v>116</v>
      </c>
      <c r="AC77" s="289" t="s">
        <v>482</v>
      </c>
      <c r="AD77" s="289" t="s">
        <v>483</v>
      </c>
      <c r="AE77" s="289"/>
      <c r="AF77" s="290" t="s">
        <v>609</v>
      </c>
      <c r="AG77" s="290"/>
      <c r="AH77" s="290"/>
      <c r="AI77" s="290" t="s">
        <v>609</v>
      </c>
      <c r="AJ77" s="291">
        <v>75</v>
      </c>
    </row>
    <row r="78" spans="1:37" ht="73.150000000000006" customHeight="1" thickBot="1">
      <c r="A78" s="241" t="s">
        <v>105</v>
      </c>
      <c r="B78" s="268" t="s">
        <v>337</v>
      </c>
      <c r="C78" s="250" t="s">
        <v>189</v>
      </c>
      <c r="D78" s="251" t="s">
        <v>190</v>
      </c>
      <c r="E78" s="252">
        <v>45200</v>
      </c>
      <c r="F78" s="281"/>
      <c r="G78" s="281"/>
      <c r="H78" s="282" t="s">
        <v>35</v>
      </c>
      <c r="I78" s="283"/>
      <c r="J78" s="284" t="s">
        <v>661</v>
      </c>
      <c r="K78" s="284"/>
      <c r="L78" s="285"/>
      <c r="M78" s="282" t="s">
        <v>26</v>
      </c>
      <c r="N78" s="283"/>
      <c r="O78" s="286"/>
      <c r="P78" s="286"/>
      <c r="Q78" s="287"/>
      <c r="R78" s="282"/>
      <c r="S78" s="283"/>
      <c r="T78" s="284"/>
      <c r="U78" s="285"/>
      <c r="V78" s="288"/>
      <c r="W78" s="283"/>
      <c r="X78" s="232"/>
      <c r="Y78" s="241" t="s">
        <v>395</v>
      </c>
      <c r="Z78" s="241" t="s">
        <v>412</v>
      </c>
      <c r="AA78" s="241"/>
      <c r="AB78" s="255" t="s">
        <v>116</v>
      </c>
      <c r="AC78" s="289" t="s">
        <v>482</v>
      </c>
      <c r="AD78" s="289"/>
      <c r="AE78" s="289"/>
      <c r="AF78" s="290"/>
      <c r="AG78" s="290"/>
      <c r="AH78" s="290"/>
      <c r="AI78" s="290" t="s">
        <v>609</v>
      </c>
      <c r="AJ78" s="291">
        <v>76</v>
      </c>
    </row>
    <row r="79" spans="1:37" ht="73.150000000000006" customHeight="1" thickBot="1">
      <c r="A79" s="241" t="s">
        <v>105</v>
      </c>
      <c r="B79" s="268" t="s">
        <v>338</v>
      </c>
      <c r="C79" s="250" t="s">
        <v>150</v>
      </c>
      <c r="D79" s="251" t="s">
        <v>693</v>
      </c>
      <c r="E79" s="252">
        <v>45170</v>
      </c>
      <c r="F79" s="318" t="s">
        <v>578</v>
      </c>
      <c r="G79" s="281"/>
      <c r="H79" s="282" t="s">
        <v>31</v>
      </c>
      <c r="I79" s="312"/>
      <c r="J79" s="296" t="s">
        <v>662</v>
      </c>
      <c r="K79" s="284"/>
      <c r="L79" s="285"/>
      <c r="M79" s="282" t="s">
        <v>22</v>
      </c>
      <c r="N79" s="283"/>
      <c r="O79" s="296"/>
      <c r="P79" s="286"/>
      <c r="Q79" s="287"/>
      <c r="R79" s="282"/>
      <c r="S79" s="283"/>
      <c r="T79" s="296"/>
      <c r="U79" s="285"/>
      <c r="V79" s="288"/>
      <c r="W79" s="283"/>
      <c r="X79" s="233"/>
      <c r="Y79" s="241" t="s">
        <v>395</v>
      </c>
      <c r="Z79" s="241" t="s">
        <v>412</v>
      </c>
      <c r="AA79" s="241"/>
      <c r="AB79" s="262" t="s">
        <v>115</v>
      </c>
      <c r="AC79" s="289" t="s">
        <v>482</v>
      </c>
      <c r="AD79" s="289"/>
      <c r="AE79" s="289"/>
      <c r="AF79" s="290"/>
      <c r="AG79" s="290"/>
      <c r="AH79" s="290"/>
      <c r="AI79" s="290" t="s">
        <v>609</v>
      </c>
      <c r="AJ79" s="291">
        <v>77</v>
      </c>
    </row>
    <row r="80" spans="1:37" ht="81.599999999999994" customHeight="1" thickBot="1">
      <c r="A80" s="241" t="s">
        <v>504</v>
      </c>
      <c r="B80" s="268" t="s">
        <v>339</v>
      </c>
      <c r="C80" s="250" t="s">
        <v>86</v>
      </c>
      <c r="D80" s="251" t="s">
        <v>146</v>
      </c>
      <c r="E80" s="252">
        <v>45078</v>
      </c>
      <c r="F80" s="281" t="s">
        <v>556</v>
      </c>
      <c r="G80" s="281"/>
      <c r="H80" s="282" t="s">
        <v>22</v>
      </c>
      <c r="I80" s="322" t="s">
        <v>557</v>
      </c>
      <c r="J80" s="284" t="s">
        <v>647</v>
      </c>
      <c r="K80" s="285"/>
      <c r="L80" s="285"/>
      <c r="M80" s="282" t="s">
        <v>22</v>
      </c>
      <c r="N80" s="283"/>
      <c r="O80" s="286"/>
      <c r="P80" s="286"/>
      <c r="Q80" s="287"/>
      <c r="R80" s="282"/>
      <c r="S80" s="283"/>
      <c r="T80" s="284"/>
      <c r="U80" s="285"/>
      <c r="V80" s="288"/>
      <c r="W80" s="283"/>
      <c r="X80" s="233"/>
      <c r="Y80" s="241" t="s">
        <v>390</v>
      </c>
      <c r="Z80" s="241" t="s">
        <v>413</v>
      </c>
      <c r="AA80" s="241"/>
      <c r="AB80" s="262" t="s">
        <v>115</v>
      </c>
      <c r="AC80" s="289" t="s">
        <v>208</v>
      </c>
      <c r="AD80" s="289"/>
      <c r="AE80" s="289"/>
      <c r="AF80" s="290"/>
      <c r="AG80" s="290"/>
      <c r="AH80" s="290" t="s">
        <v>609</v>
      </c>
      <c r="AI80" s="290"/>
      <c r="AJ80" s="291">
        <v>78</v>
      </c>
    </row>
    <row r="81" spans="1:36" ht="73.150000000000006" customHeight="1" thickBot="1">
      <c r="A81" s="241" t="s">
        <v>504</v>
      </c>
      <c r="B81" s="268" t="s">
        <v>340</v>
      </c>
      <c r="C81" s="250" t="s">
        <v>86</v>
      </c>
      <c r="D81" s="251" t="s">
        <v>147</v>
      </c>
      <c r="E81" s="252">
        <v>45200</v>
      </c>
      <c r="F81" s="281" t="s">
        <v>489</v>
      </c>
      <c r="G81" s="281"/>
      <c r="H81" s="282" t="s">
        <v>31</v>
      </c>
      <c r="I81" s="312"/>
      <c r="J81" s="284" t="s">
        <v>648</v>
      </c>
      <c r="K81" s="284"/>
      <c r="L81" s="285"/>
      <c r="M81" s="282" t="s">
        <v>31</v>
      </c>
      <c r="N81" s="283"/>
      <c r="O81" s="286"/>
      <c r="P81" s="286"/>
      <c r="Q81" s="287"/>
      <c r="R81" s="282"/>
      <c r="S81" s="283"/>
      <c r="T81" s="286"/>
      <c r="U81" s="285"/>
      <c r="V81" s="288"/>
      <c r="W81" s="283"/>
      <c r="X81" s="232"/>
      <c r="Y81" s="241" t="s">
        <v>390</v>
      </c>
      <c r="Z81" s="241" t="s">
        <v>413</v>
      </c>
      <c r="AA81" s="241"/>
      <c r="AB81" s="262" t="s">
        <v>115</v>
      </c>
      <c r="AC81" s="289" t="s">
        <v>208</v>
      </c>
      <c r="AD81" s="289"/>
      <c r="AE81" s="289"/>
      <c r="AF81" s="290"/>
      <c r="AG81" s="290"/>
      <c r="AH81" s="290" t="s">
        <v>609</v>
      </c>
      <c r="AI81" s="290"/>
      <c r="AJ81" s="291">
        <v>79</v>
      </c>
    </row>
    <row r="82" spans="1:36" ht="73.150000000000006" customHeight="1" thickBot="1">
      <c r="A82" s="241" t="s">
        <v>504</v>
      </c>
      <c r="B82" s="268" t="s">
        <v>341</v>
      </c>
      <c r="C82" s="250" t="s">
        <v>86</v>
      </c>
      <c r="D82" s="251" t="s">
        <v>148</v>
      </c>
      <c r="E82" s="252">
        <v>45352</v>
      </c>
      <c r="F82" s="285" t="s">
        <v>592</v>
      </c>
      <c r="G82" s="281"/>
      <c r="H82" s="282" t="s">
        <v>31</v>
      </c>
      <c r="I82" s="283"/>
      <c r="J82" s="293" t="s">
        <v>649</v>
      </c>
      <c r="K82" s="293"/>
      <c r="L82" s="294"/>
      <c r="M82" s="282" t="s">
        <v>31</v>
      </c>
      <c r="N82" s="295"/>
      <c r="O82" s="286"/>
      <c r="P82" s="286"/>
      <c r="Q82" s="287"/>
      <c r="R82" s="282"/>
      <c r="S82" s="295"/>
      <c r="T82" s="293"/>
      <c r="U82" s="294"/>
      <c r="V82" s="288"/>
      <c r="W82" s="295"/>
      <c r="X82" s="233"/>
      <c r="Y82" s="241" t="s">
        <v>390</v>
      </c>
      <c r="Z82" s="241" t="s">
        <v>413</v>
      </c>
      <c r="AA82" s="241"/>
      <c r="AB82" s="262" t="s">
        <v>115</v>
      </c>
      <c r="AC82" s="289" t="s">
        <v>208</v>
      </c>
      <c r="AD82" s="289"/>
      <c r="AE82" s="289"/>
      <c r="AF82" s="290"/>
      <c r="AG82" s="290"/>
      <c r="AH82" s="290" t="s">
        <v>609</v>
      </c>
      <c r="AI82" s="290"/>
      <c r="AJ82" s="291">
        <v>80</v>
      </c>
    </row>
    <row r="83" spans="1:36" ht="73.150000000000006" customHeight="1" thickBot="1">
      <c r="A83" s="241" t="s">
        <v>504</v>
      </c>
      <c r="B83" s="268" t="s">
        <v>342</v>
      </c>
      <c r="C83" s="250" t="s">
        <v>86</v>
      </c>
      <c r="D83" s="251" t="s">
        <v>149</v>
      </c>
      <c r="E83" s="252">
        <v>45352</v>
      </c>
      <c r="F83" s="323"/>
      <c r="G83" s="281"/>
      <c r="H83" s="282" t="s">
        <v>35</v>
      </c>
      <c r="I83" s="312"/>
      <c r="J83" s="293" t="s">
        <v>650</v>
      </c>
      <c r="K83" s="293"/>
      <c r="L83" s="294"/>
      <c r="M83" s="282" t="s">
        <v>31</v>
      </c>
      <c r="N83" s="295"/>
      <c r="O83" s="286"/>
      <c r="P83" s="286"/>
      <c r="Q83" s="287"/>
      <c r="R83" s="282"/>
      <c r="S83" s="295"/>
      <c r="T83" s="293"/>
      <c r="U83" s="293"/>
      <c r="V83" s="288"/>
      <c r="W83" s="295"/>
      <c r="X83" s="233"/>
      <c r="Y83" s="241" t="s">
        <v>390</v>
      </c>
      <c r="Z83" s="241" t="s">
        <v>413</v>
      </c>
      <c r="AA83" s="241"/>
      <c r="AB83" s="262" t="s">
        <v>115</v>
      </c>
      <c r="AC83" s="289" t="s">
        <v>208</v>
      </c>
      <c r="AD83" s="289"/>
      <c r="AE83" s="289"/>
      <c r="AF83" s="290"/>
      <c r="AG83" s="290"/>
      <c r="AH83" s="290" t="s">
        <v>609</v>
      </c>
      <c r="AI83" s="290"/>
      <c r="AJ83" s="291">
        <v>81</v>
      </c>
    </row>
    <row r="84" spans="1:36" ht="97.15" customHeight="1" thickBot="1">
      <c r="A84" s="241" t="s">
        <v>555</v>
      </c>
      <c r="B84" s="268" t="s">
        <v>343</v>
      </c>
      <c r="C84" s="250" t="s">
        <v>96</v>
      </c>
      <c r="D84" s="251" t="s">
        <v>607</v>
      </c>
      <c r="E84" s="252">
        <v>45231</v>
      </c>
      <c r="F84" s="281" t="s">
        <v>558</v>
      </c>
      <c r="G84" s="281"/>
      <c r="H84" s="282" t="s">
        <v>31</v>
      </c>
      <c r="I84" s="283"/>
      <c r="J84" s="284" t="s">
        <v>651</v>
      </c>
      <c r="K84" s="284"/>
      <c r="L84" s="285"/>
      <c r="M84" s="282" t="s">
        <v>31</v>
      </c>
      <c r="N84" s="283" t="s">
        <v>704</v>
      </c>
      <c r="O84" s="286"/>
      <c r="P84" s="286"/>
      <c r="Q84" s="287"/>
      <c r="R84" s="282"/>
      <c r="S84" s="283"/>
      <c r="T84" s="324"/>
      <c r="U84" s="284"/>
      <c r="V84" s="288"/>
      <c r="W84" s="283"/>
      <c r="X84" s="233"/>
      <c r="Y84" s="241" t="s">
        <v>390</v>
      </c>
      <c r="Z84" s="241" t="s">
        <v>413</v>
      </c>
      <c r="AA84" s="241"/>
      <c r="AB84" s="262" t="s">
        <v>115</v>
      </c>
      <c r="AC84" s="289" t="s">
        <v>208</v>
      </c>
      <c r="AD84" s="289"/>
      <c r="AE84" s="289"/>
      <c r="AF84" s="290"/>
      <c r="AG84" s="290"/>
      <c r="AH84" s="290" t="s">
        <v>609</v>
      </c>
      <c r="AI84" s="290"/>
      <c r="AJ84" s="291">
        <v>82</v>
      </c>
    </row>
    <row r="85" spans="1:36" ht="73.150000000000006" customHeight="1" thickBot="1">
      <c r="A85" s="241" t="s">
        <v>555</v>
      </c>
      <c r="B85" s="268" t="s">
        <v>344</v>
      </c>
      <c r="C85" s="250" t="s">
        <v>96</v>
      </c>
      <c r="D85" s="251" t="s">
        <v>171</v>
      </c>
      <c r="E85" s="252">
        <v>45352</v>
      </c>
      <c r="F85" s="281" t="s">
        <v>559</v>
      </c>
      <c r="G85" s="281"/>
      <c r="H85" s="282" t="s">
        <v>31</v>
      </c>
      <c r="I85" s="283" t="s">
        <v>560</v>
      </c>
      <c r="J85" s="284" t="s">
        <v>705</v>
      </c>
      <c r="K85" s="305"/>
      <c r="L85" s="285"/>
      <c r="M85" s="282" t="s">
        <v>31</v>
      </c>
      <c r="N85" s="283"/>
      <c r="O85" s="286"/>
      <c r="P85" s="286"/>
      <c r="Q85" s="287"/>
      <c r="R85" s="282"/>
      <c r="S85" s="283"/>
      <c r="T85" s="284"/>
      <c r="U85" s="336"/>
      <c r="V85" s="288"/>
      <c r="W85" s="283"/>
      <c r="X85" s="233"/>
      <c r="Y85" s="241" t="s">
        <v>390</v>
      </c>
      <c r="Z85" s="241" t="s">
        <v>413</v>
      </c>
      <c r="AA85" s="241"/>
      <c r="AB85" s="262" t="s">
        <v>115</v>
      </c>
      <c r="AC85" s="289" t="s">
        <v>208</v>
      </c>
      <c r="AD85" s="289"/>
      <c r="AE85" s="289"/>
      <c r="AF85" s="290"/>
      <c r="AG85" s="290"/>
      <c r="AH85" s="290" t="s">
        <v>609</v>
      </c>
      <c r="AI85" s="290"/>
      <c r="AJ85" s="291">
        <v>83</v>
      </c>
    </row>
    <row r="86" spans="1:36" ht="73.150000000000006" customHeight="1" thickBot="1">
      <c r="A86" s="241" t="s">
        <v>555</v>
      </c>
      <c r="B86" s="268" t="s">
        <v>345</v>
      </c>
      <c r="C86" s="250" t="s">
        <v>96</v>
      </c>
      <c r="D86" s="251" t="s">
        <v>191</v>
      </c>
      <c r="E86" s="252">
        <v>45261</v>
      </c>
      <c r="F86" s="281" t="s">
        <v>567</v>
      </c>
      <c r="G86" s="281"/>
      <c r="H86" s="282" t="s">
        <v>31</v>
      </c>
      <c r="I86" s="283"/>
      <c r="J86" s="284" t="s">
        <v>724</v>
      </c>
      <c r="K86" s="305"/>
      <c r="L86" s="285"/>
      <c r="M86" s="282" t="s">
        <v>26</v>
      </c>
      <c r="N86" s="283"/>
      <c r="O86" s="286"/>
      <c r="P86" s="286"/>
      <c r="Q86" s="287"/>
      <c r="R86" s="282"/>
      <c r="S86" s="283"/>
      <c r="T86" s="284"/>
      <c r="U86" s="336"/>
      <c r="V86" s="288"/>
      <c r="W86" s="283"/>
      <c r="X86" s="233"/>
      <c r="Y86" s="241" t="s">
        <v>390</v>
      </c>
      <c r="Z86" s="241" t="s">
        <v>413</v>
      </c>
      <c r="AA86" s="241"/>
      <c r="AB86" s="262" t="s">
        <v>115</v>
      </c>
      <c r="AC86" s="289" t="s">
        <v>482</v>
      </c>
      <c r="AD86" s="289"/>
      <c r="AE86" s="289"/>
      <c r="AF86" s="290"/>
      <c r="AG86" s="290"/>
      <c r="AH86" s="290"/>
      <c r="AI86" s="290" t="s">
        <v>609</v>
      </c>
      <c r="AJ86" s="291">
        <v>84</v>
      </c>
    </row>
    <row r="87" spans="1:36" ht="73.150000000000006" customHeight="1" thickBot="1">
      <c r="A87" s="241" t="s">
        <v>106</v>
      </c>
      <c r="B87" s="268" t="s">
        <v>476</v>
      </c>
      <c r="C87" s="250" t="s">
        <v>174</v>
      </c>
      <c r="D87" s="251" t="s">
        <v>478</v>
      </c>
      <c r="E87" s="252">
        <v>45261</v>
      </c>
      <c r="F87" s="281" t="s">
        <v>561</v>
      </c>
      <c r="G87" s="281"/>
      <c r="H87" s="282" t="s">
        <v>31</v>
      </c>
      <c r="I87" s="283"/>
      <c r="J87" s="293" t="s">
        <v>720</v>
      </c>
      <c r="K87" s="305"/>
      <c r="L87" s="285"/>
      <c r="M87" s="282" t="s">
        <v>22</v>
      </c>
      <c r="N87" s="295"/>
      <c r="O87" s="286"/>
      <c r="P87" s="286"/>
      <c r="Q87" s="287"/>
      <c r="R87" s="282"/>
      <c r="S87" s="295"/>
      <c r="T87" s="293"/>
      <c r="U87" s="321"/>
      <c r="V87" s="288"/>
      <c r="W87" s="295"/>
      <c r="X87" s="233"/>
      <c r="Y87" s="241" t="s">
        <v>390</v>
      </c>
      <c r="Z87" s="241" t="s">
        <v>414</v>
      </c>
      <c r="AA87" s="241"/>
      <c r="AB87" s="262" t="s">
        <v>115</v>
      </c>
      <c r="AC87" s="289" t="s">
        <v>482</v>
      </c>
      <c r="AD87" s="289"/>
      <c r="AE87" s="289"/>
      <c r="AF87" s="290"/>
      <c r="AG87" s="290"/>
      <c r="AH87" s="290"/>
      <c r="AI87" s="290" t="s">
        <v>609</v>
      </c>
      <c r="AJ87" s="291">
        <v>85</v>
      </c>
    </row>
    <row r="88" spans="1:36" ht="97.15" customHeight="1" thickBot="1">
      <c r="A88" s="241" t="s">
        <v>504</v>
      </c>
      <c r="B88" s="268" t="s">
        <v>477</v>
      </c>
      <c r="C88" s="250" t="s">
        <v>174</v>
      </c>
      <c r="D88" s="251" t="s">
        <v>479</v>
      </c>
      <c r="E88" s="252">
        <v>45261</v>
      </c>
      <c r="F88" s="281" t="s">
        <v>506</v>
      </c>
      <c r="G88" s="281"/>
      <c r="H88" s="282" t="s">
        <v>31</v>
      </c>
      <c r="I88" s="283"/>
      <c r="J88" s="293" t="s">
        <v>646</v>
      </c>
      <c r="K88" s="305"/>
      <c r="L88" s="285"/>
      <c r="M88" s="282" t="s">
        <v>31</v>
      </c>
      <c r="N88" s="295"/>
      <c r="O88" s="286"/>
      <c r="P88" s="286"/>
      <c r="Q88" s="287"/>
      <c r="R88" s="282"/>
      <c r="S88" s="295"/>
      <c r="T88" s="293"/>
      <c r="U88" s="321"/>
      <c r="V88" s="288"/>
      <c r="W88" s="295"/>
      <c r="X88" s="233"/>
      <c r="Y88" s="241" t="s">
        <v>390</v>
      </c>
      <c r="Z88" s="241" t="s">
        <v>414</v>
      </c>
      <c r="AA88" s="241"/>
      <c r="AB88" s="262" t="s">
        <v>115</v>
      </c>
      <c r="AC88" s="289" t="s">
        <v>482</v>
      </c>
      <c r="AD88" s="289"/>
      <c r="AE88" s="289"/>
      <c r="AF88" s="290"/>
      <c r="AG88" s="290"/>
      <c r="AH88" s="290"/>
      <c r="AI88" s="290" t="s">
        <v>609</v>
      </c>
      <c r="AJ88" s="291">
        <v>86</v>
      </c>
    </row>
    <row r="89" spans="1:36" ht="364.15" customHeight="1" thickBot="1">
      <c r="A89" s="241" t="s">
        <v>106</v>
      </c>
      <c r="B89" s="268" t="s">
        <v>346</v>
      </c>
      <c r="C89" s="264" t="s">
        <v>142</v>
      </c>
      <c r="D89" s="260" t="s">
        <v>347</v>
      </c>
      <c r="E89" s="258">
        <v>45352</v>
      </c>
      <c r="F89" s="285" t="s">
        <v>496</v>
      </c>
      <c r="G89" s="281"/>
      <c r="H89" s="282" t="s">
        <v>35</v>
      </c>
      <c r="I89" s="283"/>
      <c r="J89" s="293" t="s">
        <v>675</v>
      </c>
      <c r="K89" s="293"/>
      <c r="L89" s="294"/>
      <c r="M89" s="282" t="s">
        <v>31</v>
      </c>
      <c r="N89" s="295" t="s">
        <v>711</v>
      </c>
      <c r="O89" s="286"/>
      <c r="P89" s="286"/>
      <c r="Q89" s="287"/>
      <c r="R89" s="282"/>
      <c r="S89" s="295"/>
      <c r="T89" s="293"/>
      <c r="U89" s="294"/>
      <c r="V89" s="288"/>
      <c r="W89" s="295"/>
      <c r="X89" s="232"/>
      <c r="Y89" s="241" t="s">
        <v>395</v>
      </c>
      <c r="Z89" s="241" t="s">
        <v>393</v>
      </c>
      <c r="AA89" s="241"/>
      <c r="AB89" s="265" t="s">
        <v>115</v>
      </c>
      <c r="AC89" s="289" t="s">
        <v>590</v>
      </c>
      <c r="AD89" s="289" t="s">
        <v>208</v>
      </c>
      <c r="AE89" s="289" t="s">
        <v>482</v>
      </c>
      <c r="AF89" s="290"/>
      <c r="AG89" s="290" t="s">
        <v>609</v>
      </c>
      <c r="AH89" s="290" t="s">
        <v>609</v>
      </c>
      <c r="AI89" s="290" t="s">
        <v>609</v>
      </c>
      <c r="AJ89" s="291">
        <v>87</v>
      </c>
    </row>
    <row r="90" spans="1:36" ht="73.150000000000006" customHeight="1" thickBot="1">
      <c r="A90" s="241" t="s">
        <v>106</v>
      </c>
      <c r="B90" s="268" t="s">
        <v>348</v>
      </c>
      <c r="C90" s="250" t="s">
        <v>143</v>
      </c>
      <c r="D90" s="251" t="s">
        <v>144</v>
      </c>
      <c r="E90" s="252">
        <v>45352</v>
      </c>
      <c r="F90" s="281" t="s">
        <v>497</v>
      </c>
      <c r="G90" s="281"/>
      <c r="H90" s="282" t="s">
        <v>31</v>
      </c>
      <c r="I90" s="283"/>
      <c r="J90" s="296" t="s">
        <v>497</v>
      </c>
      <c r="K90" s="284"/>
      <c r="L90" s="285"/>
      <c r="M90" s="282" t="s">
        <v>31</v>
      </c>
      <c r="N90" s="283"/>
      <c r="O90" s="286"/>
      <c r="P90" s="286"/>
      <c r="Q90" s="287"/>
      <c r="R90" s="282"/>
      <c r="S90" s="283"/>
      <c r="T90" s="284"/>
      <c r="U90" s="285"/>
      <c r="V90" s="288"/>
      <c r="W90" s="283"/>
      <c r="X90" s="233"/>
      <c r="Y90" s="241" t="s">
        <v>395</v>
      </c>
      <c r="Z90" s="241" t="s">
        <v>393</v>
      </c>
      <c r="AA90" s="241"/>
      <c r="AB90" s="262" t="s">
        <v>115</v>
      </c>
      <c r="AC90" s="289" t="s">
        <v>208</v>
      </c>
      <c r="AD90" s="289" t="s">
        <v>590</v>
      </c>
      <c r="AE90" s="289"/>
      <c r="AF90" s="290"/>
      <c r="AG90" s="290" t="s">
        <v>609</v>
      </c>
      <c r="AH90" s="290" t="s">
        <v>609</v>
      </c>
      <c r="AI90" s="290"/>
      <c r="AJ90" s="291">
        <v>88</v>
      </c>
    </row>
    <row r="91" spans="1:36" ht="102.6" customHeight="1" thickBot="1">
      <c r="A91" s="241" t="s">
        <v>106</v>
      </c>
      <c r="B91" s="268" t="s">
        <v>349</v>
      </c>
      <c r="C91" s="250" t="s">
        <v>187</v>
      </c>
      <c r="D91" s="251" t="s">
        <v>81</v>
      </c>
      <c r="E91" s="252">
        <v>45352</v>
      </c>
      <c r="F91" s="309" t="s">
        <v>498</v>
      </c>
      <c r="G91" s="281"/>
      <c r="H91" s="282" t="s">
        <v>31</v>
      </c>
      <c r="I91" s="283"/>
      <c r="J91" s="348" t="s">
        <v>639</v>
      </c>
      <c r="K91" s="284"/>
      <c r="L91" s="285"/>
      <c r="M91" s="282" t="s">
        <v>31</v>
      </c>
      <c r="N91" s="283"/>
      <c r="O91" s="286"/>
      <c r="P91" s="286"/>
      <c r="Q91" s="287"/>
      <c r="R91" s="282"/>
      <c r="S91" s="283"/>
      <c r="T91" s="284"/>
      <c r="U91" s="282"/>
      <c r="V91" s="288"/>
      <c r="W91" s="283"/>
      <c r="X91" s="232"/>
      <c r="Y91" s="241" t="s">
        <v>395</v>
      </c>
      <c r="Z91" s="241" t="s">
        <v>393</v>
      </c>
      <c r="AA91" s="241"/>
      <c r="AB91" s="262" t="s">
        <v>115</v>
      </c>
      <c r="AC91" s="289" t="s">
        <v>482</v>
      </c>
      <c r="AD91" s="289" t="s">
        <v>590</v>
      </c>
      <c r="AE91" s="289"/>
      <c r="AF91" s="290"/>
      <c r="AG91" s="290" t="s">
        <v>609</v>
      </c>
      <c r="AH91" s="290"/>
      <c r="AI91" s="290" t="s">
        <v>609</v>
      </c>
      <c r="AJ91" s="291">
        <v>89</v>
      </c>
    </row>
    <row r="92" spans="1:36" ht="105.6" customHeight="1" thickBot="1">
      <c r="A92" s="241" t="s">
        <v>106</v>
      </c>
      <c r="B92" s="268" t="s">
        <v>350</v>
      </c>
      <c r="C92" s="250" t="s">
        <v>143</v>
      </c>
      <c r="D92" s="251" t="s">
        <v>170</v>
      </c>
      <c r="E92" s="252">
        <v>45139</v>
      </c>
      <c r="F92" s="281" t="s">
        <v>594</v>
      </c>
      <c r="G92" s="281"/>
      <c r="H92" s="282" t="s">
        <v>31</v>
      </c>
      <c r="I92" s="283"/>
      <c r="J92" s="284" t="s">
        <v>640</v>
      </c>
      <c r="K92" s="284"/>
      <c r="L92" s="285"/>
      <c r="M92" s="282" t="s">
        <v>22</v>
      </c>
      <c r="N92" s="283"/>
      <c r="O92" s="286"/>
      <c r="P92" s="286"/>
      <c r="Q92" s="287"/>
      <c r="R92" s="282"/>
      <c r="S92" s="283"/>
      <c r="T92" s="284"/>
      <c r="U92" s="285"/>
      <c r="V92" s="288"/>
      <c r="W92" s="283"/>
      <c r="X92" s="232"/>
      <c r="Y92" s="241" t="s">
        <v>395</v>
      </c>
      <c r="Z92" s="241" t="s">
        <v>393</v>
      </c>
      <c r="AA92" s="241"/>
      <c r="AB92" s="262" t="s">
        <v>115</v>
      </c>
      <c r="AC92" s="289" t="s">
        <v>590</v>
      </c>
      <c r="AD92" s="289"/>
      <c r="AE92" s="289"/>
      <c r="AF92" s="290"/>
      <c r="AG92" s="290" t="s">
        <v>609</v>
      </c>
      <c r="AH92" s="290"/>
      <c r="AI92" s="290"/>
      <c r="AJ92" s="291">
        <v>90</v>
      </c>
    </row>
    <row r="93" spans="1:36" ht="87.6" customHeight="1" thickBot="1">
      <c r="A93" s="241" t="s">
        <v>106</v>
      </c>
      <c r="B93" s="268" t="s">
        <v>351</v>
      </c>
      <c r="C93" s="250" t="s">
        <v>91</v>
      </c>
      <c r="D93" s="251" t="s">
        <v>145</v>
      </c>
      <c r="E93" s="252">
        <v>45352</v>
      </c>
      <c r="F93" s="281" t="s">
        <v>499</v>
      </c>
      <c r="G93" s="281"/>
      <c r="H93" s="282" t="s">
        <v>31</v>
      </c>
      <c r="I93" s="283"/>
      <c r="J93" s="296" t="s">
        <v>499</v>
      </c>
      <c r="K93" s="284"/>
      <c r="L93" s="285"/>
      <c r="M93" s="282" t="s">
        <v>31</v>
      </c>
      <c r="N93" s="283"/>
      <c r="O93" s="286"/>
      <c r="P93" s="286"/>
      <c r="Q93" s="287"/>
      <c r="R93" s="282"/>
      <c r="S93" s="283"/>
      <c r="T93" s="285"/>
      <c r="U93" s="285"/>
      <c r="V93" s="288"/>
      <c r="W93" s="283"/>
      <c r="X93" s="233"/>
      <c r="Y93" s="241" t="s">
        <v>395</v>
      </c>
      <c r="Z93" s="241" t="s">
        <v>393</v>
      </c>
      <c r="AA93" s="241"/>
      <c r="AB93" s="262" t="s">
        <v>115</v>
      </c>
      <c r="AC93" s="289" t="s">
        <v>590</v>
      </c>
      <c r="AD93" s="289"/>
      <c r="AE93" s="289"/>
      <c r="AF93" s="290"/>
      <c r="AG93" s="290" t="s">
        <v>609</v>
      </c>
      <c r="AH93" s="290"/>
      <c r="AI93" s="290"/>
      <c r="AJ93" s="291">
        <v>91</v>
      </c>
    </row>
    <row r="94" spans="1:36" ht="73.150000000000006" customHeight="1" thickBot="1">
      <c r="A94" s="241" t="s">
        <v>106</v>
      </c>
      <c r="B94" s="268" t="s">
        <v>352</v>
      </c>
      <c r="C94" s="250" t="s">
        <v>143</v>
      </c>
      <c r="D94" s="251" t="s">
        <v>188</v>
      </c>
      <c r="E94" s="252">
        <v>45170</v>
      </c>
      <c r="F94" s="281" t="s">
        <v>500</v>
      </c>
      <c r="G94" s="281"/>
      <c r="H94" s="282" t="s">
        <v>31</v>
      </c>
      <c r="I94" s="283"/>
      <c r="J94" s="284" t="s">
        <v>712</v>
      </c>
      <c r="K94" s="285"/>
      <c r="L94" s="285"/>
      <c r="M94" s="282" t="s">
        <v>22</v>
      </c>
      <c r="N94" s="283"/>
      <c r="O94" s="286"/>
      <c r="P94" s="286"/>
      <c r="Q94" s="287"/>
      <c r="R94" s="282"/>
      <c r="S94" s="283"/>
      <c r="T94" s="284"/>
      <c r="U94" s="285"/>
      <c r="V94" s="288"/>
      <c r="W94" s="283"/>
      <c r="X94" s="232"/>
      <c r="Y94" s="241" t="s">
        <v>395</v>
      </c>
      <c r="Z94" s="241" t="s">
        <v>393</v>
      </c>
      <c r="AA94" s="241"/>
      <c r="AB94" s="262" t="s">
        <v>115</v>
      </c>
      <c r="AC94" s="289" t="s">
        <v>482</v>
      </c>
      <c r="AD94" s="289"/>
      <c r="AE94" s="289"/>
      <c r="AF94" s="290"/>
      <c r="AG94" s="290"/>
      <c r="AH94" s="290"/>
      <c r="AI94" s="290" t="s">
        <v>609</v>
      </c>
      <c r="AJ94" s="291">
        <v>92</v>
      </c>
    </row>
    <row r="95" spans="1:36" ht="87" customHeight="1" thickBot="1">
      <c r="A95" s="241" t="s">
        <v>207</v>
      </c>
      <c r="B95" s="268" t="s">
        <v>353</v>
      </c>
      <c r="C95" s="250" t="s">
        <v>129</v>
      </c>
      <c r="D95" s="251" t="s">
        <v>480</v>
      </c>
      <c r="E95" s="252">
        <v>45170</v>
      </c>
      <c r="F95" s="281" t="s">
        <v>527</v>
      </c>
      <c r="G95" s="281"/>
      <c r="H95" s="282" t="s">
        <v>31</v>
      </c>
      <c r="I95" s="283"/>
      <c r="J95" s="284" t="s">
        <v>721</v>
      </c>
      <c r="K95" s="284"/>
      <c r="L95" s="285"/>
      <c r="M95" s="282" t="s">
        <v>26</v>
      </c>
      <c r="N95" s="283"/>
      <c r="O95" s="286"/>
      <c r="P95" s="286"/>
      <c r="Q95" s="287"/>
      <c r="R95" s="282"/>
      <c r="S95" s="283"/>
      <c r="T95" s="284"/>
      <c r="U95" s="282"/>
      <c r="V95" s="288"/>
      <c r="W95" s="283"/>
      <c r="X95" s="233"/>
      <c r="Y95" s="241" t="s">
        <v>390</v>
      </c>
      <c r="Z95" s="241" t="s">
        <v>391</v>
      </c>
      <c r="AA95" s="241"/>
      <c r="AB95" s="257" t="s">
        <v>208</v>
      </c>
      <c r="AC95" s="289" t="s">
        <v>208</v>
      </c>
      <c r="AD95" s="289"/>
      <c r="AE95" s="289"/>
      <c r="AF95" s="290"/>
      <c r="AG95" s="290"/>
      <c r="AH95" s="290" t="s">
        <v>609</v>
      </c>
      <c r="AI95" s="290"/>
      <c r="AJ95" s="291">
        <v>93</v>
      </c>
    </row>
    <row r="96" spans="1:36" ht="73.150000000000006" customHeight="1" thickBot="1">
      <c r="A96" s="241" t="s">
        <v>207</v>
      </c>
      <c r="B96" s="268" t="s">
        <v>354</v>
      </c>
      <c r="C96" s="250" t="s">
        <v>129</v>
      </c>
      <c r="D96" s="251" t="s">
        <v>130</v>
      </c>
      <c r="E96" s="252">
        <v>45352</v>
      </c>
      <c r="F96" s="281" t="s">
        <v>596</v>
      </c>
      <c r="G96" s="281"/>
      <c r="H96" s="282" t="s">
        <v>35</v>
      </c>
      <c r="I96" s="283"/>
      <c r="J96" s="284"/>
      <c r="K96" s="284"/>
      <c r="L96" s="285"/>
      <c r="M96" s="282" t="s">
        <v>35</v>
      </c>
      <c r="N96" s="283"/>
      <c r="O96" s="286"/>
      <c r="P96" s="286"/>
      <c r="Q96" s="287"/>
      <c r="R96" s="282"/>
      <c r="S96" s="283"/>
      <c r="T96" s="284"/>
      <c r="U96" s="285"/>
      <c r="V96" s="288"/>
      <c r="W96" s="283"/>
      <c r="X96" s="233"/>
      <c r="Y96" s="241" t="s">
        <v>390</v>
      </c>
      <c r="Z96" s="241" t="s">
        <v>391</v>
      </c>
      <c r="AA96" s="241"/>
      <c r="AB96" s="257" t="s">
        <v>208</v>
      </c>
      <c r="AC96" s="289" t="s">
        <v>208</v>
      </c>
      <c r="AD96" s="289"/>
      <c r="AE96" s="289"/>
      <c r="AF96" s="290"/>
      <c r="AG96" s="290"/>
      <c r="AH96" s="290" t="s">
        <v>609</v>
      </c>
      <c r="AI96" s="290"/>
      <c r="AJ96" s="291">
        <v>94</v>
      </c>
    </row>
    <row r="97" spans="1:37" ht="73.150000000000006" customHeight="1" thickBot="1">
      <c r="A97" s="241" t="s">
        <v>207</v>
      </c>
      <c r="B97" s="268" t="s">
        <v>355</v>
      </c>
      <c r="C97" s="250" t="s">
        <v>129</v>
      </c>
      <c r="D97" s="251" t="s">
        <v>131</v>
      </c>
      <c r="E97" s="252">
        <v>45352</v>
      </c>
      <c r="F97" s="281"/>
      <c r="G97" s="281"/>
      <c r="H97" s="282" t="s">
        <v>35</v>
      </c>
      <c r="I97" s="312"/>
      <c r="J97" s="284" t="s">
        <v>629</v>
      </c>
      <c r="K97" s="284"/>
      <c r="L97" s="285"/>
      <c r="M97" s="282" t="s">
        <v>31</v>
      </c>
      <c r="N97" s="283"/>
      <c r="O97" s="286"/>
      <c r="P97" s="286"/>
      <c r="Q97" s="287"/>
      <c r="R97" s="282"/>
      <c r="S97" s="283"/>
      <c r="T97" s="285"/>
      <c r="U97" s="285"/>
      <c r="V97" s="288"/>
      <c r="W97" s="283"/>
      <c r="X97" s="232"/>
      <c r="Y97" s="241" t="s">
        <v>390</v>
      </c>
      <c r="Z97" s="241" t="s">
        <v>391</v>
      </c>
      <c r="AA97" s="241"/>
      <c r="AB97" s="257" t="s">
        <v>208</v>
      </c>
      <c r="AC97" s="289" t="s">
        <v>208</v>
      </c>
      <c r="AD97" s="289"/>
      <c r="AE97" s="289"/>
      <c r="AF97" s="290"/>
      <c r="AG97" s="290"/>
      <c r="AH97" s="290" t="s">
        <v>609</v>
      </c>
      <c r="AI97" s="290"/>
      <c r="AJ97" s="291">
        <v>95</v>
      </c>
    </row>
    <row r="98" spans="1:37" ht="73.150000000000006" customHeight="1" thickBot="1">
      <c r="A98" s="241" t="s">
        <v>207</v>
      </c>
      <c r="B98" s="268" t="s">
        <v>356</v>
      </c>
      <c r="C98" s="250" t="s">
        <v>87</v>
      </c>
      <c r="D98" s="251" t="s">
        <v>357</v>
      </c>
      <c r="E98" s="252">
        <v>45170</v>
      </c>
      <c r="F98" s="281" t="s">
        <v>528</v>
      </c>
      <c r="G98" s="281"/>
      <c r="H98" s="282" t="s">
        <v>31</v>
      </c>
      <c r="I98" s="312"/>
      <c r="J98" s="284" t="s">
        <v>679</v>
      </c>
      <c r="K98" s="284"/>
      <c r="L98" s="285"/>
      <c r="M98" s="282" t="s">
        <v>22</v>
      </c>
      <c r="N98" s="283"/>
      <c r="O98" s="286"/>
      <c r="P98" s="286"/>
      <c r="Q98" s="287"/>
      <c r="R98" s="282"/>
      <c r="S98" s="283"/>
      <c r="T98" s="286"/>
      <c r="U98" s="285"/>
      <c r="V98" s="288"/>
      <c r="W98" s="283"/>
      <c r="X98" s="232"/>
      <c r="Y98" s="241" t="s">
        <v>390</v>
      </c>
      <c r="Z98" s="241" t="s">
        <v>391</v>
      </c>
      <c r="AA98" s="241"/>
      <c r="AB98" s="257" t="s">
        <v>208</v>
      </c>
      <c r="AC98" s="289" t="s">
        <v>208</v>
      </c>
      <c r="AD98" s="289"/>
      <c r="AE98" s="289"/>
      <c r="AF98" s="290"/>
      <c r="AG98" s="290"/>
      <c r="AH98" s="290" t="s">
        <v>609</v>
      </c>
      <c r="AI98" s="290"/>
      <c r="AJ98" s="291">
        <v>96</v>
      </c>
    </row>
    <row r="99" spans="1:37" ht="81" customHeight="1" thickBot="1">
      <c r="A99" s="241" t="s">
        <v>207</v>
      </c>
      <c r="B99" s="268" t="s">
        <v>358</v>
      </c>
      <c r="C99" s="250" t="s">
        <v>87</v>
      </c>
      <c r="D99" s="251" t="s">
        <v>126</v>
      </c>
      <c r="E99" s="252">
        <v>45139</v>
      </c>
      <c r="F99" s="281" t="s">
        <v>611</v>
      </c>
      <c r="G99" s="281"/>
      <c r="H99" s="282" t="s">
        <v>32</v>
      </c>
      <c r="I99" s="312"/>
      <c r="J99" s="284" t="s">
        <v>713</v>
      </c>
      <c r="K99" s="284"/>
      <c r="L99" s="285"/>
      <c r="M99" s="282" t="s">
        <v>26</v>
      </c>
      <c r="N99" s="283"/>
      <c r="O99" s="286"/>
      <c r="P99" s="286"/>
      <c r="Q99" s="287"/>
      <c r="R99" s="282"/>
      <c r="S99" s="283"/>
      <c r="T99" s="284"/>
      <c r="U99" s="285"/>
      <c r="V99" s="288"/>
      <c r="W99" s="283"/>
      <c r="X99" s="233"/>
      <c r="Y99" s="241" t="s">
        <v>390</v>
      </c>
      <c r="Z99" s="241" t="s">
        <v>391</v>
      </c>
      <c r="AA99" s="241"/>
      <c r="AB99" s="257" t="s">
        <v>208</v>
      </c>
      <c r="AC99" s="289" t="s">
        <v>208</v>
      </c>
      <c r="AD99" s="289"/>
      <c r="AE99" s="289"/>
      <c r="AF99" s="290"/>
      <c r="AG99" s="290"/>
      <c r="AH99" s="290" t="s">
        <v>609</v>
      </c>
      <c r="AI99" s="290"/>
      <c r="AJ99" s="291">
        <v>97</v>
      </c>
    </row>
    <row r="100" spans="1:37" ht="96" customHeight="1" thickBot="1">
      <c r="A100" s="241" t="s">
        <v>207</v>
      </c>
      <c r="B100" s="268" t="s">
        <v>359</v>
      </c>
      <c r="C100" s="250" t="s">
        <v>87</v>
      </c>
      <c r="D100" s="251" t="s">
        <v>128</v>
      </c>
      <c r="E100" s="252">
        <v>45323</v>
      </c>
      <c r="F100" s="281" t="s">
        <v>612</v>
      </c>
      <c r="G100" s="281"/>
      <c r="H100" s="282" t="s">
        <v>32</v>
      </c>
      <c r="I100" s="283"/>
      <c r="J100" s="285" t="s">
        <v>730</v>
      </c>
      <c r="K100" s="284"/>
      <c r="L100" s="285"/>
      <c r="M100" s="282" t="s">
        <v>30</v>
      </c>
      <c r="N100" s="283"/>
      <c r="O100" s="286"/>
      <c r="P100" s="286"/>
      <c r="Q100" s="287"/>
      <c r="R100" s="282"/>
      <c r="S100" s="283"/>
      <c r="T100" s="284"/>
      <c r="U100" s="285"/>
      <c r="V100" s="288"/>
      <c r="W100" s="284"/>
      <c r="X100" s="233"/>
      <c r="Y100" s="241" t="s">
        <v>390</v>
      </c>
      <c r="Z100" s="241" t="s">
        <v>391</v>
      </c>
      <c r="AA100" s="241"/>
      <c r="AB100" s="257" t="s">
        <v>208</v>
      </c>
      <c r="AC100" s="289" t="s">
        <v>208</v>
      </c>
      <c r="AD100" s="289"/>
      <c r="AE100" s="289"/>
      <c r="AF100" s="290"/>
      <c r="AG100" s="290"/>
      <c r="AH100" s="290" t="s">
        <v>609</v>
      </c>
      <c r="AI100" s="290"/>
      <c r="AJ100" s="291">
        <v>98</v>
      </c>
    </row>
    <row r="101" spans="1:37" ht="93" customHeight="1" thickBot="1">
      <c r="A101" s="241" t="s">
        <v>207</v>
      </c>
      <c r="B101" s="268" t="s">
        <v>360</v>
      </c>
      <c r="C101" s="250" t="s">
        <v>87</v>
      </c>
      <c r="D101" s="251" t="s">
        <v>127</v>
      </c>
      <c r="E101" s="252">
        <v>45108</v>
      </c>
      <c r="F101" s="281" t="s">
        <v>602</v>
      </c>
      <c r="G101" s="281"/>
      <c r="H101" s="282" t="s">
        <v>31</v>
      </c>
      <c r="I101" s="283"/>
      <c r="J101" s="285" t="s">
        <v>630</v>
      </c>
      <c r="K101" s="284"/>
      <c r="L101" s="285"/>
      <c r="M101" s="282" t="s">
        <v>22</v>
      </c>
      <c r="N101" s="283"/>
      <c r="O101" s="286"/>
      <c r="P101" s="286"/>
      <c r="Q101" s="287"/>
      <c r="R101" s="282"/>
      <c r="S101" s="283"/>
      <c r="T101" s="284"/>
      <c r="U101" s="285"/>
      <c r="V101" s="288"/>
      <c r="W101" s="283"/>
      <c r="X101" s="232"/>
      <c r="Y101" s="241" t="s">
        <v>390</v>
      </c>
      <c r="Z101" s="241" t="s">
        <v>391</v>
      </c>
      <c r="AA101" s="241"/>
      <c r="AB101" s="257" t="s">
        <v>208</v>
      </c>
      <c r="AC101" s="289" t="s">
        <v>208</v>
      </c>
      <c r="AD101" s="289"/>
      <c r="AE101" s="289"/>
      <c r="AF101" s="290"/>
      <c r="AG101" s="290"/>
      <c r="AH101" s="290" t="s">
        <v>609</v>
      </c>
      <c r="AI101" s="290"/>
      <c r="AJ101" s="291">
        <v>99</v>
      </c>
    </row>
    <row r="102" spans="1:37" ht="84.6" customHeight="1" thickBot="1">
      <c r="A102" s="241" t="s">
        <v>207</v>
      </c>
      <c r="B102" s="268" t="s">
        <v>361</v>
      </c>
      <c r="C102" s="250" t="s">
        <v>132</v>
      </c>
      <c r="D102" s="251" t="s">
        <v>362</v>
      </c>
      <c r="E102" s="252">
        <v>45108</v>
      </c>
      <c r="F102" s="281" t="s">
        <v>529</v>
      </c>
      <c r="G102" s="281"/>
      <c r="H102" s="282" t="s">
        <v>31</v>
      </c>
      <c r="I102" s="283"/>
      <c r="J102" s="284" t="s">
        <v>631</v>
      </c>
      <c r="K102" s="284"/>
      <c r="L102" s="285"/>
      <c r="M102" s="282" t="s">
        <v>22</v>
      </c>
      <c r="N102" s="283"/>
      <c r="O102" s="286"/>
      <c r="P102" s="286"/>
      <c r="Q102" s="287"/>
      <c r="R102" s="282"/>
      <c r="S102" s="283"/>
      <c r="T102" s="284"/>
      <c r="U102" s="285"/>
      <c r="V102" s="288"/>
      <c r="W102" s="283"/>
      <c r="X102" s="233"/>
      <c r="Y102" s="241" t="s">
        <v>390</v>
      </c>
      <c r="Z102" s="241" t="s">
        <v>391</v>
      </c>
      <c r="AA102" s="241"/>
      <c r="AB102" s="257" t="s">
        <v>208</v>
      </c>
      <c r="AC102" s="289" t="s">
        <v>208</v>
      </c>
      <c r="AD102" s="289"/>
      <c r="AE102" s="289"/>
      <c r="AF102" s="290"/>
      <c r="AG102" s="290"/>
      <c r="AH102" s="290" t="s">
        <v>609</v>
      </c>
      <c r="AI102" s="290"/>
      <c r="AJ102" s="291">
        <v>100</v>
      </c>
    </row>
    <row r="103" spans="1:37" ht="87.6" customHeight="1" thickBot="1">
      <c r="A103" s="241" t="s">
        <v>207</v>
      </c>
      <c r="B103" s="268" t="s">
        <v>363</v>
      </c>
      <c r="C103" s="250" t="s">
        <v>132</v>
      </c>
      <c r="D103" s="251" t="s">
        <v>364</v>
      </c>
      <c r="E103" s="252">
        <v>45108</v>
      </c>
      <c r="F103" s="281" t="s">
        <v>569</v>
      </c>
      <c r="G103" s="281"/>
      <c r="H103" s="282" t="s">
        <v>31</v>
      </c>
      <c r="I103" s="283" t="s">
        <v>570</v>
      </c>
      <c r="J103" s="284" t="s">
        <v>632</v>
      </c>
      <c r="K103" s="285"/>
      <c r="L103" s="285"/>
      <c r="M103" s="282" t="s">
        <v>22</v>
      </c>
      <c r="N103" s="349"/>
      <c r="O103" s="286"/>
      <c r="P103" s="286"/>
      <c r="Q103" s="287"/>
      <c r="R103" s="282"/>
      <c r="S103" s="283"/>
      <c r="T103" s="284"/>
      <c r="U103" s="284"/>
      <c r="V103" s="288"/>
      <c r="W103" s="283"/>
      <c r="X103" s="233"/>
      <c r="Y103" s="241" t="s">
        <v>390</v>
      </c>
      <c r="Z103" s="241" t="s">
        <v>391</v>
      </c>
      <c r="AA103" s="241"/>
      <c r="AB103" s="257" t="s">
        <v>208</v>
      </c>
      <c r="AC103" s="289" t="s">
        <v>208</v>
      </c>
      <c r="AD103" s="289"/>
      <c r="AE103" s="289"/>
      <c r="AF103" s="290"/>
      <c r="AG103" s="290"/>
      <c r="AH103" s="290" t="s">
        <v>609</v>
      </c>
      <c r="AI103" s="290"/>
      <c r="AJ103" s="291">
        <v>101</v>
      </c>
    </row>
    <row r="104" spans="1:37" ht="107.45" customHeight="1" thickBot="1">
      <c r="A104" s="241" t="s">
        <v>207</v>
      </c>
      <c r="B104" s="268" t="s">
        <v>365</v>
      </c>
      <c r="C104" s="250" t="s">
        <v>132</v>
      </c>
      <c r="D104" s="251" t="s">
        <v>366</v>
      </c>
      <c r="E104" s="252">
        <v>45170</v>
      </c>
      <c r="F104" s="281"/>
      <c r="G104" s="281"/>
      <c r="H104" s="282" t="s">
        <v>35</v>
      </c>
      <c r="I104" s="283"/>
      <c r="J104" s="284" t="s">
        <v>680</v>
      </c>
      <c r="K104" s="293"/>
      <c r="L104" s="294"/>
      <c r="M104" s="282" t="s">
        <v>22</v>
      </c>
      <c r="N104" s="295"/>
      <c r="O104" s="286"/>
      <c r="P104" s="286"/>
      <c r="Q104" s="287"/>
      <c r="R104" s="282"/>
      <c r="S104" s="295"/>
      <c r="T104" s="293"/>
      <c r="U104" s="294"/>
      <c r="V104" s="288"/>
      <c r="W104" s="295"/>
      <c r="X104" s="233"/>
      <c r="Y104" s="241" t="s">
        <v>390</v>
      </c>
      <c r="Z104" s="241" t="s">
        <v>391</v>
      </c>
      <c r="AA104" s="241"/>
      <c r="AB104" s="257" t="s">
        <v>208</v>
      </c>
      <c r="AC104" s="289" t="s">
        <v>208</v>
      </c>
      <c r="AD104" s="289"/>
      <c r="AE104" s="289"/>
      <c r="AF104" s="290"/>
      <c r="AG104" s="290"/>
      <c r="AH104" s="290" t="s">
        <v>609</v>
      </c>
      <c r="AI104" s="290"/>
      <c r="AJ104" s="291">
        <v>102</v>
      </c>
    </row>
    <row r="105" spans="1:37" ht="88.15" customHeight="1" thickBot="1">
      <c r="A105" s="241" t="s">
        <v>207</v>
      </c>
      <c r="B105" s="268" t="s">
        <v>367</v>
      </c>
      <c r="C105" s="250" t="s">
        <v>88</v>
      </c>
      <c r="D105" s="251" t="s">
        <v>368</v>
      </c>
      <c r="E105" s="252">
        <v>45352</v>
      </c>
      <c r="F105" s="281" t="s">
        <v>530</v>
      </c>
      <c r="G105" s="281"/>
      <c r="H105" s="282" t="s">
        <v>31</v>
      </c>
      <c r="I105" s="283"/>
      <c r="J105" s="284" t="s">
        <v>714</v>
      </c>
      <c r="K105" s="284"/>
      <c r="L105" s="285"/>
      <c r="M105" s="282" t="s">
        <v>31</v>
      </c>
      <c r="N105" s="283"/>
      <c r="O105" s="293"/>
      <c r="P105" s="286"/>
      <c r="Q105" s="287"/>
      <c r="R105" s="282"/>
      <c r="S105" s="283"/>
      <c r="T105" s="284"/>
      <c r="U105" s="285"/>
      <c r="V105" s="288"/>
      <c r="W105" s="283"/>
      <c r="X105" s="233"/>
      <c r="Y105" s="241" t="s">
        <v>390</v>
      </c>
      <c r="Z105" s="241" t="s">
        <v>391</v>
      </c>
      <c r="AA105" s="241"/>
      <c r="AB105" s="257" t="s">
        <v>208</v>
      </c>
      <c r="AC105" s="289" t="s">
        <v>208</v>
      </c>
      <c r="AD105" s="289"/>
      <c r="AE105" s="289"/>
      <c r="AF105" s="290"/>
      <c r="AG105" s="290"/>
      <c r="AH105" s="290" t="s">
        <v>609</v>
      </c>
      <c r="AI105" s="290"/>
      <c r="AJ105" s="291">
        <v>103</v>
      </c>
    </row>
    <row r="106" spans="1:37" ht="96.6" customHeight="1" thickBot="1">
      <c r="A106" s="241" t="s">
        <v>207</v>
      </c>
      <c r="B106" s="268" t="s">
        <v>369</v>
      </c>
      <c r="C106" s="250" t="s">
        <v>88</v>
      </c>
      <c r="D106" s="251" t="s">
        <v>133</v>
      </c>
      <c r="E106" s="252">
        <v>45352</v>
      </c>
      <c r="F106" s="281" t="s">
        <v>531</v>
      </c>
      <c r="G106" s="281"/>
      <c r="H106" s="282" t="s">
        <v>35</v>
      </c>
      <c r="I106" s="283"/>
      <c r="J106" s="293" t="s">
        <v>633</v>
      </c>
      <c r="K106" s="284"/>
      <c r="L106" s="285"/>
      <c r="M106" s="282" t="s">
        <v>31</v>
      </c>
      <c r="N106" s="283"/>
      <c r="O106" s="293"/>
      <c r="P106" s="286"/>
      <c r="Q106" s="287"/>
      <c r="R106" s="282"/>
      <c r="S106" s="283"/>
      <c r="T106" s="304"/>
      <c r="U106" s="285"/>
      <c r="V106" s="288"/>
      <c r="W106" s="283"/>
      <c r="X106" s="233"/>
      <c r="Y106" s="241" t="s">
        <v>390</v>
      </c>
      <c r="Z106" s="241" t="s">
        <v>391</v>
      </c>
      <c r="AA106" s="241"/>
      <c r="AB106" s="257" t="s">
        <v>208</v>
      </c>
      <c r="AC106" s="289" t="s">
        <v>482</v>
      </c>
      <c r="AD106" s="289" t="s">
        <v>208</v>
      </c>
      <c r="AE106" s="289"/>
      <c r="AF106" s="290"/>
      <c r="AG106" s="290"/>
      <c r="AH106" s="290" t="s">
        <v>609</v>
      </c>
      <c r="AI106" s="290" t="s">
        <v>609</v>
      </c>
      <c r="AJ106" s="291">
        <v>104</v>
      </c>
    </row>
    <row r="107" spans="1:37" ht="73.150000000000006" customHeight="1" thickBot="1">
      <c r="A107" s="241" t="s">
        <v>424</v>
      </c>
      <c r="B107" s="268" t="s">
        <v>370</v>
      </c>
      <c r="C107" s="250" t="s">
        <v>4</v>
      </c>
      <c r="D107" s="251" t="s">
        <v>92</v>
      </c>
      <c r="E107" s="252" t="s">
        <v>104</v>
      </c>
      <c r="F107" s="327" t="s">
        <v>509</v>
      </c>
      <c r="G107" s="281"/>
      <c r="H107" s="282" t="s">
        <v>31</v>
      </c>
      <c r="I107" s="283"/>
      <c r="J107" s="293" t="s">
        <v>731</v>
      </c>
      <c r="K107" s="293"/>
      <c r="L107" s="294"/>
      <c r="M107" s="282" t="s">
        <v>31</v>
      </c>
      <c r="N107" s="295"/>
      <c r="O107" s="286"/>
      <c r="P107" s="286"/>
      <c r="Q107" s="287"/>
      <c r="R107" s="282"/>
      <c r="S107" s="295"/>
      <c r="T107" s="293"/>
      <c r="U107" s="294"/>
      <c r="V107" s="288"/>
      <c r="W107" s="295"/>
      <c r="X107" s="233"/>
      <c r="Y107" s="241" t="s">
        <v>390</v>
      </c>
      <c r="Z107" s="241" t="s">
        <v>402</v>
      </c>
      <c r="AA107" s="241"/>
      <c r="AB107" s="257" t="s">
        <v>208</v>
      </c>
      <c r="AC107" s="289" t="s">
        <v>482</v>
      </c>
      <c r="AD107" s="289" t="s">
        <v>208</v>
      </c>
      <c r="AE107" s="289"/>
      <c r="AF107" s="290"/>
      <c r="AG107" s="290"/>
      <c r="AH107" s="290" t="s">
        <v>609</v>
      </c>
      <c r="AI107" s="290" t="s">
        <v>609</v>
      </c>
      <c r="AJ107" s="291">
        <v>105</v>
      </c>
    </row>
    <row r="108" spans="1:37" ht="73.150000000000006" customHeight="1" thickBot="1">
      <c r="A108" s="241" t="s">
        <v>424</v>
      </c>
      <c r="B108" s="268" t="s">
        <v>371</v>
      </c>
      <c r="C108" s="250" t="s">
        <v>6</v>
      </c>
      <c r="D108" s="251" t="s">
        <v>92</v>
      </c>
      <c r="E108" s="252" t="s">
        <v>104</v>
      </c>
      <c r="F108" s="310" t="s">
        <v>511</v>
      </c>
      <c r="G108" s="281"/>
      <c r="H108" s="282" t="s">
        <v>31</v>
      </c>
      <c r="I108" s="283"/>
      <c r="J108" s="284" t="s">
        <v>732</v>
      </c>
      <c r="K108" s="284"/>
      <c r="L108" s="285"/>
      <c r="M108" s="282" t="s">
        <v>31</v>
      </c>
      <c r="N108" s="283"/>
      <c r="O108" s="286"/>
      <c r="P108" s="286"/>
      <c r="Q108" s="287"/>
      <c r="R108" s="282"/>
      <c r="S108" s="283"/>
      <c r="T108" s="284"/>
      <c r="U108" s="285"/>
      <c r="V108" s="288"/>
      <c r="W108" s="283"/>
      <c r="X108" s="232"/>
      <c r="Y108" s="241" t="s">
        <v>390</v>
      </c>
      <c r="Z108" s="241" t="s">
        <v>402</v>
      </c>
      <c r="AA108" s="241"/>
      <c r="AB108" s="257" t="s">
        <v>208</v>
      </c>
      <c r="AC108" s="289" t="s">
        <v>482</v>
      </c>
      <c r="AD108" s="289" t="s">
        <v>208</v>
      </c>
      <c r="AE108" s="289"/>
      <c r="AF108" s="290"/>
      <c r="AG108" s="290"/>
      <c r="AH108" s="290" t="s">
        <v>609</v>
      </c>
      <c r="AI108" s="290" t="s">
        <v>609</v>
      </c>
      <c r="AJ108" s="291">
        <v>106</v>
      </c>
    </row>
    <row r="109" spans="1:37" ht="73.150000000000006" customHeight="1" thickBot="1">
      <c r="A109" s="241" t="s">
        <v>424</v>
      </c>
      <c r="B109" s="268" t="s">
        <v>372</v>
      </c>
      <c r="C109" s="250" t="s">
        <v>7</v>
      </c>
      <c r="D109" s="251" t="s">
        <v>5</v>
      </c>
      <c r="E109" s="252" t="s">
        <v>104</v>
      </c>
      <c r="F109" s="281" t="s">
        <v>510</v>
      </c>
      <c r="G109" s="281"/>
      <c r="H109" s="282" t="s">
        <v>31</v>
      </c>
      <c r="I109" s="283"/>
      <c r="J109" s="284" t="s">
        <v>733</v>
      </c>
      <c r="K109" s="284"/>
      <c r="L109" s="285"/>
      <c r="M109" s="282" t="s">
        <v>31</v>
      </c>
      <c r="N109" s="283"/>
      <c r="O109" s="286"/>
      <c r="P109" s="286"/>
      <c r="Q109" s="287"/>
      <c r="R109" s="282"/>
      <c r="S109" s="283"/>
      <c r="T109" s="284"/>
      <c r="U109" s="282"/>
      <c r="V109" s="288"/>
      <c r="W109" s="283"/>
      <c r="X109" s="232"/>
      <c r="Y109" s="241" t="s">
        <v>390</v>
      </c>
      <c r="Z109" s="241" t="s">
        <v>402</v>
      </c>
      <c r="AA109" s="241"/>
      <c r="AB109" s="257" t="s">
        <v>208</v>
      </c>
      <c r="AC109" s="289" t="s">
        <v>482</v>
      </c>
      <c r="AD109" s="289" t="s">
        <v>208</v>
      </c>
      <c r="AE109" s="289"/>
      <c r="AF109" s="290"/>
      <c r="AG109" s="290"/>
      <c r="AH109" s="290" t="s">
        <v>609</v>
      </c>
      <c r="AI109" s="290" t="s">
        <v>609</v>
      </c>
      <c r="AJ109" s="291">
        <v>107</v>
      </c>
    </row>
    <row r="110" spans="1:37" ht="73.150000000000006" customHeight="1" thickBot="1">
      <c r="A110" s="241" t="s">
        <v>424</v>
      </c>
      <c r="B110" s="268" t="s">
        <v>373</v>
      </c>
      <c r="C110" s="250" t="s">
        <v>94</v>
      </c>
      <c r="D110" s="251" t="s">
        <v>193</v>
      </c>
      <c r="E110" s="252">
        <v>45078</v>
      </c>
      <c r="F110" s="314" t="s">
        <v>512</v>
      </c>
      <c r="G110" s="281"/>
      <c r="H110" s="282" t="s">
        <v>31</v>
      </c>
      <c r="I110" s="283"/>
      <c r="J110" s="350" t="s">
        <v>702</v>
      </c>
      <c r="K110" s="351"/>
      <c r="L110" s="344"/>
      <c r="M110" s="282" t="s">
        <v>31</v>
      </c>
      <c r="N110" s="295"/>
      <c r="O110" s="286"/>
      <c r="P110" s="286"/>
      <c r="Q110" s="287"/>
      <c r="R110" s="282"/>
      <c r="S110" s="295"/>
      <c r="T110" s="315"/>
      <c r="U110" s="319"/>
      <c r="V110" s="288"/>
      <c r="W110" s="295"/>
      <c r="X110" s="233"/>
      <c r="Y110" s="241" t="s">
        <v>390</v>
      </c>
      <c r="Z110" s="241" t="s">
        <v>402</v>
      </c>
      <c r="AA110" s="241"/>
      <c r="AB110" s="257" t="s">
        <v>208</v>
      </c>
      <c r="AC110" s="289" t="s">
        <v>482</v>
      </c>
      <c r="AD110" s="289"/>
      <c r="AE110" s="289"/>
      <c r="AF110" s="290"/>
      <c r="AG110" s="290"/>
      <c r="AH110" s="290"/>
      <c r="AI110" s="290" t="s">
        <v>609</v>
      </c>
      <c r="AJ110" s="291">
        <v>108</v>
      </c>
      <c r="AK110" s="291" t="s">
        <v>484</v>
      </c>
    </row>
    <row r="111" spans="1:37" ht="68.45" customHeight="1" thickBot="1">
      <c r="A111" s="241" t="s">
        <v>107</v>
      </c>
      <c r="B111" s="268" t="s">
        <v>374</v>
      </c>
      <c r="C111" s="250" t="s">
        <v>94</v>
      </c>
      <c r="D111" s="251" t="s">
        <v>194</v>
      </c>
      <c r="E111" s="252">
        <v>45231</v>
      </c>
      <c r="F111" s="314" t="s">
        <v>520</v>
      </c>
      <c r="G111" s="314"/>
      <c r="H111" s="282" t="s">
        <v>31</v>
      </c>
      <c r="I111" s="283"/>
      <c r="J111" s="315"/>
      <c r="K111" s="315"/>
      <c r="L111" s="314"/>
      <c r="M111" s="282" t="s">
        <v>31</v>
      </c>
      <c r="N111" s="283"/>
      <c r="O111" s="286"/>
      <c r="P111" s="286"/>
      <c r="Q111" s="287"/>
      <c r="R111" s="282"/>
      <c r="S111" s="295"/>
      <c r="T111" s="315"/>
      <c r="U111" s="320"/>
      <c r="V111" s="288"/>
      <c r="W111" s="295"/>
      <c r="X111" s="233"/>
      <c r="Y111" s="241" t="s">
        <v>390</v>
      </c>
      <c r="Z111" s="241" t="s">
        <v>402</v>
      </c>
      <c r="AA111" s="241"/>
      <c r="AB111" s="257" t="s">
        <v>208</v>
      </c>
      <c r="AC111" s="289" t="s">
        <v>482</v>
      </c>
      <c r="AD111" s="289"/>
      <c r="AE111" s="289"/>
      <c r="AF111" s="290"/>
      <c r="AG111" s="290"/>
      <c r="AH111" s="290"/>
      <c r="AI111" s="290" t="s">
        <v>609</v>
      </c>
      <c r="AJ111" s="291">
        <v>109</v>
      </c>
    </row>
    <row r="112" spans="1:37" ht="70.150000000000006" customHeight="1" thickBot="1">
      <c r="A112" s="241" t="s">
        <v>107</v>
      </c>
      <c r="B112" s="268" t="s">
        <v>459</v>
      </c>
      <c r="C112" s="250" t="s">
        <v>93</v>
      </c>
      <c r="D112" s="251" t="s">
        <v>460</v>
      </c>
      <c r="E112" s="252">
        <v>45352</v>
      </c>
      <c r="F112" s="314" t="s">
        <v>585</v>
      </c>
      <c r="G112" s="314"/>
      <c r="H112" s="282" t="s">
        <v>31</v>
      </c>
      <c r="I112" s="283"/>
      <c r="J112" s="351" t="s">
        <v>695</v>
      </c>
      <c r="K112" s="351"/>
      <c r="L112" s="344"/>
      <c r="M112" s="282" t="s">
        <v>31</v>
      </c>
      <c r="N112" s="295"/>
      <c r="O112" s="286"/>
      <c r="P112" s="286"/>
      <c r="Q112" s="287"/>
      <c r="R112" s="282"/>
      <c r="S112" s="295"/>
      <c r="T112" s="315"/>
      <c r="U112" s="320"/>
      <c r="V112" s="288"/>
      <c r="W112" s="295"/>
      <c r="X112" s="232"/>
      <c r="Y112" s="241" t="s">
        <v>390</v>
      </c>
      <c r="Z112" s="241" t="s">
        <v>402</v>
      </c>
      <c r="AA112" s="241"/>
      <c r="AB112" s="257" t="s">
        <v>208</v>
      </c>
      <c r="AC112" s="289" t="s">
        <v>482</v>
      </c>
      <c r="AD112" s="289"/>
      <c r="AE112" s="289"/>
      <c r="AF112" s="290"/>
      <c r="AG112" s="290"/>
      <c r="AH112" s="290"/>
      <c r="AI112" s="290" t="s">
        <v>609</v>
      </c>
      <c r="AJ112" s="291">
        <v>110</v>
      </c>
    </row>
    <row r="113" spans="1:36" ht="66" customHeight="1" thickBot="1">
      <c r="A113" s="241" t="s">
        <v>107</v>
      </c>
      <c r="B113" s="268" t="s">
        <v>462</v>
      </c>
      <c r="C113" s="250" t="s">
        <v>93</v>
      </c>
      <c r="D113" s="251" t="s">
        <v>461</v>
      </c>
      <c r="E113" s="252">
        <v>45352</v>
      </c>
      <c r="F113" s="314"/>
      <c r="G113" s="314"/>
      <c r="H113" s="282" t="s">
        <v>35</v>
      </c>
      <c r="I113" s="283"/>
      <c r="J113" s="351"/>
      <c r="K113" s="351"/>
      <c r="L113" s="344"/>
      <c r="M113" s="282" t="s">
        <v>35</v>
      </c>
      <c r="N113" s="295"/>
      <c r="O113" s="286"/>
      <c r="P113" s="286"/>
      <c r="Q113" s="287"/>
      <c r="R113" s="282"/>
      <c r="S113" s="295"/>
      <c r="T113" s="315"/>
      <c r="U113" s="320"/>
      <c r="V113" s="288"/>
      <c r="W113" s="295"/>
      <c r="X113" s="232"/>
      <c r="Y113" s="241" t="s">
        <v>390</v>
      </c>
      <c r="Z113" s="241" t="s">
        <v>402</v>
      </c>
      <c r="AA113" s="241"/>
      <c r="AB113" s="257" t="s">
        <v>208</v>
      </c>
      <c r="AC113" s="289" t="s">
        <v>482</v>
      </c>
      <c r="AD113" s="289"/>
      <c r="AE113" s="289"/>
      <c r="AF113" s="290"/>
      <c r="AG113" s="290"/>
      <c r="AH113" s="290"/>
      <c r="AI113" s="290" t="s">
        <v>609</v>
      </c>
      <c r="AJ113" s="291">
        <v>111</v>
      </c>
    </row>
    <row r="114" spans="1:36" ht="73.150000000000006" customHeight="1" thickBot="1">
      <c r="A114" s="241" t="s">
        <v>107</v>
      </c>
      <c r="B114" s="268" t="s">
        <v>375</v>
      </c>
      <c r="C114" s="250" t="s">
        <v>100</v>
      </c>
      <c r="D114" s="251" t="s">
        <v>376</v>
      </c>
      <c r="E114" s="252">
        <v>45200</v>
      </c>
      <c r="F114" s="281"/>
      <c r="G114" s="281"/>
      <c r="H114" s="282" t="s">
        <v>31</v>
      </c>
      <c r="I114" s="283"/>
      <c r="J114" s="284" t="s">
        <v>694</v>
      </c>
      <c r="K114" s="284"/>
      <c r="L114" s="285"/>
      <c r="M114" s="282" t="s">
        <v>31</v>
      </c>
      <c r="N114" s="283"/>
      <c r="O114" s="286"/>
      <c r="P114" s="286"/>
      <c r="Q114" s="287"/>
      <c r="R114" s="282"/>
      <c r="S114" s="283"/>
      <c r="T114" s="284"/>
      <c r="U114" s="285"/>
      <c r="V114" s="288"/>
      <c r="W114" s="283"/>
      <c r="X114" s="233"/>
      <c r="Y114" s="241" t="s">
        <v>390</v>
      </c>
      <c r="Z114" s="241" t="s">
        <v>402</v>
      </c>
      <c r="AA114" s="241"/>
      <c r="AB114" s="257" t="s">
        <v>208</v>
      </c>
      <c r="AC114" s="289" t="s">
        <v>208</v>
      </c>
      <c r="AD114" s="289"/>
      <c r="AE114" s="289"/>
      <c r="AF114" s="290"/>
      <c r="AG114" s="290"/>
      <c r="AH114" s="290" t="s">
        <v>609</v>
      </c>
      <c r="AI114" s="290"/>
      <c r="AJ114" s="291">
        <v>112</v>
      </c>
    </row>
    <row r="115" spans="1:36" ht="89.45" customHeight="1" thickBot="1">
      <c r="A115" s="241" t="s">
        <v>487</v>
      </c>
      <c r="B115" s="268" t="s">
        <v>377</v>
      </c>
      <c r="C115" s="250" t="s">
        <v>183</v>
      </c>
      <c r="D115" s="251" t="s">
        <v>184</v>
      </c>
      <c r="E115" s="252">
        <v>45261</v>
      </c>
      <c r="F115" s="281" t="s">
        <v>522</v>
      </c>
      <c r="G115" s="281"/>
      <c r="H115" s="282" t="s">
        <v>31</v>
      </c>
      <c r="I115" s="283"/>
      <c r="J115" s="285" t="s">
        <v>623</v>
      </c>
      <c r="K115" s="284"/>
      <c r="L115" s="285"/>
      <c r="M115" s="282" t="s">
        <v>31</v>
      </c>
      <c r="N115" s="283"/>
      <c r="O115" s="287"/>
      <c r="P115" s="286"/>
      <c r="Q115" s="287"/>
      <c r="R115" s="282"/>
      <c r="S115" s="283"/>
      <c r="T115" s="284"/>
      <c r="U115" s="285"/>
      <c r="V115" s="288"/>
      <c r="W115" s="283"/>
      <c r="X115" s="233"/>
      <c r="Y115" s="241" t="s">
        <v>400</v>
      </c>
      <c r="Z115" s="241" t="s">
        <v>415</v>
      </c>
      <c r="AA115" s="241"/>
      <c r="AB115" s="266" t="s">
        <v>211</v>
      </c>
      <c r="AC115" s="289" t="s">
        <v>482</v>
      </c>
      <c r="AD115" s="289"/>
      <c r="AE115" s="289"/>
      <c r="AF115" s="290"/>
      <c r="AG115" s="290"/>
      <c r="AH115" s="290"/>
      <c r="AI115" s="290" t="s">
        <v>609</v>
      </c>
      <c r="AJ115" s="291">
        <v>113</v>
      </c>
    </row>
    <row r="116" spans="1:36" ht="73.150000000000006" customHeight="1" thickBot="1">
      <c r="A116" s="241" t="s">
        <v>487</v>
      </c>
      <c r="B116" s="268" t="s">
        <v>378</v>
      </c>
      <c r="C116" s="250" t="s">
        <v>183</v>
      </c>
      <c r="D116" s="251" t="s">
        <v>103</v>
      </c>
      <c r="E116" s="252">
        <v>45352</v>
      </c>
      <c r="F116" s="281">
        <v>4.33</v>
      </c>
      <c r="G116" s="281">
        <v>4.5</v>
      </c>
      <c r="H116" s="282" t="s">
        <v>31</v>
      </c>
      <c r="I116" s="283" t="s">
        <v>521</v>
      </c>
      <c r="J116" s="285">
        <v>4.13</v>
      </c>
      <c r="K116" s="284">
        <v>4.24</v>
      </c>
      <c r="L116" s="285">
        <v>4.5</v>
      </c>
      <c r="M116" s="282" t="s">
        <v>31</v>
      </c>
      <c r="N116" s="283" t="s">
        <v>624</v>
      </c>
      <c r="O116" s="286"/>
      <c r="P116" s="286"/>
      <c r="Q116" s="287"/>
      <c r="R116" s="282"/>
      <c r="S116" s="283"/>
      <c r="T116" s="284"/>
      <c r="U116" s="285"/>
      <c r="V116" s="288"/>
      <c r="W116" s="283"/>
      <c r="X116" s="233"/>
      <c r="Y116" s="241" t="s">
        <v>400</v>
      </c>
      <c r="Z116" s="241" t="s">
        <v>415</v>
      </c>
      <c r="AA116" s="241"/>
      <c r="AB116" s="266" t="s">
        <v>211</v>
      </c>
      <c r="AC116" s="289" t="s">
        <v>482</v>
      </c>
      <c r="AD116" s="289"/>
      <c r="AE116" s="289"/>
      <c r="AF116" s="290"/>
      <c r="AG116" s="290"/>
      <c r="AH116" s="290"/>
      <c r="AI116" s="290" t="s">
        <v>609</v>
      </c>
      <c r="AJ116" s="291">
        <v>114</v>
      </c>
    </row>
    <row r="117" spans="1:36" ht="73.150000000000006" customHeight="1" thickBot="1">
      <c r="A117" s="241" t="s">
        <v>487</v>
      </c>
      <c r="B117" s="268" t="s">
        <v>453</v>
      </c>
      <c r="C117" s="250" t="s">
        <v>185</v>
      </c>
      <c r="D117" s="251" t="s">
        <v>456</v>
      </c>
      <c r="E117" s="252">
        <v>45352</v>
      </c>
      <c r="F117" s="328">
        <v>2577027.66</v>
      </c>
      <c r="G117" s="329" t="s">
        <v>534</v>
      </c>
      <c r="H117" s="282" t="s">
        <v>31</v>
      </c>
      <c r="I117" s="283" t="s">
        <v>535</v>
      </c>
      <c r="J117" s="285" t="s">
        <v>663</v>
      </c>
      <c r="K117" s="352">
        <v>6696596.8899999997</v>
      </c>
      <c r="L117" s="353">
        <v>6696596.8899999997</v>
      </c>
      <c r="M117" s="282" t="s">
        <v>31</v>
      </c>
      <c r="N117" s="283" t="s">
        <v>664</v>
      </c>
      <c r="O117" s="286"/>
      <c r="P117" s="286"/>
      <c r="Q117" s="287"/>
      <c r="R117" s="282"/>
      <c r="S117" s="283"/>
      <c r="T117" s="284"/>
      <c r="U117" s="285"/>
      <c r="V117" s="288"/>
      <c r="W117" s="283"/>
      <c r="X117" s="232"/>
      <c r="Y117" s="241" t="s">
        <v>400</v>
      </c>
      <c r="Z117" s="241" t="s">
        <v>415</v>
      </c>
      <c r="AA117" s="241"/>
      <c r="AB117" s="266" t="s">
        <v>211</v>
      </c>
      <c r="AC117" s="289" t="s">
        <v>482</v>
      </c>
      <c r="AD117" s="289"/>
      <c r="AE117" s="289"/>
      <c r="AF117" s="290"/>
      <c r="AG117" s="290"/>
      <c r="AH117" s="290"/>
      <c r="AI117" s="290" t="s">
        <v>609</v>
      </c>
      <c r="AJ117" s="291">
        <v>115</v>
      </c>
    </row>
    <row r="118" spans="1:36" ht="73.150000000000006" customHeight="1" thickBot="1">
      <c r="A118" s="241" t="s">
        <v>487</v>
      </c>
      <c r="B118" s="268" t="s">
        <v>454</v>
      </c>
      <c r="C118" s="250" t="s">
        <v>185</v>
      </c>
      <c r="D118" s="251" t="s">
        <v>457</v>
      </c>
      <c r="E118" s="252">
        <v>45352</v>
      </c>
      <c r="F118" s="328">
        <v>2297592.2799999998</v>
      </c>
      <c r="G118" s="281" t="s">
        <v>536</v>
      </c>
      <c r="H118" s="282" t="s">
        <v>31</v>
      </c>
      <c r="I118" s="283" t="s">
        <v>537</v>
      </c>
      <c r="J118" s="285"/>
      <c r="K118" s="354">
        <v>1858910.8</v>
      </c>
      <c r="L118" s="285" t="s">
        <v>666</v>
      </c>
      <c r="M118" s="282" t="s">
        <v>31</v>
      </c>
      <c r="N118" s="283" t="s">
        <v>717</v>
      </c>
      <c r="O118" s="286"/>
      <c r="P118" s="286"/>
      <c r="Q118" s="287"/>
      <c r="R118" s="282"/>
      <c r="S118" s="283"/>
      <c r="T118" s="284"/>
      <c r="U118" s="285"/>
      <c r="V118" s="288"/>
      <c r="W118" s="283"/>
      <c r="X118" s="232"/>
      <c r="Y118" s="241" t="s">
        <v>400</v>
      </c>
      <c r="Z118" s="241" t="s">
        <v>415</v>
      </c>
      <c r="AA118" s="241"/>
      <c r="AB118" s="266" t="s">
        <v>211</v>
      </c>
      <c r="AC118" s="289" t="s">
        <v>482</v>
      </c>
      <c r="AD118" s="289"/>
      <c r="AE118" s="289"/>
      <c r="AF118" s="290"/>
      <c r="AG118" s="290"/>
      <c r="AH118" s="290"/>
      <c r="AI118" s="290" t="s">
        <v>609</v>
      </c>
      <c r="AJ118" s="291">
        <v>116</v>
      </c>
    </row>
    <row r="119" spans="1:36" ht="73.150000000000006" customHeight="1" thickBot="1">
      <c r="A119" s="241" t="s">
        <v>487</v>
      </c>
      <c r="B119" s="268" t="s">
        <v>455</v>
      </c>
      <c r="C119" s="250" t="s">
        <v>185</v>
      </c>
      <c r="D119" s="251" t="s">
        <v>458</v>
      </c>
      <c r="E119" s="252">
        <v>45352</v>
      </c>
      <c r="F119" s="281" t="s">
        <v>538</v>
      </c>
      <c r="G119" s="281" t="s">
        <v>539</v>
      </c>
      <c r="H119" s="282" t="s">
        <v>35</v>
      </c>
      <c r="I119" s="283" t="s">
        <v>601</v>
      </c>
      <c r="J119" s="285" t="s">
        <v>663</v>
      </c>
      <c r="K119" s="352">
        <v>6696596.8899999997</v>
      </c>
      <c r="L119" s="353">
        <v>6696596.8899999997</v>
      </c>
      <c r="M119" s="282" t="s">
        <v>31</v>
      </c>
      <c r="N119" s="283" t="s">
        <v>664</v>
      </c>
      <c r="O119" s="286"/>
      <c r="P119" s="286"/>
      <c r="Q119" s="287"/>
      <c r="R119" s="282"/>
      <c r="S119" s="283"/>
      <c r="T119" s="284"/>
      <c r="U119" s="285"/>
      <c r="V119" s="288"/>
      <c r="W119" s="283"/>
      <c r="X119" s="232"/>
      <c r="Y119" s="241" t="s">
        <v>400</v>
      </c>
      <c r="Z119" s="241" t="s">
        <v>415</v>
      </c>
      <c r="AA119" s="241"/>
      <c r="AB119" s="266" t="s">
        <v>211</v>
      </c>
      <c r="AC119" s="289" t="s">
        <v>482</v>
      </c>
      <c r="AD119" s="289"/>
      <c r="AE119" s="289"/>
      <c r="AF119" s="290"/>
      <c r="AG119" s="290"/>
      <c r="AH119" s="290"/>
      <c r="AI119" s="290" t="s">
        <v>609</v>
      </c>
      <c r="AJ119" s="291">
        <v>117</v>
      </c>
    </row>
    <row r="120" spans="1:36" ht="73.150000000000006" customHeight="1" thickBot="1">
      <c r="A120" s="241" t="s">
        <v>487</v>
      </c>
      <c r="B120" s="268" t="s">
        <v>447</v>
      </c>
      <c r="C120" s="250" t="s">
        <v>186</v>
      </c>
      <c r="D120" s="251" t="s">
        <v>450</v>
      </c>
      <c r="E120" s="252">
        <v>45352</v>
      </c>
      <c r="F120" s="327">
        <v>0.91</v>
      </c>
      <c r="G120" s="330"/>
      <c r="H120" s="282" t="s">
        <v>31</v>
      </c>
      <c r="I120" s="283" t="s">
        <v>610</v>
      </c>
      <c r="J120" s="353">
        <v>1858910.8</v>
      </c>
      <c r="K120" s="354">
        <v>1858910.8</v>
      </c>
      <c r="L120" s="285" t="s">
        <v>666</v>
      </c>
      <c r="M120" s="282" t="s">
        <v>31</v>
      </c>
      <c r="N120" s="283" t="s">
        <v>717</v>
      </c>
      <c r="O120" s="286"/>
      <c r="P120" s="286"/>
      <c r="Q120" s="287"/>
      <c r="R120" s="282"/>
      <c r="S120" s="283"/>
      <c r="T120" s="284"/>
      <c r="U120" s="285"/>
      <c r="V120" s="288"/>
      <c r="W120" s="283"/>
      <c r="X120" s="232"/>
      <c r="Y120" s="241" t="s">
        <v>400</v>
      </c>
      <c r="Z120" s="241" t="s">
        <v>415</v>
      </c>
      <c r="AA120" s="241"/>
      <c r="AB120" s="266" t="s">
        <v>211</v>
      </c>
      <c r="AC120" s="289" t="s">
        <v>482</v>
      </c>
      <c r="AD120" s="289"/>
      <c r="AE120" s="289"/>
      <c r="AF120" s="290"/>
      <c r="AG120" s="290"/>
      <c r="AH120" s="290"/>
      <c r="AI120" s="290" t="s">
        <v>609</v>
      </c>
      <c r="AJ120" s="291">
        <v>118</v>
      </c>
    </row>
    <row r="121" spans="1:36" ht="73.150000000000006" customHeight="1" thickBot="1">
      <c r="A121" s="241" t="s">
        <v>487</v>
      </c>
      <c r="B121" s="268" t="s">
        <v>448</v>
      </c>
      <c r="C121" s="250" t="s">
        <v>186</v>
      </c>
      <c r="D121" s="251" t="s">
        <v>451</v>
      </c>
      <c r="E121" s="252">
        <v>45352</v>
      </c>
      <c r="F121" s="327">
        <v>0.85</v>
      </c>
      <c r="G121" s="330">
        <v>0.9</v>
      </c>
      <c r="H121" s="282" t="s">
        <v>31</v>
      </c>
      <c r="I121" s="283" t="s">
        <v>540</v>
      </c>
      <c r="J121" s="353">
        <v>106546.36</v>
      </c>
      <c r="K121" s="352">
        <v>106546.36</v>
      </c>
      <c r="L121" s="353">
        <v>106546.36</v>
      </c>
      <c r="M121" s="282" t="s">
        <v>31</v>
      </c>
      <c r="N121" s="355" t="s">
        <v>709</v>
      </c>
      <c r="O121" s="286"/>
      <c r="P121" s="286"/>
      <c r="Q121" s="287"/>
      <c r="R121" s="282"/>
      <c r="S121" s="283"/>
      <c r="T121" s="284"/>
      <c r="U121" s="285"/>
      <c r="V121" s="288"/>
      <c r="W121" s="283"/>
      <c r="X121" s="232"/>
      <c r="Y121" s="241" t="s">
        <v>400</v>
      </c>
      <c r="Z121" s="241" t="s">
        <v>415</v>
      </c>
      <c r="AA121" s="241"/>
      <c r="AB121" s="266" t="s">
        <v>211</v>
      </c>
      <c r="AC121" s="289" t="s">
        <v>482</v>
      </c>
      <c r="AD121" s="289"/>
      <c r="AE121" s="289"/>
      <c r="AF121" s="290"/>
      <c r="AG121" s="290"/>
      <c r="AH121" s="290"/>
      <c r="AI121" s="290" t="s">
        <v>609</v>
      </c>
      <c r="AJ121" s="291">
        <v>119</v>
      </c>
    </row>
    <row r="122" spans="1:36" ht="73.150000000000006" customHeight="1" thickBot="1">
      <c r="A122" s="241" t="s">
        <v>487</v>
      </c>
      <c r="B122" s="268" t="s">
        <v>449</v>
      </c>
      <c r="C122" s="250" t="s">
        <v>186</v>
      </c>
      <c r="D122" s="251" t="s">
        <v>452</v>
      </c>
      <c r="E122" s="252">
        <v>45352</v>
      </c>
      <c r="F122" s="327">
        <v>0.33</v>
      </c>
      <c r="G122" s="330">
        <v>0.5</v>
      </c>
      <c r="H122" s="282" t="s">
        <v>31</v>
      </c>
      <c r="I122" s="283"/>
      <c r="J122" s="358"/>
      <c r="K122" s="292">
        <v>0.77190000000000003</v>
      </c>
      <c r="L122" s="285"/>
      <c r="M122" s="282" t="s">
        <v>31</v>
      </c>
      <c r="N122" s="283" t="s">
        <v>703</v>
      </c>
      <c r="O122" s="286"/>
      <c r="P122" s="286"/>
      <c r="Q122" s="287"/>
      <c r="R122" s="282"/>
      <c r="S122" s="283"/>
      <c r="T122" s="284"/>
      <c r="U122" s="285"/>
      <c r="V122" s="288"/>
      <c r="W122" s="283"/>
      <c r="X122" s="232"/>
      <c r="Y122" s="241" t="s">
        <v>400</v>
      </c>
      <c r="Z122" s="241" t="s">
        <v>415</v>
      </c>
      <c r="AA122" s="241"/>
      <c r="AB122" s="266" t="s">
        <v>211</v>
      </c>
      <c r="AC122" s="289" t="s">
        <v>482</v>
      </c>
      <c r="AD122" s="289"/>
      <c r="AE122" s="289"/>
      <c r="AF122" s="290"/>
      <c r="AG122" s="290"/>
      <c r="AH122" s="290"/>
      <c r="AI122" s="290" t="s">
        <v>609</v>
      </c>
      <c r="AJ122" s="291">
        <v>120</v>
      </c>
    </row>
    <row r="123" spans="1:36" ht="73.150000000000006" customHeight="1" thickBot="1">
      <c r="A123" s="241" t="s">
        <v>487</v>
      </c>
      <c r="B123" s="268" t="s">
        <v>441</v>
      </c>
      <c r="C123" s="250" t="s">
        <v>444</v>
      </c>
      <c r="D123" s="251" t="s">
        <v>443</v>
      </c>
      <c r="E123" s="252">
        <v>45352</v>
      </c>
      <c r="F123" s="325" t="s">
        <v>532</v>
      </c>
      <c r="G123" s="330">
        <v>0.98</v>
      </c>
      <c r="H123" s="282" t="s">
        <v>31</v>
      </c>
      <c r="I123" s="283" t="s">
        <v>588</v>
      </c>
      <c r="J123" s="284"/>
      <c r="K123" s="292">
        <v>0.56359999999999999</v>
      </c>
      <c r="L123" s="285"/>
      <c r="M123" s="282" t="s">
        <v>31</v>
      </c>
      <c r="N123" s="283" t="s">
        <v>665</v>
      </c>
      <c r="O123" s="286"/>
      <c r="P123" s="286"/>
      <c r="Q123" s="287"/>
      <c r="R123" s="282"/>
      <c r="S123" s="283"/>
      <c r="T123" s="284"/>
      <c r="U123" s="285"/>
      <c r="V123" s="288"/>
      <c r="W123" s="283"/>
      <c r="X123" s="233"/>
      <c r="Y123" s="241" t="s">
        <v>400</v>
      </c>
      <c r="Z123" s="241" t="s">
        <v>415</v>
      </c>
      <c r="AA123" s="241"/>
      <c r="AB123" s="266" t="s">
        <v>211</v>
      </c>
      <c r="AC123" s="289" t="s">
        <v>482</v>
      </c>
      <c r="AD123" s="289"/>
      <c r="AE123" s="289"/>
      <c r="AF123" s="290"/>
      <c r="AG123" s="290"/>
      <c r="AH123" s="290"/>
      <c r="AI123" s="290" t="s">
        <v>609</v>
      </c>
      <c r="AJ123" s="291">
        <v>121</v>
      </c>
    </row>
    <row r="124" spans="1:36" ht="73.150000000000006" customHeight="1" thickBot="1">
      <c r="A124" s="241" t="s">
        <v>487</v>
      </c>
      <c r="B124" s="268" t="s">
        <v>442</v>
      </c>
      <c r="C124" s="250" t="s">
        <v>445</v>
      </c>
      <c r="D124" s="251" t="s">
        <v>446</v>
      </c>
      <c r="E124" s="252">
        <v>45352</v>
      </c>
      <c r="F124" s="281" t="s">
        <v>533</v>
      </c>
      <c r="G124" s="330">
        <v>0.99</v>
      </c>
      <c r="H124" s="282" t="s">
        <v>31</v>
      </c>
      <c r="I124" s="283" t="s">
        <v>589</v>
      </c>
      <c r="J124" s="285"/>
      <c r="K124" s="292">
        <v>0.6119</v>
      </c>
      <c r="L124" s="285"/>
      <c r="M124" s="282" t="s">
        <v>31</v>
      </c>
      <c r="N124" s="283" t="s">
        <v>710</v>
      </c>
      <c r="O124" s="286"/>
      <c r="P124" s="286"/>
      <c r="Q124" s="287"/>
      <c r="R124" s="282"/>
      <c r="S124" s="283"/>
      <c r="T124" s="284"/>
      <c r="U124" s="285"/>
      <c r="V124" s="288"/>
      <c r="W124" s="283"/>
      <c r="X124" s="233"/>
      <c r="Y124" s="241" t="s">
        <v>400</v>
      </c>
      <c r="Z124" s="241" t="s">
        <v>415</v>
      </c>
      <c r="AA124" s="241"/>
      <c r="AB124" s="266" t="s">
        <v>211</v>
      </c>
      <c r="AC124" s="289" t="s">
        <v>482</v>
      </c>
      <c r="AD124" s="289"/>
      <c r="AE124" s="289"/>
      <c r="AF124" s="290"/>
      <c r="AG124" s="290"/>
      <c r="AH124" s="290"/>
      <c r="AI124" s="290" t="s">
        <v>609</v>
      </c>
      <c r="AJ124" s="291">
        <v>122</v>
      </c>
    </row>
    <row r="125" spans="1:36" ht="73.150000000000006" customHeight="1" thickBot="1">
      <c r="A125" s="241" t="s">
        <v>423</v>
      </c>
      <c r="B125" s="268" t="s">
        <v>379</v>
      </c>
      <c r="C125" s="250" t="s">
        <v>202</v>
      </c>
      <c r="D125" s="251" t="s">
        <v>203</v>
      </c>
      <c r="E125" s="252">
        <v>45323</v>
      </c>
      <c r="F125" s="281"/>
      <c r="G125" s="281"/>
      <c r="H125" s="282" t="s">
        <v>35</v>
      </c>
      <c r="I125" s="283"/>
      <c r="J125" s="284"/>
      <c r="K125" s="284"/>
      <c r="L125" s="285"/>
      <c r="M125" s="282" t="s">
        <v>35</v>
      </c>
      <c r="N125" s="283"/>
      <c r="O125" s="286"/>
      <c r="P125" s="286"/>
      <c r="Q125" s="287"/>
      <c r="R125" s="282"/>
      <c r="S125" s="283"/>
      <c r="T125" s="284"/>
      <c r="U125" s="285"/>
      <c r="V125" s="288"/>
      <c r="W125" s="283"/>
      <c r="X125" s="233"/>
      <c r="Y125" s="241" t="s">
        <v>400</v>
      </c>
      <c r="Z125" s="241" t="s">
        <v>416</v>
      </c>
      <c r="AA125" s="241"/>
      <c r="AB125" s="266" t="s">
        <v>211</v>
      </c>
      <c r="AC125" s="289" t="s">
        <v>482</v>
      </c>
      <c r="AD125" s="289"/>
      <c r="AE125" s="289"/>
      <c r="AF125" s="290"/>
      <c r="AG125" s="290"/>
      <c r="AH125" s="290"/>
      <c r="AI125" s="290" t="s">
        <v>609</v>
      </c>
      <c r="AJ125" s="291">
        <v>123</v>
      </c>
    </row>
    <row r="126" spans="1:36" ht="73.150000000000006" customHeight="1" thickBot="1">
      <c r="A126" s="241" t="s">
        <v>113</v>
      </c>
      <c r="B126" s="268" t="s">
        <v>380</v>
      </c>
      <c r="C126" s="250" t="s">
        <v>202</v>
      </c>
      <c r="D126" s="251" t="s">
        <v>204</v>
      </c>
      <c r="E126" s="252">
        <v>45323</v>
      </c>
      <c r="F126" s="310" t="s">
        <v>486</v>
      </c>
      <c r="G126" s="281"/>
      <c r="H126" s="282" t="s">
        <v>35</v>
      </c>
      <c r="I126" s="283"/>
      <c r="J126" s="356" t="s">
        <v>617</v>
      </c>
      <c r="K126" s="284"/>
      <c r="L126" s="285"/>
      <c r="M126" s="282" t="s">
        <v>31</v>
      </c>
      <c r="N126" s="283"/>
      <c r="O126" s="286"/>
      <c r="P126" s="286"/>
      <c r="Q126" s="287"/>
      <c r="R126" s="282"/>
      <c r="S126" s="283"/>
      <c r="T126" s="284"/>
      <c r="U126" s="285"/>
      <c r="V126" s="288"/>
      <c r="W126" s="283"/>
      <c r="X126" s="232"/>
      <c r="Y126" s="241" t="s">
        <v>400</v>
      </c>
      <c r="Z126" s="241" t="s">
        <v>416</v>
      </c>
      <c r="AA126" s="241"/>
      <c r="AB126" s="266" t="s">
        <v>211</v>
      </c>
      <c r="AC126" s="289" t="s">
        <v>482</v>
      </c>
      <c r="AD126" s="289"/>
      <c r="AE126" s="289"/>
      <c r="AF126" s="290"/>
      <c r="AG126" s="290"/>
      <c r="AH126" s="290"/>
      <c r="AI126" s="290" t="s">
        <v>609</v>
      </c>
      <c r="AJ126" s="291">
        <v>124</v>
      </c>
    </row>
    <row r="127" spans="1:36" ht="73.150000000000006" customHeight="1" thickBot="1">
      <c r="A127" s="241" t="s">
        <v>113</v>
      </c>
      <c r="B127" s="268" t="s">
        <v>381</v>
      </c>
      <c r="C127" s="250" t="s">
        <v>202</v>
      </c>
      <c r="D127" s="251" t="s">
        <v>205</v>
      </c>
      <c r="E127" s="252">
        <v>45352</v>
      </c>
      <c r="F127" s="310"/>
      <c r="G127" s="281"/>
      <c r="H127" s="282" t="s">
        <v>35</v>
      </c>
      <c r="I127" s="312"/>
      <c r="J127" s="284" t="s">
        <v>684</v>
      </c>
      <c r="K127" s="284"/>
      <c r="L127" s="285"/>
      <c r="M127" s="282" t="s">
        <v>31</v>
      </c>
      <c r="N127" s="283"/>
      <c r="O127" s="286"/>
      <c r="P127" s="286"/>
      <c r="Q127" s="287"/>
      <c r="R127" s="282"/>
      <c r="S127" s="283"/>
      <c r="T127" s="284"/>
      <c r="U127" s="285"/>
      <c r="V127" s="288"/>
      <c r="W127" s="283"/>
      <c r="X127" s="233"/>
      <c r="Y127" s="241" t="s">
        <v>400</v>
      </c>
      <c r="Z127" s="241" t="s">
        <v>416</v>
      </c>
      <c r="AA127" s="241"/>
      <c r="AB127" s="266" t="s">
        <v>211</v>
      </c>
      <c r="AC127" s="289" t="s">
        <v>482</v>
      </c>
      <c r="AD127" s="289"/>
      <c r="AE127" s="289"/>
      <c r="AF127" s="290"/>
      <c r="AG127" s="290"/>
      <c r="AH127" s="290"/>
      <c r="AI127" s="290" t="s">
        <v>609</v>
      </c>
      <c r="AJ127" s="291">
        <v>125</v>
      </c>
    </row>
    <row r="128" spans="1:36" ht="73.150000000000006" customHeight="1" thickBot="1">
      <c r="A128" s="241" t="s">
        <v>106</v>
      </c>
      <c r="B128" s="268" t="s">
        <v>382</v>
      </c>
      <c r="C128" s="250" t="s">
        <v>172</v>
      </c>
      <c r="D128" s="251" t="s">
        <v>173</v>
      </c>
      <c r="E128" s="252">
        <v>45352</v>
      </c>
      <c r="F128" s="310" t="s">
        <v>505</v>
      </c>
      <c r="G128" s="281"/>
      <c r="H128" s="282" t="s">
        <v>31</v>
      </c>
      <c r="I128" s="283"/>
      <c r="J128" s="284" t="s">
        <v>677</v>
      </c>
      <c r="K128" s="284"/>
      <c r="L128" s="285"/>
      <c r="M128" s="282" t="s">
        <v>31</v>
      </c>
      <c r="N128" s="283"/>
      <c r="O128" s="286"/>
      <c r="P128" s="286"/>
      <c r="Q128" s="287"/>
      <c r="R128" s="282"/>
      <c r="S128" s="283"/>
      <c r="T128" s="284"/>
      <c r="U128" s="335"/>
      <c r="V128" s="288"/>
      <c r="W128" s="283"/>
      <c r="X128" s="233"/>
      <c r="Y128" s="241" t="s">
        <v>395</v>
      </c>
      <c r="Z128" s="241" t="s">
        <v>393</v>
      </c>
      <c r="AA128" s="241"/>
      <c r="AB128" s="259" t="s">
        <v>429</v>
      </c>
      <c r="AC128" s="289" t="s">
        <v>482</v>
      </c>
      <c r="AD128" s="289"/>
      <c r="AE128" s="289"/>
      <c r="AF128" s="290"/>
      <c r="AG128" s="290"/>
      <c r="AH128" s="290"/>
      <c r="AI128" s="290" t="s">
        <v>609</v>
      </c>
      <c r="AJ128" s="291">
        <v>126</v>
      </c>
    </row>
    <row r="129" spans="1:36" ht="73.150000000000006" customHeight="1" thickBot="1">
      <c r="A129" s="241" t="s">
        <v>106</v>
      </c>
      <c r="B129" s="268" t="s">
        <v>383</v>
      </c>
      <c r="C129" s="250" t="s">
        <v>195</v>
      </c>
      <c r="D129" s="251" t="s">
        <v>384</v>
      </c>
      <c r="E129" s="252">
        <v>45231</v>
      </c>
      <c r="F129" s="281" t="s">
        <v>502</v>
      </c>
      <c r="G129" s="281"/>
      <c r="H129" s="282" t="s">
        <v>31</v>
      </c>
      <c r="I129" s="283"/>
      <c r="J129" s="284" t="s">
        <v>676</v>
      </c>
      <c r="K129" s="335"/>
      <c r="L129" s="285"/>
      <c r="M129" s="282" t="s">
        <v>31</v>
      </c>
      <c r="N129" s="283"/>
      <c r="O129" s="286"/>
      <c r="P129" s="286"/>
      <c r="Q129" s="287"/>
      <c r="R129" s="282"/>
      <c r="S129" s="283"/>
      <c r="T129" s="284"/>
      <c r="U129" s="335"/>
      <c r="V129" s="288"/>
      <c r="W129" s="284"/>
      <c r="X129" s="232"/>
      <c r="Y129" s="241" t="s">
        <v>395</v>
      </c>
      <c r="Z129" s="241" t="s">
        <v>393</v>
      </c>
      <c r="AA129" s="241"/>
      <c r="AB129" s="259" t="s">
        <v>429</v>
      </c>
      <c r="AC129" s="289" t="s">
        <v>482</v>
      </c>
      <c r="AD129" s="289"/>
      <c r="AE129" s="289"/>
      <c r="AF129" s="290"/>
      <c r="AG129" s="290"/>
      <c r="AH129" s="290"/>
      <c r="AI129" s="290" t="s">
        <v>609</v>
      </c>
      <c r="AJ129" s="291">
        <v>127</v>
      </c>
    </row>
    <row r="130" spans="1:36" ht="73.150000000000006" customHeight="1" thickBot="1">
      <c r="A130" s="241" t="s">
        <v>112</v>
      </c>
      <c r="B130" s="268" t="s">
        <v>385</v>
      </c>
      <c r="C130" s="250" t="s">
        <v>2</v>
      </c>
      <c r="D130" s="251" t="s">
        <v>481</v>
      </c>
      <c r="E130" s="267" t="s">
        <v>141</v>
      </c>
      <c r="F130" s="314" t="s">
        <v>603</v>
      </c>
      <c r="G130" s="281" t="s">
        <v>604</v>
      </c>
      <c r="H130" s="282" t="s">
        <v>31</v>
      </c>
      <c r="I130" s="283"/>
      <c r="J130" s="343" t="s">
        <v>681</v>
      </c>
      <c r="K130" s="284" t="s">
        <v>635</v>
      </c>
      <c r="L130" s="285" t="s">
        <v>604</v>
      </c>
      <c r="M130" s="282" t="s">
        <v>31</v>
      </c>
      <c r="N130" s="357"/>
      <c r="O130" s="286"/>
      <c r="P130" s="286"/>
      <c r="Q130" s="281"/>
      <c r="R130" s="282"/>
      <c r="S130" s="283"/>
      <c r="T130" s="315"/>
      <c r="U130" s="316"/>
      <c r="V130" s="288"/>
      <c r="W130" s="302"/>
      <c r="X130" s="233"/>
      <c r="Y130" s="241" t="s">
        <v>403</v>
      </c>
      <c r="Z130" s="241" t="s">
        <v>404</v>
      </c>
      <c r="AA130" s="241"/>
      <c r="AB130" s="259" t="s">
        <v>429</v>
      </c>
      <c r="AC130" s="289" t="s">
        <v>482</v>
      </c>
      <c r="AD130" s="289"/>
      <c r="AE130" s="289"/>
      <c r="AF130" s="290"/>
      <c r="AG130" s="290"/>
      <c r="AH130" s="290"/>
      <c r="AI130" s="290" t="s">
        <v>609</v>
      </c>
      <c r="AJ130" s="291">
        <v>128</v>
      </c>
    </row>
    <row r="131" spans="1:36" ht="73.150000000000006" customHeight="1" thickBot="1">
      <c r="A131" s="241" t="s">
        <v>112</v>
      </c>
      <c r="B131" s="268" t="s">
        <v>386</v>
      </c>
      <c r="C131" s="250" t="s">
        <v>101</v>
      </c>
      <c r="D131" s="251" t="s">
        <v>192</v>
      </c>
      <c r="E131" s="252">
        <v>45352</v>
      </c>
      <c r="F131" s="281"/>
      <c r="G131" s="281"/>
      <c r="H131" s="282" t="s">
        <v>35</v>
      </c>
      <c r="I131" s="283"/>
      <c r="J131" s="293"/>
      <c r="K131" s="293"/>
      <c r="L131" s="293"/>
      <c r="M131" s="282" t="s">
        <v>35</v>
      </c>
      <c r="N131" s="295"/>
      <c r="O131" s="286"/>
      <c r="P131" s="286"/>
      <c r="Q131" s="287"/>
      <c r="R131" s="282"/>
      <c r="S131" s="295"/>
      <c r="T131" s="293"/>
      <c r="U131" s="294"/>
      <c r="V131" s="288"/>
      <c r="W131" s="295"/>
      <c r="X131" s="232"/>
      <c r="Y131" s="241" t="s">
        <v>403</v>
      </c>
      <c r="Z131" s="241" t="s">
        <v>404</v>
      </c>
      <c r="AA131" s="241"/>
      <c r="AB131" s="259" t="s">
        <v>429</v>
      </c>
      <c r="AC131" s="289" t="s">
        <v>482</v>
      </c>
      <c r="AD131" s="289"/>
      <c r="AE131" s="289"/>
      <c r="AF131" s="290"/>
      <c r="AG131" s="290"/>
      <c r="AH131" s="290"/>
      <c r="AI131" s="290" t="s">
        <v>609</v>
      </c>
      <c r="AJ131" s="291">
        <v>129</v>
      </c>
    </row>
    <row r="132" spans="1:36" ht="73.150000000000006" customHeight="1" thickBot="1">
      <c r="A132" s="241" t="s">
        <v>106</v>
      </c>
      <c r="B132" s="268" t="s">
        <v>387</v>
      </c>
      <c r="C132" s="250" t="s">
        <v>196</v>
      </c>
      <c r="D132" s="251" t="s">
        <v>197</v>
      </c>
      <c r="E132" s="252">
        <v>45017</v>
      </c>
      <c r="F132" s="281" t="s">
        <v>501</v>
      </c>
      <c r="G132" s="281"/>
      <c r="H132" s="282" t="s">
        <v>22</v>
      </c>
      <c r="I132" s="283"/>
      <c r="J132" s="284" t="s">
        <v>638</v>
      </c>
      <c r="K132" s="293"/>
      <c r="L132" s="294"/>
      <c r="M132" s="282" t="s">
        <v>22</v>
      </c>
      <c r="N132" s="295"/>
      <c r="O132" s="286"/>
      <c r="P132" s="286"/>
      <c r="Q132" s="287"/>
      <c r="R132" s="282"/>
      <c r="S132" s="295"/>
      <c r="T132" s="293"/>
      <c r="U132" s="294"/>
      <c r="V132" s="288"/>
      <c r="W132" s="295"/>
      <c r="X132" s="232"/>
      <c r="Y132" s="241" t="s">
        <v>395</v>
      </c>
      <c r="Z132" s="241" t="s">
        <v>393</v>
      </c>
      <c r="AA132" s="241"/>
      <c r="AB132" s="259" t="s">
        <v>429</v>
      </c>
      <c r="AC132" s="289" t="s">
        <v>482</v>
      </c>
      <c r="AD132" s="289"/>
      <c r="AE132" s="289"/>
      <c r="AF132" s="290"/>
      <c r="AG132" s="290"/>
      <c r="AH132" s="290"/>
      <c r="AI132" s="290" t="s">
        <v>609</v>
      </c>
      <c r="AJ132" s="291">
        <v>130</v>
      </c>
    </row>
    <row r="133" spans="1:36" ht="73.150000000000006" customHeight="1" thickBot="1">
      <c r="A133" s="241" t="s">
        <v>106</v>
      </c>
      <c r="B133" s="268" t="s">
        <v>388</v>
      </c>
      <c r="C133" s="250" t="s">
        <v>198</v>
      </c>
      <c r="D133" s="251" t="s">
        <v>199</v>
      </c>
      <c r="E133" s="252">
        <v>45047</v>
      </c>
      <c r="F133" s="281" t="s">
        <v>568</v>
      </c>
      <c r="G133" s="281"/>
      <c r="H133" s="282" t="s">
        <v>22</v>
      </c>
      <c r="I133" s="283"/>
      <c r="J133" s="284" t="s">
        <v>638</v>
      </c>
      <c r="K133" s="293"/>
      <c r="L133" s="294"/>
      <c r="M133" s="282" t="s">
        <v>22</v>
      </c>
      <c r="N133" s="295"/>
      <c r="O133" s="286"/>
      <c r="P133" s="286"/>
      <c r="Q133" s="287"/>
      <c r="R133" s="282"/>
      <c r="S133" s="295"/>
      <c r="T133" s="293"/>
      <c r="U133" s="294"/>
      <c r="V133" s="288"/>
      <c r="W133" s="295"/>
      <c r="X133" s="233"/>
      <c r="Y133" s="241" t="s">
        <v>395</v>
      </c>
      <c r="Z133" s="241" t="s">
        <v>393</v>
      </c>
      <c r="AA133" s="241"/>
      <c r="AB133" s="259" t="s">
        <v>429</v>
      </c>
      <c r="AC133" s="289" t="s">
        <v>482</v>
      </c>
      <c r="AD133" s="289"/>
      <c r="AE133" s="289"/>
      <c r="AF133" s="290"/>
      <c r="AG133" s="290"/>
      <c r="AH133" s="290"/>
      <c r="AI133" s="290" t="s">
        <v>609</v>
      </c>
      <c r="AJ133" s="291">
        <v>131</v>
      </c>
    </row>
    <row r="134" spans="1:36" ht="73.150000000000006" customHeight="1" thickBot="1">
      <c r="A134" s="241" t="s">
        <v>112</v>
      </c>
      <c r="B134" s="268" t="s">
        <v>389</v>
      </c>
      <c r="C134" s="250" t="s">
        <v>102</v>
      </c>
      <c r="D134" s="251" t="s">
        <v>200</v>
      </c>
      <c r="E134" s="252" t="s">
        <v>201</v>
      </c>
      <c r="F134" s="281"/>
      <c r="G134" s="281"/>
      <c r="H134" s="282" t="s">
        <v>35</v>
      </c>
      <c r="I134" s="283"/>
      <c r="J134" s="284" t="s">
        <v>726</v>
      </c>
      <c r="K134" s="284"/>
      <c r="L134" s="285"/>
      <c r="M134" s="282" t="s">
        <v>31</v>
      </c>
      <c r="N134" s="283"/>
      <c r="O134" s="286"/>
      <c r="P134" s="286"/>
      <c r="Q134" s="287"/>
      <c r="R134" s="282"/>
      <c r="S134" s="283"/>
      <c r="T134" s="284"/>
      <c r="U134" s="285"/>
      <c r="V134" s="288"/>
      <c r="W134" s="283"/>
      <c r="X134" s="233"/>
      <c r="Y134" s="241" t="s">
        <v>403</v>
      </c>
      <c r="Z134" s="241" t="s">
        <v>404</v>
      </c>
      <c r="AA134" s="241"/>
      <c r="AB134" s="259" t="s">
        <v>429</v>
      </c>
      <c r="AC134" s="289" t="s">
        <v>482</v>
      </c>
      <c r="AD134" s="289"/>
      <c r="AE134" s="289"/>
      <c r="AF134" s="290"/>
      <c r="AG134" s="290"/>
      <c r="AH134" s="290"/>
      <c r="AI134" s="290" t="s">
        <v>609</v>
      </c>
      <c r="AJ134" s="291">
        <v>132</v>
      </c>
    </row>
    <row r="135" spans="1:36" ht="97.9" customHeight="1">
      <c r="AF135" s="230">
        <v>34</v>
      </c>
      <c r="AG135" s="230">
        <v>24</v>
      </c>
      <c r="AH135" s="230">
        <v>46</v>
      </c>
      <c r="AI135" s="230">
        <v>57</v>
      </c>
    </row>
    <row r="153" spans="1:1" ht="97.9" customHeight="1">
      <c r="A153" s="243" t="s">
        <v>21</v>
      </c>
    </row>
    <row r="154" spans="1:1" ht="97.9" customHeight="1">
      <c r="A154" s="243" t="s">
        <v>22</v>
      </c>
    </row>
    <row r="155" spans="1:1" ht="97.9" customHeight="1">
      <c r="A155" s="243" t="s">
        <v>23</v>
      </c>
    </row>
    <row r="156" spans="1:1" ht="97.9" customHeight="1">
      <c r="A156" s="243" t="s">
        <v>24</v>
      </c>
    </row>
    <row r="157" spans="1:1" ht="97.9" customHeight="1">
      <c r="A157" s="243" t="s">
        <v>25</v>
      </c>
    </row>
    <row r="158" spans="1:1" ht="97.9" customHeight="1">
      <c r="A158" s="243" t="s">
        <v>26</v>
      </c>
    </row>
    <row r="159" spans="1:1" ht="97.9" customHeight="1">
      <c r="A159" s="243" t="s">
        <v>27</v>
      </c>
    </row>
    <row r="160" spans="1:1" ht="97.9" customHeight="1">
      <c r="A160" s="243" t="s">
        <v>28</v>
      </c>
    </row>
    <row r="161" spans="1:1" ht="97.9" customHeight="1">
      <c r="A161" s="243" t="s">
        <v>29</v>
      </c>
    </row>
    <row r="162" spans="1:1" ht="97.9" customHeight="1">
      <c r="A162" s="243" t="s">
        <v>30</v>
      </c>
    </row>
    <row r="163" spans="1:1" ht="97.9" customHeight="1">
      <c r="A163" s="234"/>
    </row>
    <row r="164" spans="1:1" ht="97.9" customHeight="1">
      <c r="A164" s="234"/>
    </row>
    <row r="165" spans="1:1" ht="97.9" customHeight="1">
      <c r="A165" s="234"/>
    </row>
    <row r="166" spans="1:1" ht="97.9" customHeight="1">
      <c r="A166" s="235"/>
    </row>
    <row r="167" spans="1:1" ht="97.9" customHeight="1">
      <c r="A167" s="235"/>
    </row>
    <row r="168" spans="1:1" ht="97.9" customHeight="1">
      <c r="A168" s="234"/>
    </row>
    <row r="169" spans="1:1" ht="97.9" customHeight="1">
      <c r="A169" s="234"/>
    </row>
    <row r="170" spans="1:1" ht="97.9" customHeight="1">
      <c r="A170" s="234"/>
    </row>
    <row r="171" spans="1:1" ht="97.9" customHeight="1">
      <c r="A171" s="236" t="s">
        <v>22</v>
      </c>
    </row>
    <row r="172" spans="1:1" ht="97.9" customHeight="1">
      <c r="A172" s="236" t="s">
        <v>31</v>
      </c>
    </row>
    <row r="173" spans="1:1" ht="97.9" customHeight="1">
      <c r="A173" s="236" t="s">
        <v>32</v>
      </c>
    </row>
    <row r="174" spans="1:1" ht="97.9" customHeight="1">
      <c r="A174" s="236" t="s">
        <v>26</v>
      </c>
    </row>
    <row r="175" spans="1:1" ht="97.9" customHeight="1">
      <c r="A175" s="236" t="s">
        <v>33</v>
      </c>
    </row>
    <row r="176" spans="1:1" ht="97.9" customHeight="1">
      <c r="A176" s="244" t="s">
        <v>30</v>
      </c>
    </row>
    <row r="177" spans="1:1" ht="97.9" customHeight="1">
      <c r="A177" s="236" t="s">
        <v>35</v>
      </c>
    </row>
    <row r="178" spans="1:1" ht="97.9" customHeight="1">
      <c r="A178" s="236" t="s">
        <v>34</v>
      </c>
    </row>
    <row r="179" spans="1:1" ht="97.9" customHeight="1">
      <c r="A179" s="236" t="s">
        <v>29</v>
      </c>
    </row>
  </sheetData>
  <sheetProtection autoFilter="0" pivotTables="0"/>
  <autoFilter ref="A2:AJ136"/>
  <sortState ref="A3:AK134">
    <sortCondition ref="AJ3:AJ134"/>
  </sortState>
  <mergeCells count="6">
    <mergeCell ref="AF1:AI1"/>
    <mergeCell ref="F1:I1"/>
    <mergeCell ref="J1:N1"/>
    <mergeCell ref="O1:S1"/>
    <mergeCell ref="T1:W1"/>
    <mergeCell ref="AC1:AE1"/>
  </mergeCells>
  <conditionalFormatting sqref="R3:R13 H3:H13 H125:H134 R125:R134 H123 R123 H120 R120 H114:H117 R114:R117 H69:H87 R69:R87 R89:R112 H89:H112 H15:H65 R15:R65 M3:M128 M133:M134">
    <cfRule type="containsText" dxfId="4279" priority="2178" operator="containsText" text="Deferred">
      <formula>NOT(ISERROR(SEARCH("Deferred",H3)))</formula>
    </cfRule>
    <cfRule type="containsText" dxfId="4278" priority="2180" operator="containsText" text="Update Not Provided">
      <formula>NOT(ISERROR(SEARCH("Update Not Provided",H3)))</formula>
    </cfRule>
    <cfRule type="containsText" dxfId="4277" priority="2181" operator="containsText" text="Not Yet Due">
      <formula>NOT(ISERROR(SEARCH("Not Yet Due",H3)))</formula>
    </cfRule>
    <cfRule type="containsText" dxfId="4276" priority="2182" operator="containsText" text="Deleted">
      <formula>NOT(ISERROR(SEARCH("Deleted",H3)))</formula>
    </cfRule>
    <cfRule type="containsText" dxfId="4275" priority="2183" operator="containsText" text="Completed Behind Schedule">
      <formula>NOT(ISERROR(SEARCH("Completed Behind Schedule",H3)))</formula>
    </cfRule>
    <cfRule type="containsText" dxfId="4274" priority="2184" operator="containsText" text="Off Target">
      <formula>NOT(ISERROR(SEARCH("Off Target",H3)))</formula>
    </cfRule>
    <cfRule type="containsText" dxfId="4273" priority="2185" operator="containsText" text="In Danger of Falling Behind Target">
      <formula>NOT(ISERROR(SEARCH("In Danger of Falling Behind Target",H3)))</formula>
    </cfRule>
    <cfRule type="containsText" dxfId="4272" priority="2186" operator="containsText" text="Fully Achieved">
      <formula>NOT(ISERROR(SEARCH("Fully Achieved",H3)))</formula>
    </cfRule>
    <cfRule type="containsText" dxfId="4271" priority="2187" operator="containsText" text="On track to be achieved">
      <formula>NOT(ISERROR(SEARCH("On track to be achieved",H3)))</formula>
    </cfRule>
  </conditionalFormatting>
  <conditionalFormatting sqref="V3:V13 V125:V134 V123 V120 V114:V117 V69:V87 V89:V112 V15:V65">
    <cfRule type="containsText" dxfId="4270" priority="1112" operator="containsText" text="Deleted">
      <formula>NOT(ISERROR(SEARCH("Deleted",V3)))</formula>
    </cfRule>
    <cfRule type="containsText" dxfId="4269" priority="1113" operator="containsText" text="Deferred">
      <formula>NOT(ISERROR(SEARCH("Deferred",V3)))</formula>
    </cfRule>
    <cfRule type="containsText" dxfId="4268" priority="1114" operator="containsText" text="Completion date within reasonable tolerance">
      <formula>NOT(ISERROR(SEARCH("Completion date within reasonable tolerance",V3)))</formula>
    </cfRule>
    <cfRule type="containsText" dxfId="4267" priority="1115" operator="containsText" text="completed significantly after target deadline">
      <formula>NOT(ISERROR(SEARCH("completed significantly after target deadline",V3)))</formula>
    </cfRule>
    <cfRule type="containsText" dxfId="4266" priority="1116" operator="containsText" text="Off target">
      <formula>NOT(ISERROR(SEARCH("Off target",V3)))</formula>
    </cfRule>
    <cfRule type="containsText" dxfId="4265" priority="1117" operator="containsText" text="Target partially met">
      <formula>NOT(ISERROR(SEARCH("Target partially met",V3)))</formula>
    </cfRule>
    <cfRule type="containsText" dxfId="4264" priority="1118" operator="containsText" text="Numerical outturn within 10% tolerance">
      <formula>NOT(ISERROR(SEARCH("Numerical outturn within 10% tolerance",V3)))</formula>
    </cfRule>
    <cfRule type="containsText" dxfId="4263" priority="1119" operator="containsText" text="Numerical outturn within 5% Tolerance">
      <formula>NOT(ISERROR(SEARCH("Numerical outturn within 5% Tolerance",V3)))</formula>
    </cfRule>
    <cfRule type="containsText" dxfId="4262" priority="1120" operator="containsText" text="Fully Achieved">
      <formula>NOT(ISERROR(SEARCH("Fully Achieved",V3)))</formula>
    </cfRule>
    <cfRule type="containsText" dxfId="4261" priority="1121" operator="containsText" text="Update Not Provided">
      <formula>NOT(ISERROR(SEARCH("Update Not Provided",V3)))</formula>
    </cfRule>
    <cfRule type="containsText" dxfId="4260" priority="1122" operator="containsText" text="Deferred">
      <formula>NOT(ISERROR(SEARCH("Deferred",V3)))</formula>
    </cfRule>
    <cfRule type="containsText" dxfId="4259" priority="1123" operator="containsText" text="Update Not Provided">
      <formula>NOT(ISERROR(SEARCH("Update Not Provided",V3)))</formula>
    </cfRule>
    <cfRule type="containsText" dxfId="4258" priority="1124" operator="containsText" text="Not Yet Due">
      <formula>NOT(ISERROR(SEARCH("Not Yet Due",V3)))</formula>
    </cfRule>
    <cfRule type="containsText" dxfId="4257" priority="1125" operator="containsText" text="Deleted">
      <formula>NOT(ISERROR(SEARCH("Deleted",V3)))</formula>
    </cfRule>
    <cfRule type="containsText" dxfId="4256" priority="1126" operator="containsText" text="Completed Behind Schedule">
      <formula>NOT(ISERROR(SEARCH("Completed Behind Schedule",V3)))</formula>
    </cfRule>
    <cfRule type="containsText" dxfId="4255" priority="1127" operator="containsText" text="Off Target">
      <formula>NOT(ISERROR(SEARCH("Off Target",V3)))</formula>
    </cfRule>
    <cfRule type="containsText" dxfId="4254" priority="1128" operator="containsText" text="In Danger of Falling Behind Target">
      <formula>NOT(ISERROR(SEARCH("In Danger of Falling Behind Target",V3)))</formula>
    </cfRule>
    <cfRule type="containsText" dxfId="4253" priority="1129" operator="containsText" text="Fully Achieved">
      <formula>NOT(ISERROR(SEARCH("Fully Achieved",V3)))</formula>
    </cfRule>
    <cfRule type="containsText" dxfId="4252" priority="1130" operator="containsText" text="On track to be achieved">
      <formula>NOT(ISERROR(SEARCH("On track to be achieved",V3)))</formula>
    </cfRule>
  </conditionalFormatting>
  <conditionalFormatting sqref="R124 H124">
    <cfRule type="containsText" dxfId="4251" priority="309" operator="containsText" text="Deferred">
      <formula>NOT(ISERROR(SEARCH("Deferred",H124)))</formula>
    </cfRule>
    <cfRule type="containsText" dxfId="4250" priority="310" operator="containsText" text="Update Not Provided">
      <formula>NOT(ISERROR(SEARCH("Update Not Provided",H124)))</formula>
    </cfRule>
    <cfRule type="containsText" dxfId="4249" priority="311" operator="containsText" text="Not Yet Due">
      <formula>NOT(ISERROR(SEARCH("Not Yet Due",H124)))</formula>
    </cfRule>
    <cfRule type="containsText" dxfId="4248" priority="312" operator="containsText" text="Deleted">
      <formula>NOT(ISERROR(SEARCH("Deleted",H124)))</formula>
    </cfRule>
    <cfRule type="containsText" dxfId="4247" priority="313" operator="containsText" text="Completed Behind Schedule">
      <formula>NOT(ISERROR(SEARCH("Completed Behind Schedule",H124)))</formula>
    </cfRule>
    <cfRule type="containsText" dxfId="4246" priority="314" operator="containsText" text="Off Target">
      <formula>NOT(ISERROR(SEARCH("Off Target",H124)))</formula>
    </cfRule>
    <cfRule type="containsText" dxfId="4245" priority="315" operator="containsText" text="In Danger of Falling Behind Target">
      <formula>NOT(ISERROR(SEARCH("In Danger of Falling Behind Target",H124)))</formula>
    </cfRule>
    <cfRule type="containsText" dxfId="4244" priority="316" operator="containsText" text="Fully Achieved">
      <formula>NOT(ISERROR(SEARCH("Fully Achieved",H124)))</formula>
    </cfRule>
    <cfRule type="containsText" dxfId="4243" priority="317" operator="containsText" text="On track to be achieved">
      <formula>NOT(ISERROR(SEARCH("On track to be achieved",H124)))</formula>
    </cfRule>
  </conditionalFormatting>
  <conditionalFormatting sqref="V124">
    <cfRule type="containsText" dxfId="4242" priority="290" operator="containsText" text="Deleted">
      <formula>NOT(ISERROR(SEARCH("Deleted",V124)))</formula>
    </cfRule>
    <cfRule type="containsText" dxfId="4241" priority="291" operator="containsText" text="Deferred">
      <formula>NOT(ISERROR(SEARCH("Deferred",V124)))</formula>
    </cfRule>
    <cfRule type="containsText" dxfId="4240" priority="292" operator="containsText" text="Completion date within reasonable tolerance">
      <formula>NOT(ISERROR(SEARCH("Completion date within reasonable tolerance",V124)))</formula>
    </cfRule>
    <cfRule type="containsText" dxfId="4239" priority="293" operator="containsText" text="completed significantly after target deadline">
      <formula>NOT(ISERROR(SEARCH("completed significantly after target deadline",V124)))</formula>
    </cfRule>
    <cfRule type="containsText" dxfId="4238" priority="294" operator="containsText" text="Off target">
      <formula>NOT(ISERROR(SEARCH("Off target",V124)))</formula>
    </cfRule>
    <cfRule type="containsText" dxfId="4237" priority="295" operator="containsText" text="Target partially met">
      <formula>NOT(ISERROR(SEARCH("Target partially met",V124)))</formula>
    </cfRule>
    <cfRule type="containsText" dxfId="4236" priority="296" operator="containsText" text="Numerical outturn within 10% tolerance">
      <formula>NOT(ISERROR(SEARCH("Numerical outturn within 10% tolerance",V124)))</formula>
    </cfRule>
    <cfRule type="containsText" dxfId="4235" priority="297" operator="containsText" text="Numerical outturn within 5% Tolerance">
      <formula>NOT(ISERROR(SEARCH("Numerical outturn within 5% Tolerance",V124)))</formula>
    </cfRule>
    <cfRule type="containsText" dxfId="4234" priority="298" operator="containsText" text="Fully Achieved">
      <formula>NOT(ISERROR(SEARCH("Fully Achieved",V124)))</formula>
    </cfRule>
    <cfRule type="containsText" dxfId="4233" priority="299" operator="containsText" text="Update Not Provided">
      <formula>NOT(ISERROR(SEARCH("Update Not Provided",V124)))</formula>
    </cfRule>
    <cfRule type="containsText" dxfId="4232" priority="300" operator="containsText" text="Deferred">
      <formula>NOT(ISERROR(SEARCH("Deferred",V124)))</formula>
    </cfRule>
    <cfRule type="containsText" dxfId="4231" priority="301" operator="containsText" text="Update Not Provided">
      <formula>NOT(ISERROR(SEARCH("Update Not Provided",V124)))</formula>
    </cfRule>
    <cfRule type="containsText" dxfId="4230" priority="302" operator="containsText" text="Not Yet Due">
      <formula>NOT(ISERROR(SEARCH("Not Yet Due",V124)))</formula>
    </cfRule>
    <cfRule type="containsText" dxfId="4229" priority="303" operator="containsText" text="Deleted">
      <formula>NOT(ISERROR(SEARCH("Deleted",V124)))</formula>
    </cfRule>
    <cfRule type="containsText" dxfId="4228" priority="304" operator="containsText" text="Completed Behind Schedule">
      <formula>NOT(ISERROR(SEARCH("Completed Behind Schedule",V124)))</formula>
    </cfRule>
    <cfRule type="containsText" dxfId="4227" priority="305" operator="containsText" text="Off Target">
      <formula>NOT(ISERROR(SEARCH("Off Target",V124)))</formula>
    </cfRule>
    <cfRule type="containsText" dxfId="4226" priority="306" operator="containsText" text="In Danger of Falling Behind Target">
      <formula>NOT(ISERROR(SEARCH("In Danger of Falling Behind Target",V124)))</formula>
    </cfRule>
    <cfRule type="containsText" dxfId="4225" priority="307" operator="containsText" text="Fully Achieved">
      <formula>NOT(ISERROR(SEARCH("Fully Achieved",V124)))</formula>
    </cfRule>
    <cfRule type="containsText" dxfId="4224" priority="308" operator="containsText" text="On track to be achieved">
      <formula>NOT(ISERROR(SEARCH("On track to be achieved",V124)))</formula>
    </cfRule>
  </conditionalFormatting>
  <conditionalFormatting sqref="R122 H122">
    <cfRule type="containsText" dxfId="4223" priority="281" operator="containsText" text="Deferred">
      <formula>NOT(ISERROR(SEARCH("Deferred",H122)))</formula>
    </cfRule>
    <cfRule type="containsText" dxfId="4222" priority="282" operator="containsText" text="Update Not Provided">
      <formula>NOT(ISERROR(SEARCH("Update Not Provided",H122)))</formula>
    </cfRule>
    <cfRule type="containsText" dxfId="4221" priority="283" operator="containsText" text="Not Yet Due">
      <formula>NOT(ISERROR(SEARCH("Not Yet Due",H122)))</formula>
    </cfRule>
    <cfRule type="containsText" dxfId="4220" priority="284" operator="containsText" text="Deleted">
      <formula>NOT(ISERROR(SEARCH("Deleted",H122)))</formula>
    </cfRule>
    <cfRule type="containsText" dxfId="4219" priority="285" operator="containsText" text="Completed Behind Schedule">
      <formula>NOT(ISERROR(SEARCH("Completed Behind Schedule",H122)))</formula>
    </cfRule>
    <cfRule type="containsText" dxfId="4218" priority="286" operator="containsText" text="Off Target">
      <formula>NOT(ISERROR(SEARCH("Off Target",H122)))</formula>
    </cfRule>
    <cfRule type="containsText" dxfId="4217" priority="287" operator="containsText" text="In Danger of Falling Behind Target">
      <formula>NOT(ISERROR(SEARCH("In Danger of Falling Behind Target",H122)))</formula>
    </cfRule>
    <cfRule type="containsText" dxfId="4216" priority="288" operator="containsText" text="Fully Achieved">
      <formula>NOT(ISERROR(SEARCH("Fully Achieved",H122)))</formula>
    </cfRule>
    <cfRule type="containsText" dxfId="4215" priority="289" operator="containsText" text="On track to be achieved">
      <formula>NOT(ISERROR(SEARCH("On track to be achieved",H122)))</formula>
    </cfRule>
  </conditionalFormatting>
  <conditionalFormatting sqref="V122">
    <cfRule type="containsText" dxfId="4214" priority="262" operator="containsText" text="Deleted">
      <formula>NOT(ISERROR(SEARCH("Deleted",V122)))</formula>
    </cfRule>
    <cfRule type="containsText" dxfId="4213" priority="263" operator="containsText" text="Deferred">
      <formula>NOT(ISERROR(SEARCH("Deferred",V122)))</formula>
    </cfRule>
    <cfRule type="containsText" dxfId="4212" priority="264" operator="containsText" text="Completion date within reasonable tolerance">
      <formula>NOT(ISERROR(SEARCH("Completion date within reasonable tolerance",V122)))</formula>
    </cfRule>
    <cfRule type="containsText" dxfId="4211" priority="265" operator="containsText" text="completed significantly after target deadline">
      <formula>NOT(ISERROR(SEARCH("completed significantly after target deadline",V122)))</formula>
    </cfRule>
    <cfRule type="containsText" dxfId="4210" priority="266" operator="containsText" text="Off target">
      <formula>NOT(ISERROR(SEARCH("Off target",V122)))</formula>
    </cfRule>
    <cfRule type="containsText" dxfId="4209" priority="267" operator="containsText" text="Target partially met">
      <formula>NOT(ISERROR(SEARCH("Target partially met",V122)))</formula>
    </cfRule>
    <cfRule type="containsText" dxfId="4208" priority="268" operator="containsText" text="Numerical outturn within 10% tolerance">
      <formula>NOT(ISERROR(SEARCH("Numerical outturn within 10% tolerance",V122)))</formula>
    </cfRule>
    <cfRule type="containsText" dxfId="4207" priority="269" operator="containsText" text="Numerical outturn within 5% Tolerance">
      <formula>NOT(ISERROR(SEARCH("Numerical outturn within 5% Tolerance",V122)))</formula>
    </cfRule>
    <cfRule type="containsText" dxfId="4206" priority="270" operator="containsText" text="Fully Achieved">
      <formula>NOT(ISERROR(SEARCH("Fully Achieved",V122)))</formula>
    </cfRule>
    <cfRule type="containsText" dxfId="4205" priority="271" operator="containsText" text="Update Not Provided">
      <formula>NOT(ISERROR(SEARCH("Update Not Provided",V122)))</formula>
    </cfRule>
    <cfRule type="containsText" dxfId="4204" priority="272" operator="containsText" text="Deferred">
      <formula>NOT(ISERROR(SEARCH("Deferred",V122)))</formula>
    </cfRule>
    <cfRule type="containsText" dxfId="4203" priority="273" operator="containsText" text="Update Not Provided">
      <formula>NOT(ISERROR(SEARCH("Update Not Provided",V122)))</formula>
    </cfRule>
    <cfRule type="containsText" dxfId="4202" priority="274" operator="containsText" text="Not Yet Due">
      <formula>NOT(ISERROR(SEARCH("Not Yet Due",V122)))</formula>
    </cfRule>
    <cfRule type="containsText" dxfId="4201" priority="275" operator="containsText" text="Deleted">
      <formula>NOT(ISERROR(SEARCH("Deleted",V122)))</formula>
    </cfRule>
    <cfRule type="containsText" dxfId="4200" priority="276" operator="containsText" text="Completed Behind Schedule">
      <formula>NOT(ISERROR(SEARCH("Completed Behind Schedule",V122)))</formula>
    </cfRule>
    <cfRule type="containsText" dxfId="4199" priority="277" operator="containsText" text="Off Target">
      <formula>NOT(ISERROR(SEARCH("Off Target",V122)))</formula>
    </cfRule>
    <cfRule type="containsText" dxfId="4198" priority="278" operator="containsText" text="In Danger of Falling Behind Target">
      <formula>NOT(ISERROR(SEARCH("In Danger of Falling Behind Target",V122)))</formula>
    </cfRule>
    <cfRule type="containsText" dxfId="4197" priority="279" operator="containsText" text="Fully Achieved">
      <formula>NOT(ISERROR(SEARCH("Fully Achieved",V122)))</formula>
    </cfRule>
    <cfRule type="containsText" dxfId="4196" priority="280" operator="containsText" text="On track to be achieved">
      <formula>NOT(ISERROR(SEARCH("On track to be achieved",V122)))</formula>
    </cfRule>
  </conditionalFormatting>
  <conditionalFormatting sqref="R121 H121">
    <cfRule type="containsText" dxfId="4195" priority="253" operator="containsText" text="Deferred">
      <formula>NOT(ISERROR(SEARCH("Deferred",H121)))</formula>
    </cfRule>
    <cfRule type="containsText" dxfId="4194" priority="254" operator="containsText" text="Update Not Provided">
      <formula>NOT(ISERROR(SEARCH("Update Not Provided",H121)))</formula>
    </cfRule>
    <cfRule type="containsText" dxfId="4193" priority="255" operator="containsText" text="Not Yet Due">
      <formula>NOT(ISERROR(SEARCH("Not Yet Due",H121)))</formula>
    </cfRule>
    <cfRule type="containsText" dxfId="4192" priority="256" operator="containsText" text="Deleted">
      <formula>NOT(ISERROR(SEARCH("Deleted",H121)))</formula>
    </cfRule>
    <cfRule type="containsText" dxfId="4191" priority="257" operator="containsText" text="Completed Behind Schedule">
      <formula>NOT(ISERROR(SEARCH("Completed Behind Schedule",H121)))</formula>
    </cfRule>
    <cfRule type="containsText" dxfId="4190" priority="258" operator="containsText" text="Off Target">
      <formula>NOT(ISERROR(SEARCH("Off Target",H121)))</formula>
    </cfRule>
    <cfRule type="containsText" dxfId="4189" priority="259" operator="containsText" text="In Danger of Falling Behind Target">
      <formula>NOT(ISERROR(SEARCH("In Danger of Falling Behind Target",H121)))</formula>
    </cfRule>
    <cfRule type="containsText" dxfId="4188" priority="260" operator="containsText" text="Fully Achieved">
      <formula>NOT(ISERROR(SEARCH("Fully Achieved",H121)))</formula>
    </cfRule>
    <cfRule type="containsText" dxfId="4187" priority="261" operator="containsText" text="On track to be achieved">
      <formula>NOT(ISERROR(SEARCH("On track to be achieved",H121)))</formula>
    </cfRule>
  </conditionalFormatting>
  <conditionalFormatting sqref="V121">
    <cfRule type="containsText" dxfId="4186" priority="234" operator="containsText" text="Deleted">
      <formula>NOT(ISERROR(SEARCH("Deleted",V121)))</formula>
    </cfRule>
    <cfRule type="containsText" dxfId="4185" priority="235" operator="containsText" text="Deferred">
      <formula>NOT(ISERROR(SEARCH("Deferred",V121)))</formula>
    </cfRule>
    <cfRule type="containsText" dxfId="4184" priority="236" operator="containsText" text="Completion date within reasonable tolerance">
      <formula>NOT(ISERROR(SEARCH("Completion date within reasonable tolerance",V121)))</formula>
    </cfRule>
    <cfRule type="containsText" dxfId="4183" priority="237" operator="containsText" text="completed significantly after target deadline">
      <formula>NOT(ISERROR(SEARCH("completed significantly after target deadline",V121)))</formula>
    </cfRule>
    <cfRule type="containsText" dxfId="4182" priority="238" operator="containsText" text="Off target">
      <formula>NOT(ISERROR(SEARCH("Off target",V121)))</formula>
    </cfRule>
    <cfRule type="containsText" dxfId="4181" priority="239" operator="containsText" text="Target partially met">
      <formula>NOT(ISERROR(SEARCH("Target partially met",V121)))</formula>
    </cfRule>
    <cfRule type="containsText" dxfId="4180" priority="240" operator="containsText" text="Numerical outturn within 10% tolerance">
      <formula>NOT(ISERROR(SEARCH("Numerical outturn within 10% tolerance",V121)))</formula>
    </cfRule>
    <cfRule type="containsText" dxfId="4179" priority="241" operator="containsText" text="Numerical outturn within 5% Tolerance">
      <formula>NOT(ISERROR(SEARCH("Numerical outturn within 5% Tolerance",V121)))</formula>
    </cfRule>
    <cfRule type="containsText" dxfId="4178" priority="242" operator="containsText" text="Fully Achieved">
      <formula>NOT(ISERROR(SEARCH("Fully Achieved",V121)))</formula>
    </cfRule>
    <cfRule type="containsText" dxfId="4177" priority="243" operator="containsText" text="Update Not Provided">
      <formula>NOT(ISERROR(SEARCH("Update Not Provided",V121)))</formula>
    </cfRule>
    <cfRule type="containsText" dxfId="4176" priority="244" operator="containsText" text="Deferred">
      <formula>NOT(ISERROR(SEARCH("Deferred",V121)))</formula>
    </cfRule>
    <cfRule type="containsText" dxfId="4175" priority="245" operator="containsText" text="Update Not Provided">
      <formula>NOT(ISERROR(SEARCH("Update Not Provided",V121)))</formula>
    </cfRule>
    <cfRule type="containsText" dxfId="4174" priority="246" operator="containsText" text="Not Yet Due">
      <formula>NOT(ISERROR(SEARCH("Not Yet Due",V121)))</formula>
    </cfRule>
    <cfRule type="containsText" dxfId="4173" priority="247" operator="containsText" text="Deleted">
      <formula>NOT(ISERROR(SEARCH("Deleted",V121)))</formula>
    </cfRule>
    <cfRule type="containsText" dxfId="4172" priority="248" operator="containsText" text="Completed Behind Schedule">
      <formula>NOT(ISERROR(SEARCH("Completed Behind Schedule",V121)))</formula>
    </cfRule>
    <cfRule type="containsText" dxfId="4171" priority="249" operator="containsText" text="Off Target">
      <formula>NOT(ISERROR(SEARCH("Off Target",V121)))</formula>
    </cfRule>
    <cfRule type="containsText" dxfId="4170" priority="250" operator="containsText" text="In Danger of Falling Behind Target">
      <formula>NOT(ISERROR(SEARCH("In Danger of Falling Behind Target",V121)))</formula>
    </cfRule>
    <cfRule type="containsText" dxfId="4169" priority="251" operator="containsText" text="Fully Achieved">
      <formula>NOT(ISERROR(SEARCH("Fully Achieved",V121)))</formula>
    </cfRule>
    <cfRule type="containsText" dxfId="4168" priority="252" operator="containsText" text="On track to be achieved">
      <formula>NOT(ISERROR(SEARCH("On track to be achieved",V121)))</formula>
    </cfRule>
  </conditionalFormatting>
  <conditionalFormatting sqref="R118 H118">
    <cfRule type="containsText" dxfId="4167" priority="225" operator="containsText" text="Deferred">
      <formula>NOT(ISERROR(SEARCH("Deferred",H118)))</formula>
    </cfRule>
    <cfRule type="containsText" dxfId="4166" priority="226" operator="containsText" text="Update Not Provided">
      <formula>NOT(ISERROR(SEARCH("Update Not Provided",H118)))</formula>
    </cfRule>
    <cfRule type="containsText" dxfId="4165" priority="227" operator="containsText" text="Not Yet Due">
      <formula>NOT(ISERROR(SEARCH("Not Yet Due",H118)))</formula>
    </cfRule>
    <cfRule type="containsText" dxfId="4164" priority="228" operator="containsText" text="Deleted">
      <formula>NOT(ISERROR(SEARCH("Deleted",H118)))</formula>
    </cfRule>
    <cfRule type="containsText" dxfId="4163" priority="229" operator="containsText" text="Completed Behind Schedule">
      <formula>NOT(ISERROR(SEARCH("Completed Behind Schedule",H118)))</formula>
    </cfRule>
    <cfRule type="containsText" dxfId="4162" priority="230" operator="containsText" text="Off Target">
      <formula>NOT(ISERROR(SEARCH("Off Target",H118)))</formula>
    </cfRule>
    <cfRule type="containsText" dxfId="4161" priority="231" operator="containsText" text="In Danger of Falling Behind Target">
      <formula>NOT(ISERROR(SEARCH("In Danger of Falling Behind Target",H118)))</formula>
    </cfRule>
    <cfRule type="containsText" dxfId="4160" priority="232" operator="containsText" text="Fully Achieved">
      <formula>NOT(ISERROR(SEARCH("Fully Achieved",H118)))</formula>
    </cfRule>
    <cfRule type="containsText" dxfId="4159" priority="233" operator="containsText" text="On track to be achieved">
      <formula>NOT(ISERROR(SEARCH("On track to be achieved",H118)))</formula>
    </cfRule>
  </conditionalFormatting>
  <conditionalFormatting sqref="V118">
    <cfRule type="containsText" dxfId="4158" priority="206" operator="containsText" text="Deleted">
      <formula>NOT(ISERROR(SEARCH("Deleted",V118)))</formula>
    </cfRule>
    <cfRule type="containsText" dxfId="4157" priority="207" operator="containsText" text="Deferred">
      <formula>NOT(ISERROR(SEARCH("Deferred",V118)))</formula>
    </cfRule>
    <cfRule type="containsText" dxfId="4156" priority="208" operator="containsText" text="Completion date within reasonable tolerance">
      <formula>NOT(ISERROR(SEARCH("Completion date within reasonable tolerance",V118)))</formula>
    </cfRule>
    <cfRule type="containsText" dxfId="4155" priority="209" operator="containsText" text="completed significantly after target deadline">
      <formula>NOT(ISERROR(SEARCH("completed significantly after target deadline",V118)))</formula>
    </cfRule>
    <cfRule type="containsText" dxfId="4154" priority="210" operator="containsText" text="Off target">
      <formula>NOT(ISERROR(SEARCH("Off target",V118)))</formula>
    </cfRule>
    <cfRule type="containsText" dxfId="4153" priority="211" operator="containsText" text="Target partially met">
      <formula>NOT(ISERROR(SEARCH("Target partially met",V118)))</formula>
    </cfRule>
    <cfRule type="containsText" dxfId="4152" priority="212" operator="containsText" text="Numerical outturn within 10% tolerance">
      <formula>NOT(ISERROR(SEARCH("Numerical outturn within 10% tolerance",V118)))</formula>
    </cfRule>
    <cfRule type="containsText" dxfId="4151" priority="213" operator="containsText" text="Numerical outturn within 5% Tolerance">
      <formula>NOT(ISERROR(SEARCH("Numerical outturn within 5% Tolerance",V118)))</formula>
    </cfRule>
    <cfRule type="containsText" dxfId="4150" priority="214" operator="containsText" text="Fully Achieved">
      <formula>NOT(ISERROR(SEARCH("Fully Achieved",V118)))</formula>
    </cfRule>
    <cfRule type="containsText" dxfId="4149" priority="215" operator="containsText" text="Update Not Provided">
      <formula>NOT(ISERROR(SEARCH("Update Not Provided",V118)))</formula>
    </cfRule>
    <cfRule type="containsText" dxfId="4148" priority="216" operator="containsText" text="Deferred">
      <formula>NOT(ISERROR(SEARCH("Deferred",V118)))</formula>
    </cfRule>
    <cfRule type="containsText" dxfId="4147" priority="217" operator="containsText" text="Update Not Provided">
      <formula>NOT(ISERROR(SEARCH("Update Not Provided",V118)))</formula>
    </cfRule>
    <cfRule type="containsText" dxfId="4146" priority="218" operator="containsText" text="Not Yet Due">
      <formula>NOT(ISERROR(SEARCH("Not Yet Due",V118)))</formula>
    </cfRule>
    <cfRule type="containsText" dxfId="4145" priority="219" operator="containsText" text="Deleted">
      <formula>NOT(ISERROR(SEARCH("Deleted",V118)))</formula>
    </cfRule>
    <cfRule type="containsText" dxfId="4144" priority="220" operator="containsText" text="Completed Behind Schedule">
      <formula>NOT(ISERROR(SEARCH("Completed Behind Schedule",V118)))</formula>
    </cfRule>
    <cfRule type="containsText" dxfId="4143" priority="221" operator="containsText" text="Off Target">
      <formula>NOT(ISERROR(SEARCH("Off Target",V118)))</formula>
    </cfRule>
    <cfRule type="containsText" dxfId="4142" priority="222" operator="containsText" text="In Danger of Falling Behind Target">
      <formula>NOT(ISERROR(SEARCH("In Danger of Falling Behind Target",V118)))</formula>
    </cfRule>
    <cfRule type="containsText" dxfId="4141" priority="223" operator="containsText" text="Fully Achieved">
      <formula>NOT(ISERROR(SEARCH("Fully Achieved",V118)))</formula>
    </cfRule>
    <cfRule type="containsText" dxfId="4140" priority="224" operator="containsText" text="On track to be achieved">
      <formula>NOT(ISERROR(SEARCH("On track to be achieved",V118)))</formula>
    </cfRule>
  </conditionalFormatting>
  <conditionalFormatting sqref="R119 H119">
    <cfRule type="containsText" dxfId="4139" priority="197" operator="containsText" text="Deferred">
      <formula>NOT(ISERROR(SEARCH("Deferred",H119)))</formula>
    </cfRule>
    <cfRule type="containsText" dxfId="4138" priority="198" operator="containsText" text="Update Not Provided">
      <formula>NOT(ISERROR(SEARCH("Update Not Provided",H119)))</formula>
    </cfRule>
    <cfRule type="containsText" dxfId="4137" priority="199" operator="containsText" text="Not Yet Due">
      <formula>NOT(ISERROR(SEARCH("Not Yet Due",H119)))</formula>
    </cfRule>
    <cfRule type="containsText" dxfId="4136" priority="200" operator="containsText" text="Deleted">
      <formula>NOT(ISERROR(SEARCH("Deleted",H119)))</formula>
    </cfRule>
    <cfRule type="containsText" dxfId="4135" priority="201" operator="containsText" text="Completed Behind Schedule">
      <formula>NOT(ISERROR(SEARCH("Completed Behind Schedule",H119)))</formula>
    </cfRule>
    <cfRule type="containsText" dxfId="4134" priority="202" operator="containsText" text="Off Target">
      <formula>NOT(ISERROR(SEARCH("Off Target",H119)))</formula>
    </cfRule>
    <cfRule type="containsText" dxfId="4133" priority="203" operator="containsText" text="In Danger of Falling Behind Target">
      <formula>NOT(ISERROR(SEARCH("In Danger of Falling Behind Target",H119)))</formula>
    </cfRule>
    <cfRule type="containsText" dxfId="4132" priority="204" operator="containsText" text="Fully Achieved">
      <formula>NOT(ISERROR(SEARCH("Fully Achieved",H119)))</formula>
    </cfRule>
    <cfRule type="containsText" dxfId="4131" priority="205" operator="containsText" text="On track to be achieved">
      <formula>NOT(ISERROR(SEARCH("On track to be achieved",H119)))</formula>
    </cfRule>
  </conditionalFormatting>
  <conditionalFormatting sqref="V119">
    <cfRule type="containsText" dxfId="4130" priority="178" operator="containsText" text="Deleted">
      <formula>NOT(ISERROR(SEARCH("Deleted",V119)))</formula>
    </cfRule>
    <cfRule type="containsText" dxfId="4129" priority="179" operator="containsText" text="Deferred">
      <formula>NOT(ISERROR(SEARCH("Deferred",V119)))</formula>
    </cfRule>
    <cfRule type="containsText" dxfId="4128" priority="180" operator="containsText" text="Completion date within reasonable tolerance">
      <formula>NOT(ISERROR(SEARCH("Completion date within reasonable tolerance",V119)))</formula>
    </cfRule>
    <cfRule type="containsText" dxfId="4127" priority="181" operator="containsText" text="completed significantly after target deadline">
      <formula>NOT(ISERROR(SEARCH("completed significantly after target deadline",V119)))</formula>
    </cfRule>
    <cfRule type="containsText" dxfId="4126" priority="182" operator="containsText" text="Off target">
      <formula>NOT(ISERROR(SEARCH("Off target",V119)))</formula>
    </cfRule>
    <cfRule type="containsText" dxfId="4125" priority="183" operator="containsText" text="Target partially met">
      <formula>NOT(ISERROR(SEARCH("Target partially met",V119)))</formula>
    </cfRule>
    <cfRule type="containsText" dxfId="4124" priority="184" operator="containsText" text="Numerical outturn within 10% tolerance">
      <formula>NOT(ISERROR(SEARCH("Numerical outturn within 10% tolerance",V119)))</formula>
    </cfRule>
    <cfRule type="containsText" dxfId="4123" priority="185" operator="containsText" text="Numerical outturn within 5% Tolerance">
      <formula>NOT(ISERROR(SEARCH("Numerical outturn within 5% Tolerance",V119)))</formula>
    </cfRule>
    <cfRule type="containsText" dxfId="4122" priority="186" operator="containsText" text="Fully Achieved">
      <formula>NOT(ISERROR(SEARCH("Fully Achieved",V119)))</formula>
    </cfRule>
    <cfRule type="containsText" dxfId="4121" priority="187" operator="containsText" text="Update Not Provided">
      <formula>NOT(ISERROR(SEARCH("Update Not Provided",V119)))</formula>
    </cfRule>
    <cfRule type="containsText" dxfId="4120" priority="188" operator="containsText" text="Deferred">
      <formula>NOT(ISERROR(SEARCH("Deferred",V119)))</formula>
    </cfRule>
    <cfRule type="containsText" dxfId="4119" priority="189" operator="containsText" text="Update Not Provided">
      <formula>NOT(ISERROR(SEARCH("Update Not Provided",V119)))</formula>
    </cfRule>
    <cfRule type="containsText" dxfId="4118" priority="190" operator="containsText" text="Not Yet Due">
      <formula>NOT(ISERROR(SEARCH("Not Yet Due",V119)))</formula>
    </cfRule>
    <cfRule type="containsText" dxfId="4117" priority="191" operator="containsText" text="Deleted">
      <formula>NOT(ISERROR(SEARCH("Deleted",V119)))</formula>
    </cfRule>
    <cfRule type="containsText" dxfId="4116" priority="192" operator="containsText" text="Completed Behind Schedule">
      <formula>NOT(ISERROR(SEARCH("Completed Behind Schedule",V119)))</formula>
    </cfRule>
    <cfRule type="containsText" dxfId="4115" priority="193" operator="containsText" text="Off Target">
      <formula>NOT(ISERROR(SEARCH("Off Target",V119)))</formula>
    </cfRule>
    <cfRule type="containsText" dxfId="4114" priority="194" operator="containsText" text="In Danger of Falling Behind Target">
      <formula>NOT(ISERROR(SEARCH("In Danger of Falling Behind Target",V119)))</formula>
    </cfRule>
    <cfRule type="containsText" dxfId="4113" priority="195" operator="containsText" text="Fully Achieved">
      <formula>NOT(ISERROR(SEARCH("Fully Achieved",V119)))</formula>
    </cfRule>
    <cfRule type="containsText" dxfId="4112" priority="196" operator="containsText" text="On track to be achieved">
      <formula>NOT(ISERROR(SEARCH("On track to be achieved",V119)))</formula>
    </cfRule>
  </conditionalFormatting>
  <conditionalFormatting sqref="R113 H113">
    <cfRule type="containsText" dxfId="4111" priority="169" operator="containsText" text="Deferred">
      <formula>NOT(ISERROR(SEARCH("Deferred",H113)))</formula>
    </cfRule>
    <cfRule type="containsText" dxfId="4110" priority="170" operator="containsText" text="Update Not Provided">
      <formula>NOT(ISERROR(SEARCH("Update Not Provided",H113)))</formula>
    </cfRule>
    <cfRule type="containsText" dxfId="4109" priority="171" operator="containsText" text="Not Yet Due">
      <formula>NOT(ISERROR(SEARCH("Not Yet Due",H113)))</formula>
    </cfRule>
    <cfRule type="containsText" dxfId="4108" priority="172" operator="containsText" text="Deleted">
      <formula>NOT(ISERROR(SEARCH("Deleted",H113)))</formula>
    </cfRule>
    <cfRule type="containsText" dxfId="4107" priority="173" operator="containsText" text="Completed Behind Schedule">
      <formula>NOT(ISERROR(SEARCH("Completed Behind Schedule",H113)))</formula>
    </cfRule>
    <cfRule type="containsText" dxfId="4106" priority="174" operator="containsText" text="Off Target">
      <formula>NOT(ISERROR(SEARCH("Off Target",H113)))</formula>
    </cfRule>
    <cfRule type="containsText" dxfId="4105" priority="175" operator="containsText" text="In Danger of Falling Behind Target">
      <formula>NOT(ISERROR(SEARCH("In Danger of Falling Behind Target",H113)))</formula>
    </cfRule>
    <cfRule type="containsText" dxfId="4104" priority="176" operator="containsText" text="Fully Achieved">
      <formula>NOT(ISERROR(SEARCH("Fully Achieved",H113)))</formula>
    </cfRule>
    <cfRule type="containsText" dxfId="4103" priority="177" operator="containsText" text="On track to be achieved">
      <formula>NOT(ISERROR(SEARCH("On track to be achieved",H113)))</formula>
    </cfRule>
  </conditionalFormatting>
  <conditionalFormatting sqref="V113">
    <cfRule type="containsText" dxfId="4102" priority="150" operator="containsText" text="Deleted">
      <formula>NOT(ISERROR(SEARCH("Deleted",V113)))</formula>
    </cfRule>
    <cfRule type="containsText" dxfId="4101" priority="151" operator="containsText" text="Deferred">
      <formula>NOT(ISERROR(SEARCH("Deferred",V113)))</formula>
    </cfRule>
    <cfRule type="containsText" dxfId="4100" priority="152" operator="containsText" text="Completion date within reasonable tolerance">
      <formula>NOT(ISERROR(SEARCH("Completion date within reasonable tolerance",V113)))</formula>
    </cfRule>
    <cfRule type="containsText" dxfId="4099" priority="153" operator="containsText" text="completed significantly after target deadline">
      <formula>NOT(ISERROR(SEARCH("completed significantly after target deadline",V113)))</formula>
    </cfRule>
    <cfRule type="containsText" dxfId="4098" priority="154" operator="containsText" text="Off target">
      <formula>NOT(ISERROR(SEARCH("Off target",V113)))</formula>
    </cfRule>
    <cfRule type="containsText" dxfId="4097" priority="155" operator="containsText" text="Target partially met">
      <formula>NOT(ISERROR(SEARCH("Target partially met",V113)))</formula>
    </cfRule>
    <cfRule type="containsText" dxfId="4096" priority="156" operator="containsText" text="Numerical outturn within 10% tolerance">
      <formula>NOT(ISERROR(SEARCH("Numerical outturn within 10% tolerance",V113)))</formula>
    </cfRule>
    <cfRule type="containsText" dxfId="4095" priority="157" operator="containsText" text="Numerical outturn within 5% Tolerance">
      <formula>NOT(ISERROR(SEARCH("Numerical outturn within 5% Tolerance",V113)))</formula>
    </cfRule>
    <cfRule type="containsText" dxfId="4094" priority="158" operator="containsText" text="Fully Achieved">
      <formula>NOT(ISERROR(SEARCH("Fully Achieved",V113)))</formula>
    </cfRule>
    <cfRule type="containsText" dxfId="4093" priority="159" operator="containsText" text="Update Not Provided">
      <formula>NOT(ISERROR(SEARCH("Update Not Provided",V113)))</formula>
    </cfRule>
    <cfRule type="containsText" dxfId="4092" priority="160" operator="containsText" text="Deferred">
      <formula>NOT(ISERROR(SEARCH("Deferred",V113)))</formula>
    </cfRule>
    <cfRule type="containsText" dxfId="4091" priority="161" operator="containsText" text="Update Not Provided">
      <formula>NOT(ISERROR(SEARCH("Update Not Provided",V113)))</formula>
    </cfRule>
    <cfRule type="containsText" dxfId="4090" priority="162" operator="containsText" text="Not Yet Due">
      <formula>NOT(ISERROR(SEARCH("Not Yet Due",V113)))</formula>
    </cfRule>
    <cfRule type="containsText" dxfId="4089" priority="163" operator="containsText" text="Deleted">
      <formula>NOT(ISERROR(SEARCH("Deleted",V113)))</formula>
    </cfRule>
    <cfRule type="containsText" dxfId="4088" priority="164" operator="containsText" text="Completed Behind Schedule">
      <formula>NOT(ISERROR(SEARCH("Completed Behind Schedule",V113)))</formula>
    </cfRule>
    <cfRule type="containsText" dxfId="4087" priority="165" operator="containsText" text="Off Target">
      <formula>NOT(ISERROR(SEARCH("Off Target",V113)))</formula>
    </cfRule>
    <cfRule type="containsText" dxfId="4086" priority="166" operator="containsText" text="In Danger of Falling Behind Target">
      <formula>NOT(ISERROR(SEARCH("In Danger of Falling Behind Target",V113)))</formula>
    </cfRule>
    <cfRule type="containsText" dxfId="4085" priority="167" operator="containsText" text="Fully Achieved">
      <formula>NOT(ISERROR(SEARCH("Fully Achieved",V113)))</formula>
    </cfRule>
    <cfRule type="containsText" dxfId="4084" priority="168" operator="containsText" text="On track to be achieved">
      <formula>NOT(ISERROR(SEARCH("On track to be achieved",V113)))</formula>
    </cfRule>
  </conditionalFormatting>
  <conditionalFormatting sqref="R66 H66">
    <cfRule type="containsText" dxfId="4083" priority="141" operator="containsText" text="Deferred">
      <formula>NOT(ISERROR(SEARCH("Deferred",H66)))</formula>
    </cfRule>
    <cfRule type="containsText" dxfId="4082" priority="142" operator="containsText" text="Update Not Provided">
      <formula>NOT(ISERROR(SEARCH("Update Not Provided",H66)))</formula>
    </cfRule>
    <cfRule type="containsText" dxfId="4081" priority="143" operator="containsText" text="Not Yet Due">
      <formula>NOT(ISERROR(SEARCH("Not Yet Due",H66)))</formula>
    </cfRule>
    <cfRule type="containsText" dxfId="4080" priority="144" operator="containsText" text="Deleted">
      <formula>NOT(ISERROR(SEARCH("Deleted",H66)))</formula>
    </cfRule>
    <cfRule type="containsText" dxfId="4079" priority="145" operator="containsText" text="Completed Behind Schedule">
      <formula>NOT(ISERROR(SEARCH("Completed Behind Schedule",H66)))</formula>
    </cfRule>
    <cfRule type="containsText" dxfId="4078" priority="146" operator="containsText" text="Off Target">
      <formula>NOT(ISERROR(SEARCH("Off Target",H66)))</formula>
    </cfRule>
    <cfRule type="containsText" dxfId="4077" priority="147" operator="containsText" text="In Danger of Falling Behind Target">
      <formula>NOT(ISERROR(SEARCH("In Danger of Falling Behind Target",H66)))</formula>
    </cfRule>
    <cfRule type="containsText" dxfId="4076" priority="148" operator="containsText" text="Fully Achieved">
      <formula>NOT(ISERROR(SEARCH("Fully Achieved",H66)))</formula>
    </cfRule>
    <cfRule type="containsText" dxfId="4075" priority="149" operator="containsText" text="On track to be achieved">
      <formula>NOT(ISERROR(SEARCH("On track to be achieved",H66)))</formula>
    </cfRule>
  </conditionalFormatting>
  <conditionalFormatting sqref="V66">
    <cfRule type="containsText" dxfId="4074" priority="122" operator="containsText" text="Deleted">
      <formula>NOT(ISERROR(SEARCH("Deleted",V66)))</formula>
    </cfRule>
    <cfRule type="containsText" dxfId="4073" priority="123" operator="containsText" text="Deferred">
      <formula>NOT(ISERROR(SEARCH("Deferred",V66)))</formula>
    </cfRule>
    <cfRule type="containsText" dxfId="4072" priority="124" operator="containsText" text="Completion date within reasonable tolerance">
      <formula>NOT(ISERROR(SEARCH("Completion date within reasonable tolerance",V66)))</formula>
    </cfRule>
    <cfRule type="containsText" dxfId="4071" priority="125" operator="containsText" text="completed significantly after target deadline">
      <formula>NOT(ISERROR(SEARCH("completed significantly after target deadline",V66)))</formula>
    </cfRule>
    <cfRule type="containsText" dxfId="4070" priority="126" operator="containsText" text="Off target">
      <formula>NOT(ISERROR(SEARCH("Off target",V66)))</formula>
    </cfRule>
    <cfRule type="containsText" dxfId="4069" priority="127" operator="containsText" text="Target partially met">
      <formula>NOT(ISERROR(SEARCH("Target partially met",V66)))</formula>
    </cfRule>
    <cfRule type="containsText" dxfId="4068" priority="128" operator="containsText" text="Numerical outturn within 10% tolerance">
      <formula>NOT(ISERROR(SEARCH("Numerical outturn within 10% tolerance",V66)))</formula>
    </cfRule>
    <cfRule type="containsText" dxfId="4067" priority="129" operator="containsText" text="Numerical outturn within 5% Tolerance">
      <formula>NOT(ISERROR(SEARCH("Numerical outturn within 5% Tolerance",V66)))</formula>
    </cfRule>
    <cfRule type="containsText" dxfId="4066" priority="130" operator="containsText" text="Fully Achieved">
      <formula>NOT(ISERROR(SEARCH("Fully Achieved",V66)))</formula>
    </cfRule>
    <cfRule type="containsText" dxfId="4065" priority="131" operator="containsText" text="Update Not Provided">
      <formula>NOT(ISERROR(SEARCH("Update Not Provided",V66)))</formula>
    </cfRule>
    <cfRule type="containsText" dxfId="4064" priority="132" operator="containsText" text="Deferred">
      <formula>NOT(ISERROR(SEARCH("Deferred",V66)))</formula>
    </cfRule>
    <cfRule type="containsText" dxfId="4063" priority="133" operator="containsText" text="Update Not Provided">
      <formula>NOT(ISERROR(SEARCH("Update Not Provided",V66)))</formula>
    </cfRule>
    <cfRule type="containsText" dxfId="4062" priority="134" operator="containsText" text="Not Yet Due">
      <formula>NOT(ISERROR(SEARCH("Not Yet Due",V66)))</formula>
    </cfRule>
    <cfRule type="containsText" dxfId="4061" priority="135" operator="containsText" text="Deleted">
      <formula>NOT(ISERROR(SEARCH("Deleted",V66)))</formula>
    </cfRule>
    <cfRule type="containsText" dxfId="4060" priority="136" operator="containsText" text="Completed Behind Schedule">
      <formula>NOT(ISERROR(SEARCH("Completed Behind Schedule",V66)))</formula>
    </cfRule>
    <cfRule type="containsText" dxfId="4059" priority="137" operator="containsText" text="Off Target">
      <formula>NOT(ISERROR(SEARCH("Off Target",V66)))</formula>
    </cfRule>
    <cfRule type="containsText" dxfId="4058" priority="138" operator="containsText" text="In Danger of Falling Behind Target">
      <formula>NOT(ISERROR(SEARCH("In Danger of Falling Behind Target",V66)))</formula>
    </cfRule>
    <cfRule type="containsText" dxfId="4057" priority="139" operator="containsText" text="Fully Achieved">
      <formula>NOT(ISERROR(SEARCH("Fully Achieved",V66)))</formula>
    </cfRule>
    <cfRule type="containsText" dxfId="4056" priority="140" operator="containsText" text="On track to be achieved">
      <formula>NOT(ISERROR(SEARCH("On track to be achieved",V66)))</formula>
    </cfRule>
  </conditionalFormatting>
  <conditionalFormatting sqref="R67 H67">
    <cfRule type="containsText" dxfId="4055" priority="113" operator="containsText" text="Deferred">
      <formula>NOT(ISERROR(SEARCH("Deferred",H67)))</formula>
    </cfRule>
    <cfRule type="containsText" dxfId="4054" priority="114" operator="containsText" text="Update Not Provided">
      <formula>NOT(ISERROR(SEARCH("Update Not Provided",H67)))</formula>
    </cfRule>
    <cfRule type="containsText" dxfId="4053" priority="115" operator="containsText" text="Not Yet Due">
      <formula>NOT(ISERROR(SEARCH("Not Yet Due",H67)))</formula>
    </cfRule>
    <cfRule type="containsText" dxfId="4052" priority="116" operator="containsText" text="Deleted">
      <formula>NOT(ISERROR(SEARCH("Deleted",H67)))</formula>
    </cfRule>
    <cfRule type="containsText" dxfId="4051" priority="117" operator="containsText" text="Completed Behind Schedule">
      <formula>NOT(ISERROR(SEARCH("Completed Behind Schedule",H67)))</formula>
    </cfRule>
    <cfRule type="containsText" dxfId="4050" priority="118" operator="containsText" text="Off Target">
      <formula>NOT(ISERROR(SEARCH("Off Target",H67)))</formula>
    </cfRule>
    <cfRule type="containsText" dxfId="4049" priority="119" operator="containsText" text="In Danger of Falling Behind Target">
      <formula>NOT(ISERROR(SEARCH("In Danger of Falling Behind Target",H67)))</formula>
    </cfRule>
    <cfRule type="containsText" dxfId="4048" priority="120" operator="containsText" text="Fully Achieved">
      <formula>NOT(ISERROR(SEARCH("Fully Achieved",H67)))</formula>
    </cfRule>
    <cfRule type="containsText" dxfId="4047" priority="121" operator="containsText" text="On track to be achieved">
      <formula>NOT(ISERROR(SEARCH("On track to be achieved",H67)))</formula>
    </cfRule>
  </conditionalFormatting>
  <conditionalFormatting sqref="V67">
    <cfRule type="containsText" dxfId="4046" priority="94" operator="containsText" text="Deleted">
      <formula>NOT(ISERROR(SEARCH("Deleted",V67)))</formula>
    </cfRule>
    <cfRule type="containsText" dxfId="4045" priority="95" operator="containsText" text="Deferred">
      <formula>NOT(ISERROR(SEARCH("Deferred",V67)))</formula>
    </cfRule>
    <cfRule type="containsText" dxfId="4044" priority="96" operator="containsText" text="Completion date within reasonable tolerance">
      <formula>NOT(ISERROR(SEARCH("Completion date within reasonable tolerance",V67)))</formula>
    </cfRule>
    <cfRule type="containsText" dxfId="4043" priority="97" operator="containsText" text="completed significantly after target deadline">
      <formula>NOT(ISERROR(SEARCH("completed significantly after target deadline",V67)))</formula>
    </cfRule>
    <cfRule type="containsText" dxfId="4042" priority="98" operator="containsText" text="Off target">
      <formula>NOT(ISERROR(SEARCH("Off target",V67)))</formula>
    </cfRule>
    <cfRule type="containsText" dxfId="4041" priority="99" operator="containsText" text="Target partially met">
      <formula>NOT(ISERROR(SEARCH("Target partially met",V67)))</formula>
    </cfRule>
    <cfRule type="containsText" dxfId="4040" priority="100" operator="containsText" text="Numerical outturn within 10% tolerance">
      <formula>NOT(ISERROR(SEARCH("Numerical outturn within 10% tolerance",V67)))</formula>
    </cfRule>
    <cfRule type="containsText" dxfId="4039" priority="101" operator="containsText" text="Numerical outturn within 5% Tolerance">
      <formula>NOT(ISERROR(SEARCH("Numerical outturn within 5% Tolerance",V67)))</formula>
    </cfRule>
    <cfRule type="containsText" dxfId="4038" priority="102" operator="containsText" text="Fully Achieved">
      <formula>NOT(ISERROR(SEARCH("Fully Achieved",V67)))</formula>
    </cfRule>
    <cfRule type="containsText" dxfId="4037" priority="103" operator="containsText" text="Update Not Provided">
      <formula>NOT(ISERROR(SEARCH("Update Not Provided",V67)))</formula>
    </cfRule>
    <cfRule type="containsText" dxfId="4036" priority="104" operator="containsText" text="Deferred">
      <formula>NOT(ISERROR(SEARCH("Deferred",V67)))</formula>
    </cfRule>
    <cfRule type="containsText" dxfId="4035" priority="105" operator="containsText" text="Update Not Provided">
      <formula>NOT(ISERROR(SEARCH("Update Not Provided",V67)))</formula>
    </cfRule>
    <cfRule type="containsText" dxfId="4034" priority="106" operator="containsText" text="Not Yet Due">
      <formula>NOT(ISERROR(SEARCH("Not Yet Due",V67)))</formula>
    </cfRule>
    <cfRule type="containsText" dxfId="4033" priority="107" operator="containsText" text="Deleted">
      <formula>NOT(ISERROR(SEARCH("Deleted",V67)))</formula>
    </cfRule>
    <cfRule type="containsText" dxfId="4032" priority="108" operator="containsText" text="Completed Behind Schedule">
      <formula>NOT(ISERROR(SEARCH("Completed Behind Schedule",V67)))</formula>
    </cfRule>
    <cfRule type="containsText" dxfId="4031" priority="109" operator="containsText" text="Off Target">
      <formula>NOT(ISERROR(SEARCH("Off Target",V67)))</formula>
    </cfRule>
    <cfRule type="containsText" dxfId="4030" priority="110" operator="containsText" text="In Danger of Falling Behind Target">
      <formula>NOT(ISERROR(SEARCH("In Danger of Falling Behind Target",V67)))</formula>
    </cfRule>
    <cfRule type="containsText" dxfId="4029" priority="111" operator="containsText" text="Fully Achieved">
      <formula>NOT(ISERROR(SEARCH("Fully Achieved",V67)))</formula>
    </cfRule>
    <cfRule type="containsText" dxfId="4028" priority="112" operator="containsText" text="On track to be achieved">
      <formula>NOT(ISERROR(SEARCH("On track to be achieved",V67)))</formula>
    </cfRule>
  </conditionalFormatting>
  <conditionalFormatting sqref="R68 H68">
    <cfRule type="containsText" dxfId="4027" priority="85" operator="containsText" text="Deferred">
      <formula>NOT(ISERROR(SEARCH("Deferred",H68)))</formula>
    </cfRule>
    <cfRule type="containsText" dxfId="4026" priority="86" operator="containsText" text="Update Not Provided">
      <formula>NOT(ISERROR(SEARCH("Update Not Provided",H68)))</formula>
    </cfRule>
    <cfRule type="containsText" dxfId="4025" priority="87" operator="containsText" text="Not Yet Due">
      <formula>NOT(ISERROR(SEARCH("Not Yet Due",H68)))</formula>
    </cfRule>
    <cfRule type="containsText" dxfId="4024" priority="88" operator="containsText" text="Deleted">
      <formula>NOT(ISERROR(SEARCH("Deleted",H68)))</formula>
    </cfRule>
    <cfRule type="containsText" dxfId="4023" priority="89" operator="containsText" text="Completed Behind Schedule">
      <formula>NOT(ISERROR(SEARCH("Completed Behind Schedule",H68)))</formula>
    </cfRule>
    <cfRule type="containsText" dxfId="4022" priority="90" operator="containsText" text="Off Target">
      <formula>NOT(ISERROR(SEARCH("Off Target",H68)))</formula>
    </cfRule>
    <cfRule type="containsText" dxfId="4021" priority="91" operator="containsText" text="In Danger of Falling Behind Target">
      <formula>NOT(ISERROR(SEARCH("In Danger of Falling Behind Target",H68)))</formula>
    </cfRule>
    <cfRule type="containsText" dxfId="4020" priority="92" operator="containsText" text="Fully Achieved">
      <formula>NOT(ISERROR(SEARCH("Fully Achieved",H68)))</formula>
    </cfRule>
    <cfRule type="containsText" dxfId="4019" priority="93" operator="containsText" text="On track to be achieved">
      <formula>NOT(ISERROR(SEARCH("On track to be achieved",H68)))</formula>
    </cfRule>
  </conditionalFormatting>
  <conditionalFormatting sqref="V68">
    <cfRule type="containsText" dxfId="4018" priority="66" operator="containsText" text="Deleted">
      <formula>NOT(ISERROR(SEARCH("Deleted",V68)))</formula>
    </cfRule>
    <cfRule type="containsText" dxfId="4017" priority="67" operator="containsText" text="Deferred">
      <formula>NOT(ISERROR(SEARCH("Deferred",V68)))</formula>
    </cfRule>
    <cfRule type="containsText" dxfId="4016" priority="68" operator="containsText" text="Completion date within reasonable tolerance">
      <formula>NOT(ISERROR(SEARCH("Completion date within reasonable tolerance",V68)))</formula>
    </cfRule>
    <cfRule type="containsText" dxfId="4015" priority="69" operator="containsText" text="completed significantly after target deadline">
      <formula>NOT(ISERROR(SEARCH("completed significantly after target deadline",V68)))</formula>
    </cfRule>
    <cfRule type="containsText" dxfId="4014" priority="70" operator="containsText" text="Off target">
      <formula>NOT(ISERROR(SEARCH("Off target",V68)))</formula>
    </cfRule>
    <cfRule type="containsText" dxfId="4013" priority="71" operator="containsText" text="Target partially met">
      <formula>NOT(ISERROR(SEARCH("Target partially met",V68)))</formula>
    </cfRule>
    <cfRule type="containsText" dxfId="4012" priority="72" operator="containsText" text="Numerical outturn within 10% tolerance">
      <formula>NOT(ISERROR(SEARCH("Numerical outturn within 10% tolerance",V68)))</formula>
    </cfRule>
    <cfRule type="containsText" dxfId="4011" priority="73" operator="containsText" text="Numerical outturn within 5% Tolerance">
      <formula>NOT(ISERROR(SEARCH("Numerical outturn within 5% Tolerance",V68)))</formula>
    </cfRule>
    <cfRule type="containsText" dxfId="4010" priority="74" operator="containsText" text="Fully Achieved">
      <formula>NOT(ISERROR(SEARCH("Fully Achieved",V68)))</formula>
    </cfRule>
    <cfRule type="containsText" dxfId="4009" priority="75" operator="containsText" text="Update Not Provided">
      <formula>NOT(ISERROR(SEARCH("Update Not Provided",V68)))</formula>
    </cfRule>
    <cfRule type="containsText" dxfId="4008" priority="76" operator="containsText" text="Deferred">
      <formula>NOT(ISERROR(SEARCH("Deferred",V68)))</formula>
    </cfRule>
    <cfRule type="containsText" dxfId="4007" priority="77" operator="containsText" text="Update Not Provided">
      <formula>NOT(ISERROR(SEARCH("Update Not Provided",V68)))</formula>
    </cfRule>
    <cfRule type="containsText" dxfId="4006" priority="78" operator="containsText" text="Not Yet Due">
      <formula>NOT(ISERROR(SEARCH("Not Yet Due",V68)))</formula>
    </cfRule>
    <cfRule type="containsText" dxfId="4005" priority="79" operator="containsText" text="Deleted">
      <formula>NOT(ISERROR(SEARCH("Deleted",V68)))</formula>
    </cfRule>
    <cfRule type="containsText" dxfId="4004" priority="80" operator="containsText" text="Completed Behind Schedule">
      <formula>NOT(ISERROR(SEARCH("Completed Behind Schedule",V68)))</formula>
    </cfRule>
    <cfRule type="containsText" dxfId="4003" priority="81" operator="containsText" text="Off Target">
      <formula>NOT(ISERROR(SEARCH("Off Target",V68)))</formula>
    </cfRule>
    <cfRule type="containsText" dxfId="4002" priority="82" operator="containsText" text="In Danger of Falling Behind Target">
      <formula>NOT(ISERROR(SEARCH("In Danger of Falling Behind Target",V68)))</formula>
    </cfRule>
    <cfRule type="containsText" dxfId="4001" priority="83" operator="containsText" text="Fully Achieved">
      <formula>NOT(ISERROR(SEARCH("Fully Achieved",V68)))</formula>
    </cfRule>
    <cfRule type="containsText" dxfId="4000" priority="84" operator="containsText" text="On track to be achieved">
      <formula>NOT(ISERROR(SEARCH("On track to be achieved",V68)))</formula>
    </cfRule>
  </conditionalFormatting>
  <conditionalFormatting sqref="R14 H14">
    <cfRule type="containsText" dxfId="3999" priority="57" operator="containsText" text="Deferred">
      <formula>NOT(ISERROR(SEARCH("Deferred",H14)))</formula>
    </cfRule>
    <cfRule type="containsText" dxfId="3998" priority="58" operator="containsText" text="Update Not Provided">
      <formula>NOT(ISERROR(SEARCH("Update Not Provided",H14)))</formula>
    </cfRule>
    <cfRule type="containsText" dxfId="3997" priority="59" operator="containsText" text="Not Yet Due">
      <formula>NOT(ISERROR(SEARCH("Not Yet Due",H14)))</formula>
    </cfRule>
    <cfRule type="containsText" dxfId="3996" priority="60" operator="containsText" text="Deleted">
      <formula>NOT(ISERROR(SEARCH("Deleted",H14)))</formula>
    </cfRule>
    <cfRule type="containsText" dxfId="3995" priority="61" operator="containsText" text="Completed Behind Schedule">
      <formula>NOT(ISERROR(SEARCH("Completed Behind Schedule",H14)))</formula>
    </cfRule>
    <cfRule type="containsText" dxfId="3994" priority="62" operator="containsText" text="Off Target">
      <formula>NOT(ISERROR(SEARCH("Off Target",H14)))</formula>
    </cfRule>
    <cfRule type="containsText" dxfId="3993" priority="63" operator="containsText" text="In Danger of Falling Behind Target">
      <formula>NOT(ISERROR(SEARCH("In Danger of Falling Behind Target",H14)))</formula>
    </cfRule>
    <cfRule type="containsText" dxfId="3992" priority="64" operator="containsText" text="Fully Achieved">
      <formula>NOT(ISERROR(SEARCH("Fully Achieved",H14)))</formula>
    </cfRule>
    <cfRule type="containsText" dxfId="3991" priority="65" operator="containsText" text="On track to be achieved">
      <formula>NOT(ISERROR(SEARCH("On track to be achieved",H14)))</formula>
    </cfRule>
  </conditionalFormatting>
  <conditionalFormatting sqref="V14">
    <cfRule type="containsText" dxfId="3990" priority="38" operator="containsText" text="Deleted">
      <formula>NOT(ISERROR(SEARCH("Deleted",V14)))</formula>
    </cfRule>
    <cfRule type="containsText" dxfId="3989" priority="39" operator="containsText" text="Deferred">
      <formula>NOT(ISERROR(SEARCH("Deferred",V14)))</formula>
    </cfRule>
    <cfRule type="containsText" dxfId="3988" priority="40" operator="containsText" text="Completion date within reasonable tolerance">
      <formula>NOT(ISERROR(SEARCH("Completion date within reasonable tolerance",V14)))</formula>
    </cfRule>
    <cfRule type="containsText" dxfId="3987" priority="41" operator="containsText" text="completed significantly after target deadline">
      <formula>NOT(ISERROR(SEARCH("completed significantly after target deadline",V14)))</formula>
    </cfRule>
    <cfRule type="containsText" dxfId="3986" priority="42" operator="containsText" text="Off target">
      <formula>NOT(ISERROR(SEARCH("Off target",V14)))</formula>
    </cfRule>
    <cfRule type="containsText" dxfId="3985" priority="43" operator="containsText" text="Target partially met">
      <formula>NOT(ISERROR(SEARCH("Target partially met",V14)))</formula>
    </cfRule>
    <cfRule type="containsText" dxfId="3984" priority="44" operator="containsText" text="Numerical outturn within 10% tolerance">
      <formula>NOT(ISERROR(SEARCH("Numerical outturn within 10% tolerance",V14)))</formula>
    </cfRule>
    <cfRule type="containsText" dxfId="3983" priority="45" operator="containsText" text="Numerical outturn within 5% Tolerance">
      <formula>NOT(ISERROR(SEARCH("Numerical outturn within 5% Tolerance",V14)))</formula>
    </cfRule>
    <cfRule type="containsText" dxfId="3982" priority="46" operator="containsText" text="Fully Achieved">
      <formula>NOT(ISERROR(SEARCH("Fully Achieved",V14)))</formula>
    </cfRule>
    <cfRule type="containsText" dxfId="3981" priority="47" operator="containsText" text="Update Not Provided">
      <formula>NOT(ISERROR(SEARCH("Update Not Provided",V14)))</formula>
    </cfRule>
    <cfRule type="containsText" dxfId="3980" priority="48" operator="containsText" text="Deferred">
      <formula>NOT(ISERROR(SEARCH("Deferred",V14)))</formula>
    </cfRule>
    <cfRule type="containsText" dxfId="3979" priority="49" operator="containsText" text="Update Not Provided">
      <formula>NOT(ISERROR(SEARCH("Update Not Provided",V14)))</formula>
    </cfRule>
    <cfRule type="containsText" dxfId="3978" priority="50" operator="containsText" text="Not Yet Due">
      <formula>NOT(ISERROR(SEARCH("Not Yet Due",V14)))</formula>
    </cfRule>
    <cfRule type="containsText" dxfId="3977" priority="51" operator="containsText" text="Deleted">
      <formula>NOT(ISERROR(SEARCH("Deleted",V14)))</formula>
    </cfRule>
    <cfRule type="containsText" dxfId="3976" priority="52" operator="containsText" text="Completed Behind Schedule">
      <formula>NOT(ISERROR(SEARCH("Completed Behind Schedule",V14)))</formula>
    </cfRule>
    <cfRule type="containsText" dxfId="3975" priority="53" operator="containsText" text="Off Target">
      <formula>NOT(ISERROR(SEARCH("Off Target",V14)))</formula>
    </cfRule>
    <cfRule type="containsText" dxfId="3974" priority="54" operator="containsText" text="In Danger of Falling Behind Target">
      <formula>NOT(ISERROR(SEARCH("In Danger of Falling Behind Target",V14)))</formula>
    </cfRule>
    <cfRule type="containsText" dxfId="3973" priority="55" operator="containsText" text="Fully Achieved">
      <formula>NOT(ISERROR(SEARCH("Fully Achieved",V14)))</formula>
    </cfRule>
    <cfRule type="containsText" dxfId="3972" priority="56" operator="containsText" text="On track to be achieved">
      <formula>NOT(ISERROR(SEARCH("On track to be achieved",V14)))</formula>
    </cfRule>
  </conditionalFormatting>
  <conditionalFormatting sqref="H88 R88">
    <cfRule type="containsText" dxfId="3971" priority="29" operator="containsText" text="Deferred">
      <formula>NOT(ISERROR(SEARCH("Deferred",H88)))</formula>
    </cfRule>
    <cfRule type="containsText" dxfId="3970" priority="30" operator="containsText" text="Update Not Provided">
      <formula>NOT(ISERROR(SEARCH("Update Not Provided",H88)))</formula>
    </cfRule>
    <cfRule type="containsText" dxfId="3969" priority="31" operator="containsText" text="Not Yet Due">
      <formula>NOT(ISERROR(SEARCH("Not Yet Due",H88)))</formula>
    </cfRule>
    <cfRule type="containsText" dxfId="3968" priority="32" operator="containsText" text="Deleted">
      <formula>NOT(ISERROR(SEARCH("Deleted",H88)))</formula>
    </cfRule>
    <cfRule type="containsText" dxfId="3967" priority="33" operator="containsText" text="Completed Behind Schedule">
      <formula>NOT(ISERROR(SEARCH("Completed Behind Schedule",H88)))</formula>
    </cfRule>
    <cfRule type="containsText" dxfId="3966" priority="34" operator="containsText" text="Off Target">
      <formula>NOT(ISERROR(SEARCH("Off Target",H88)))</formula>
    </cfRule>
    <cfRule type="containsText" dxfId="3965" priority="35" operator="containsText" text="In Danger of Falling Behind Target">
      <formula>NOT(ISERROR(SEARCH("In Danger of Falling Behind Target",H88)))</formula>
    </cfRule>
    <cfRule type="containsText" dxfId="3964" priority="36" operator="containsText" text="Fully Achieved">
      <formula>NOT(ISERROR(SEARCH("Fully Achieved",H88)))</formula>
    </cfRule>
    <cfRule type="containsText" dxfId="3963" priority="37" operator="containsText" text="On track to be achieved">
      <formula>NOT(ISERROR(SEARCH("On track to be achieved",H88)))</formula>
    </cfRule>
  </conditionalFormatting>
  <conditionalFormatting sqref="V88">
    <cfRule type="containsText" dxfId="3962" priority="10" operator="containsText" text="Deleted">
      <formula>NOT(ISERROR(SEARCH("Deleted",V88)))</formula>
    </cfRule>
    <cfRule type="containsText" dxfId="3961" priority="11" operator="containsText" text="Deferred">
      <formula>NOT(ISERROR(SEARCH("Deferred",V88)))</formula>
    </cfRule>
    <cfRule type="containsText" dxfId="3960" priority="12" operator="containsText" text="Completion date within reasonable tolerance">
      <formula>NOT(ISERROR(SEARCH("Completion date within reasonable tolerance",V88)))</formula>
    </cfRule>
    <cfRule type="containsText" dxfId="3959" priority="13" operator="containsText" text="completed significantly after target deadline">
      <formula>NOT(ISERROR(SEARCH("completed significantly after target deadline",V88)))</formula>
    </cfRule>
    <cfRule type="containsText" dxfId="3958" priority="14" operator="containsText" text="Off target">
      <formula>NOT(ISERROR(SEARCH("Off target",V88)))</formula>
    </cfRule>
    <cfRule type="containsText" dxfId="3957" priority="15" operator="containsText" text="Target partially met">
      <formula>NOT(ISERROR(SEARCH("Target partially met",V88)))</formula>
    </cfRule>
    <cfRule type="containsText" dxfId="3956" priority="16" operator="containsText" text="Numerical outturn within 10% tolerance">
      <formula>NOT(ISERROR(SEARCH("Numerical outturn within 10% tolerance",V88)))</formula>
    </cfRule>
    <cfRule type="containsText" dxfId="3955" priority="17" operator="containsText" text="Numerical outturn within 5% Tolerance">
      <formula>NOT(ISERROR(SEARCH("Numerical outturn within 5% Tolerance",V88)))</formula>
    </cfRule>
    <cfRule type="containsText" dxfId="3954" priority="18" operator="containsText" text="Fully Achieved">
      <formula>NOT(ISERROR(SEARCH("Fully Achieved",V88)))</formula>
    </cfRule>
    <cfRule type="containsText" dxfId="3953" priority="19" operator="containsText" text="Update Not Provided">
      <formula>NOT(ISERROR(SEARCH("Update Not Provided",V88)))</formula>
    </cfRule>
    <cfRule type="containsText" dxfId="3952" priority="20" operator="containsText" text="Deferred">
      <formula>NOT(ISERROR(SEARCH("Deferred",V88)))</formula>
    </cfRule>
    <cfRule type="containsText" dxfId="3951" priority="21" operator="containsText" text="Update Not Provided">
      <formula>NOT(ISERROR(SEARCH("Update Not Provided",V88)))</formula>
    </cfRule>
    <cfRule type="containsText" dxfId="3950" priority="22" operator="containsText" text="Not Yet Due">
      <formula>NOT(ISERROR(SEARCH("Not Yet Due",V88)))</formula>
    </cfRule>
    <cfRule type="containsText" dxfId="3949" priority="23" operator="containsText" text="Deleted">
      <formula>NOT(ISERROR(SEARCH("Deleted",V88)))</formula>
    </cfRule>
    <cfRule type="containsText" dxfId="3948" priority="24" operator="containsText" text="Completed Behind Schedule">
      <formula>NOT(ISERROR(SEARCH("Completed Behind Schedule",V88)))</formula>
    </cfRule>
    <cfRule type="containsText" dxfId="3947" priority="25" operator="containsText" text="Off Target">
      <formula>NOT(ISERROR(SEARCH("Off Target",V88)))</formula>
    </cfRule>
    <cfRule type="containsText" dxfId="3946" priority="26" operator="containsText" text="In Danger of Falling Behind Target">
      <formula>NOT(ISERROR(SEARCH("In Danger of Falling Behind Target",V88)))</formula>
    </cfRule>
    <cfRule type="containsText" dxfId="3945" priority="27" operator="containsText" text="Fully Achieved">
      <formula>NOT(ISERROR(SEARCH("Fully Achieved",V88)))</formula>
    </cfRule>
    <cfRule type="containsText" dxfId="3944" priority="28" operator="containsText" text="On track to be achieved">
      <formula>NOT(ISERROR(SEARCH("On track to be achieved",V88)))</formula>
    </cfRule>
  </conditionalFormatting>
  <conditionalFormatting sqref="M129:M132">
    <cfRule type="containsText" dxfId="3943" priority="1" operator="containsText" text="Deferred">
      <formula>NOT(ISERROR(SEARCH("Deferred",M129)))</formula>
    </cfRule>
    <cfRule type="containsText" dxfId="3942" priority="2" operator="containsText" text="Update Not Provided">
      <formula>NOT(ISERROR(SEARCH("Update Not Provided",M129)))</formula>
    </cfRule>
    <cfRule type="containsText" dxfId="3941" priority="3" operator="containsText" text="Not Yet Due">
      <formula>NOT(ISERROR(SEARCH("Not Yet Due",M129)))</formula>
    </cfRule>
    <cfRule type="containsText" dxfId="3940" priority="4" operator="containsText" text="Deleted">
      <formula>NOT(ISERROR(SEARCH("Deleted",M129)))</formula>
    </cfRule>
    <cfRule type="containsText" dxfId="3939" priority="5" operator="containsText" text="Completed Behind Schedule">
      <formula>NOT(ISERROR(SEARCH("Completed Behind Schedule",M129)))</formula>
    </cfRule>
    <cfRule type="containsText" dxfId="3938" priority="6" operator="containsText" text="Off Target">
      <formula>NOT(ISERROR(SEARCH("Off Target",M129)))</formula>
    </cfRule>
    <cfRule type="containsText" dxfId="3937" priority="7" operator="containsText" text="In Danger of Falling Behind Target">
      <formula>NOT(ISERROR(SEARCH("In Danger of Falling Behind Target",M129)))</formula>
    </cfRule>
    <cfRule type="containsText" dxfId="3936" priority="8" operator="containsText" text="Fully Achieved">
      <formula>NOT(ISERROR(SEARCH("Fully Achieved",M129)))</formula>
    </cfRule>
    <cfRule type="containsText" dxfId="3935" priority="9" operator="containsText" text="On track to be achieved">
      <formula>NOT(ISERROR(SEARCH("On track to be achieved",M129)))</formula>
    </cfRule>
  </conditionalFormatting>
  <dataValidations xWindow="1201" yWindow="728" count="2">
    <dataValidation type="list" allowBlank="1" showInputMessage="1" showErrorMessage="1" promptTitle="Is target on track?" prompt="Please choose an option from the drop down list that best describes the current situation for this target." sqref="V3:V134">
      <formula1>$A$153:$A$162</formula1>
    </dataValidation>
    <dataValidation type="list" allowBlank="1" showInputMessage="1" showErrorMessage="1" promptTitle="Is target on track?" prompt="Please choose an option from the drop down list that best describes the current situation for this target." sqref="R3:R134 H3:H134 M3:M134">
      <formula1>$A$171:$A$179</formula1>
    </dataValidation>
  </dataValidations>
  <hyperlinks>
    <hyperlink ref="I80" r:id="rId1"/>
  </hyperlinks>
  <pageMargins left="0.25" right="0.25" top="0.75" bottom="0.75" header="0.3" footer="0.3"/>
  <pageSetup paperSize="8" scale="54" fitToHeight="0" orientation="landscape" r:id="rId2"/>
  <drawing r:id="rId3"/>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28515625" defaultRowHeight="15"/>
  <cols>
    <col min="1" max="1" width="12.7109375" style="100" customWidth="1"/>
    <col min="2" max="2" width="55.42578125" style="100" customWidth="1"/>
    <col min="3" max="3" width="46.5703125" style="123" customWidth="1"/>
    <col min="4" max="10" width="26.28515625" style="100" customWidth="1"/>
    <col min="11" max="14" width="9.28515625" style="98" customWidth="1"/>
    <col min="15" max="15" width="16.5703125" style="98" hidden="1" customWidth="1"/>
    <col min="16" max="19" width="9.28515625" style="98" hidden="1" customWidth="1"/>
    <col min="20" max="20" width="24.7109375" style="98" hidden="1" customWidth="1"/>
    <col min="21" max="25" width="9.28515625" style="98" hidden="1" customWidth="1"/>
    <col min="26" max="26" width="0" style="98" hidden="1" customWidth="1"/>
    <col min="27" max="46" width="9.28515625" style="98"/>
    <col min="47" max="16384" width="9.28515625" style="100"/>
  </cols>
  <sheetData>
    <row r="1" spans="1:46" s="90" customFormat="1" ht="24" customHeight="1">
      <c r="A1" s="89" t="s">
        <v>50</v>
      </c>
      <c r="C1" s="91"/>
    </row>
    <row r="2" spans="1:46" s="93" customFormat="1" ht="60.75">
      <c r="A2" s="132" t="s">
        <v>64</v>
      </c>
      <c r="B2" s="132" t="s">
        <v>0</v>
      </c>
      <c r="C2" s="132" t="s">
        <v>1</v>
      </c>
      <c r="D2" s="133" t="s">
        <v>65</v>
      </c>
      <c r="E2" s="133" t="s">
        <v>66</v>
      </c>
      <c r="F2" s="133" t="s">
        <v>67</v>
      </c>
      <c r="G2" s="133" t="s">
        <v>68</v>
      </c>
      <c r="H2" s="133" t="s">
        <v>69</v>
      </c>
      <c r="I2" s="133" t="s">
        <v>70</v>
      </c>
      <c r="J2" s="133" t="s">
        <v>71</v>
      </c>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row>
    <row r="3" spans="1:46" ht="99.75" customHeight="1" thickBot="1">
      <c r="A3" s="113" t="e">
        <f>'1. All Data'!#REF!</f>
        <v>#REF!</v>
      </c>
      <c r="B3" s="127" t="e">
        <f>'1. All Data'!#REF!</f>
        <v>#REF!</v>
      </c>
      <c r="C3" s="129" t="e">
        <f>'1. All Data'!#REF!</f>
        <v>#REF!</v>
      </c>
      <c r="D3" s="124" t="e">
        <f>'1. All Data'!#REF!</f>
        <v>#REF!</v>
      </c>
      <c r="E3" s="130"/>
      <c r="F3" s="125" t="e">
        <f>'1. All Data'!#REF!</f>
        <v>#REF!</v>
      </c>
      <c r="G3" s="131"/>
      <c r="H3" s="124" t="e">
        <f>'1. All Data'!#REF!</f>
        <v>#REF!</v>
      </c>
      <c r="I3" s="131"/>
      <c r="J3" s="124" t="e">
        <f>'1. All Data'!#REF!</f>
        <v>#REF!</v>
      </c>
      <c r="O3" s="99" t="s">
        <v>73</v>
      </c>
    </row>
    <row r="4" spans="1:46" ht="99.75" customHeight="1" thickTop="1" thickBot="1">
      <c r="A4" s="95" t="str">
        <f>'1. All Data'!B3</f>
        <v>ID01</v>
      </c>
      <c r="B4" s="127" t="str">
        <f>'1. All Data'!C3</f>
        <v>Improve local democracy and consultation</v>
      </c>
      <c r="C4" s="128" t="str">
        <f>'1. All Data'!D3</f>
        <v>Hold regular engagement events with businesses throughout the year</v>
      </c>
      <c r="D4" s="124" t="str">
        <f>'1. All Data'!H3</f>
        <v>On Track to be Achieved</v>
      </c>
      <c r="E4" s="97"/>
      <c r="F4" s="125" t="str">
        <f>'1. All Data'!M3</f>
        <v>On Track to be Achieved</v>
      </c>
      <c r="G4" s="97"/>
      <c r="H4" s="126">
        <f>'1. All Data'!R3</f>
        <v>0</v>
      </c>
      <c r="I4" s="97"/>
      <c r="J4" s="126">
        <f>'1. All Data'!V3</f>
        <v>0</v>
      </c>
      <c r="O4" s="99" t="s">
        <v>75</v>
      </c>
      <c r="Y4" s="97" t="s">
        <v>74</v>
      </c>
    </row>
    <row r="5" spans="1:46" ht="99.75" customHeight="1" thickTop="1" thickBot="1">
      <c r="A5" s="95" t="str">
        <f>'1. All Data'!B4</f>
        <v>ID02</v>
      </c>
      <c r="B5" s="127" t="str">
        <f>'1. All Data'!C4</f>
        <v>Improve local democracy and consultation</v>
      </c>
      <c r="C5" s="128" t="str">
        <f>'1. All Data'!D4</f>
        <v>Hold Question &amp; Answer sessions with Cabinet Members using online and in-person community forums on ad hoc basis</v>
      </c>
      <c r="D5" s="124" t="str">
        <f>'1. All Data'!H4</f>
        <v>Not Yet Due</v>
      </c>
      <c r="E5" s="97"/>
      <c r="F5" s="125" t="str">
        <f>'1. All Data'!M4</f>
        <v>Fully Achieved</v>
      </c>
      <c r="G5" s="97"/>
      <c r="H5" s="126">
        <f>'1. All Data'!R4</f>
        <v>0</v>
      </c>
      <c r="I5" s="97"/>
      <c r="J5" s="126">
        <f>'1. All Data'!V4</f>
        <v>0</v>
      </c>
      <c r="O5" s="99" t="s">
        <v>76</v>
      </c>
      <c r="T5" s="101"/>
      <c r="Y5" s="102" t="s">
        <v>77</v>
      </c>
    </row>
    <row r="6" spans="1:46" ht="89.25" thickTop="1" thickBot="1">
      <c r="A6" s="95" t="str">
        <f>'1. All Data'!B5</f>
        <v>ID03</v>
      </c>
      <c r="B6" s="127" t="str">
        <f>'1. All Data'!C5</f>
        <v>Improve local democracy and consultation</v>
      </c>
      <c r="C6" s="128" t="str">
        <f>'1. All Data'!D5</f>
        <v>Livestream Council meetings</v>
      </c>
      <c r="D6" s="124" t="str">
        <f>'1. All Data'!H5</f>
        <v>On Track to be Achieved</v>
      </c>
      <c r="E6" s="97"/>
      <c r="F6" s="125" t="str">
        <f>'1. All Data'!M5</f>
        <v>Fully Achieved</v>
      </c>
      <c r="G6" s="97"/>
      <c r="H6" s="126">
        <f>'1. All Data'!R5</f>
        <v>0</v>
      </c>
      <c r="I6" s="97"/>
      <c r="J6" s="126">
        <f>'1. All Data'!V5</f>
        <v>0</v>
      </c>
      <c r="O6" s="103" t="s">
        <v>72</v>
      </c>
      <c r="T6" s="104" t="s">
        <v>77</v>
      </c>
    </row>
    <row r="7" spans="1:46" ht="99.75" customHeight="1" thickTop="1">
      <c r="A7" s="95" t="str">
        <f>'1. All Data'!B6</f>
        <v>ID04</v>
      </c>
      <c r="B7" s="127" t="str">
        <f>'1. All Data'!C6</f>
        <v>Improve local democracy and consultation</v>
      </c>
      <c r="C7" s="128" t="str">
        <f>'1. All Data'!D6</f>
        <v>Revoke Council Constitution changes from December 2022 and introduce public participation at scrutiny committees</v>
      </c>
      <c r="D7" s="124" t="str">
        <f>'1. All Data'!H6</f>
        <v>On Track to be Achieved</v>
      </c>
      <c r="E7" s="97"/>
      <c r="F7" s="125" t="str">
        <f>'1. All Data'!M6</f>
        <v>Fully Achieved</v>
      </c>
      <c r="G7" s="97"/>
      <c r="H7" s="126">
        <f>'1. All Data'!R6</f>
        <v>0</v>
      </c>
      <c r="I7" s="97"/>
      <c r="J7" s="126">
        <f>'1. All Data'!V6</f>
        <v>0</v>
      </c>
      <c r="T7" s="104" t="s">
        <v>78</v>
      </c>
    </row>
    <row r="8" spans="1:46" ht="99.75" customHeight="1">
      <c r="A8" s="95" t="str">
        <f>'1. All Data'!B7</f>
        <v>ID05</v>
      </c>
      <c r="B8" s="127" t="str">
        <f>'1. All Data'!C7</f>
        <v>Improve local democracy and consultation</v>
      </c>
      <c r="C8" s="128" t="str">
        <f>'1. All Data'!D7</f>
        <v>Carry out a review of the Communications, Engagement and Consultation Strategy to improve existing council communications work</v>
      </c>
      <c r="D8" s="124" t="str">
        <f>'1. All Data'!H7</f>
        <v>Not Yet Due</v>
      </c>
      <c r="E8" s="97"/>
      <c r="F8" s="125" t="str">
        <f>'1. All Data'!M7</f>
        <v>On Track to be Achieved</v>
      </c>
      <c r="G8" s="97"/>
      <c r="H8" s="126">
        <f>'1. All Data'!R7</f>
        <v>0</v>
      </c>
      <c r="I8" s="97"/>
      <c r="J8" s="126">
        <f>'1. All Data'!V7</f>
        <v>0</v>
      </c>
      <c r="T8" s="104" t="s">
        <v>74</v>
      </c>
    </row>
    <row r="9" spans="1:46" ht="99.75" customHeight="1">
      <c r="A9" s="95" t="str">
        <f>'1. All Data'!B8</f>
        <v>ID06</v>
      </c>
      <c r="B9" s="127" t="str">
        <f>'1. All Data'!C8</f>
        <v>Improve local democracy and consultation</v>
      </c>
      <c r="C9" s="128" t="str">
        <f>'1. All Data'!D8</f>
        <v>Introduce a Citizens Assembly</v>
      </c>
      <c r="D9" s="124" t="str">
        <f>'1. All Data'!H8</f>
        <v>Not Yet Due</v>
      </c>
      <c r="E9" s="96"/>
      <c r="F9" s="125" t="str">
        <f>'1. All Data'!M8</f>
        <v>On Track to be Achieved</v>
      </c>
      <c r="G9" s="97"/>
      <c r="H9" s="126">
        <f>'1. All Data'!R8</f>
        <v>0</v>
      </c>
      <c r="I9" s="97"/>
      <c r="J9" s="126">
        <f>'1. All Data'!V8</f>
        <v>0</v>
      </c>
    </row>
    <row r="10" spans="1:46" ht="99.75" customHeight="1">
      <c r="A10" s="95" t="str">
        <f>'1. All Data'!B9</f>
        <v>PB01</v>
      </c>
      <c r="B10" s="127" t="str">
        <f>'1. All Data'!C9</f>
        <v>Tackling the cost of living crisis</v>
      </c>
      <c r="C10" s="128" t="str">
        <f>'1. All Data'!D9</f>
        <v>With partners, support and advise local residents by commissioning a new local debt advice service</v>
      </c>
      <c r="D10" s="124" t="str">
        <f>'1. All Data'!H9</f>
        <v>On Track to be Achieved</v>
      </c>
      <c r="E10" s="96"/>
      <c r="F10" s="125" t="str">
        <f>'1. All Data'!M9</f>
        <v>Fully Achieved</v>
      </c>
      <c r="G10" s="97"/>
      <c r="H10" s="126">
        <f>'1. All Data'!R9</f>
        <v>0</v>
      </c>
      <c r="I10" s="97"/>
      <c r="J10" s="126">
        <f>'1. All Data'!V9</f>
        <v>0</v>
      </c>
    </row>
    <row r="11" spans="1:46" ht="99.75" customHeight="1">
      <c r="A11" s="95" t="str">
        <f>'1. All Data'!B10</f>
        <v>PB02</v>
      </c>
      <c r="B11" s="127" t="str">
        <f>'1. All Data'!C10</f>
        <v>Tackling the cost of living crisis</v>
      </c>
      <c r="C11" s="128" t="str">
        <f>'1. All Data'!D10</f>
        <v>Retain and enhance warm spaces and warm banks to provide continued support for residents who need help with energy bills</v>
      </c>
      <c r="D11" s="124" t="str">
        <f>'1. All Data'!H10</f>
        <v>On Track to be Achieved</v>
      </c>
      <c r="E11" s="96"/>
      <c r="F11" s="125" t="str">
        <f>'1. All Data'!M10</f>
        <v>On Track to be Achieved</v>
      </c>
      <c r="G11" s="97"/>
      <c r="H11" s="126">
        <f>'1. All Data'!R10</f>
        <v>0</v>
      </c>
      <c r="I11" s="97"/>
      <c r="J11" s="126">
        <f>'1. All Data'!V10</f>
        <v>0</v>
      </c>
    </row>
    <row r="12" spans="1:46" ht="99.75" customHeight="1">
      <c r="A12" s="95" t="str">
        <f>'1. All Data'!B11</f>
        <v>PB03</v>
      </c>
      <c r="B12" s="127" t="str">
        <f>'1. All Data'!C11</f>
        <v>Tackling the cost of living crisis</v>
      </c>
      <c r="C12" s="128" t="str">
        <f>'1. All Data'!D11</f>
        <v>Support the work of local groups around the borough by supplying relevant supplies to food banks when stock runs low</v>
      </c>
      <c r="D12" s="124" t="str">
        <f>'1. All Data'!H11</f>
        <v>On Track to be Achieved</v>
      </c>
      <c r="E12" s="97"/>
      <c r="F12" s="125" t="str">
        <f>'1. All Data'!M11</f>
        <v>On Track to be Achieved</v>
      </c>
      <c r="G12" s="97"/>
      <c r="H12" s="126">
        <f>'1. All Data'!R11</f>
        <v>0</v>
      </c>
      <c r="I12" s="104"/>
      <c r="J12" s="126">
        <f>'1. All Data'!V11</f>
        <v>0</v>
      </c>
    </row>
    <row r="13" spans="1:46" ht="99.75" customHeight="1">
      <c r="A13" s="95" t="str">
        <f>'1. All Data'!B12</f>
        <v>PB04</v>
      </c>
      <c r="B13" s="127" t="str">
        <f>'1. All Data'!C12</f>
        <v>Housing and Planning – improve homelessness prevention</v>
      </c>
      <c r="C13" s="128" t="str">
        <f>'1. All Data'!D12</f>
        <v>Review and consider improvements for night shelter facilities</v>
      </c>
      <c r="D13" s="124" t="str">
        <f>'1. All Data'!H12</f>
        <v>On Track to be Achieved</v>
      </c>
      <c r="E13" s="97"/>
      <c r="F13" s="125" t="str">
        <f>'1. All Data'!M12</f>
        <v>Fully Achieved</v>
      </c>
      <c r="G13" s="97"/>
      <c r="H13" s="126">
        <f>'1. All Data'!R12</f>
        <v>0</v>
      </c>
      <c r="I13" s="97"/>
      <c r="J13" s="126">
        <f>'1. All Data'!V12</f>
        <v>0</v>
      </c>
    </row>
    <row r="14" spans="1:46" ht="99.75" customHeight="1">
      <c r="A14" s="95" t="str">
        <f>'1. All Data'!B13</f>
        <v>PB05</v>
      </c>
      <c r="B14" s="127" t="str">
        <f>'1. All Data'!C13</f>
        <v>Building a Fairer and Greener Local Economy by creating municipal enterprise</v>
      </c>
      <c r="C14" s="128" t="str">
        <f>'1. All Data'!D13</f>
        <v>Produce options for a community wealth-building model to create a municipally (council and public) owned energy firm, suitable for a district authority</v>
      </c>
      <c r="D14" s="124" t="str">
        <f>'1. All Data'!H13</f>
        <v>Not Yet Due</v>
      </c>
      <c r="E14" s="97"/>
      <c r="F14" s="125" t="str">
        <f>'1. All Data'!M13</f>
        <v>Not Yet Due</v>
      </c>
      <c r="G14" s="97"/>
      <c r="H14" s="126">
        <f>'1. All Data'!R13</f>
        <v>0</v>
      </c>
      <c r="I14" s="97"/>
      <c r="J14" s="126">
        <f>'1. All Data'!V13</f>
        <v>0</v>
      </c>
    </row>
    <row r="15" spans="1:46" ht="99.75" customHeight="1">
      <c r="A15" s="95" t="str">
        <f>'1. All Data'!B15</f>
        <v>PB06b</v>
      </c>
      <c r="B15" s="127" t="str">
        <f>'1. All Data'!C15</f>
        <v>Building a Fairer Local Economy</v>
      </c>
      <c r="C15" s="128" t="str">
        <f>'1. All Data'!D15</f>
        <v>Incentivise existing providers to recruit new staff/apprentices</v>
      </c>
      <c r="D15" s="124" t="str">
        <f>'1. All Data'!H15</f>
        <v>Not Yet Due</v>
      </c>
      <c r="E15" s="97"/>
      <c r="F15" s="125" t="str">
        <f>'1. All Data'!M15</f>
        <v>On Track to be Achieved</v>
      </c>
      <c r="G15" s="97"/>
      <c r="H15" s="126">
        <f>'1. All Data'!R15</f>
        <v>0</v>
      </c>
      <c r="I15" s="97"/>
      <c r="J15" s="126">
        <f>'1. All Data'!V15</f>
        <v>0</v>
      </c>
    </row>
    <row r="16" spans="1:46" ht="99.75" customHeight="1">
      <c r="A16" s="95" t="str">
        <f>'1. All Data'!B16</f>
        <v>PB07</v>
      </c>
      <c r="B16" s="127" t="str">
        <f>'1. All Data'!C16</f>
        <v>Housing and Planning</v>
      </c>
      <c r="C16" s="128" t="str">
        <f>'1. All Data'!D16</f>
        <v>Review and consider improvements for making Section 106 funding process more open and transparent, via the ESBC website and Member Intranet; and consider policy changes to ESBC's s106 approach</v>
      </c>
      <c r="D16" s="124" t="str">
        <f>'1. All Data'!H16</f>
        <v>On Track to be Achieved</v>
      </c>
      <c r="E16" s="97"/>
      <c r="F16" s="125" t="str">
        <f>'1. All Data'!M16</f>
        <v>On Track to be Achieved</v>
      </c>
      <c r="G16" s="97"/>
      <c r="H16" s="126">
        <f>'1. All Data'!R16</f>
        <v>0</v>
      </c>
      <c r="I16" s="97"/>
      <c r="J16" s="126">
        <f>'1. All Data'!V16</f>
        <v>0</v>
      </c>
    </row>
    <row r="17" spans="1:10" ht="99.75" customHeight="1">
      <c r="A17" s="95" t="str">
        <f>'1. All Data'!B17</f>
        <v>PB08</v>
      </c>
      <c r="B17" s="127" t="str">
        <f>'1. All Data'!C17</f>
        <v>Standing up for communities</v>
      </c>
      <c r="C17" s="128" t="str">
        <f>'1. All Data'!D17</f>
        <v>Reshape the UK shared prosperity funding to focus more strongly on community needs</v>
      </c>
      <c r="D17" s="124" t="str">
        <f>'1. All Data'!H17</f>
        <v>On Track to be Achieved</v>
      </c>
      <c r="E17" s="97"/>
      <c r="F17" s="125" t="str">
        <f>'1. All Data'!M17</f>
        <v>Fully Achieved</v>
      </c>
      <c r="G17" s="97"/>
      <c r="H17" s="126">
        <f>'1. All Data'!R17</f>
        <v>0</v>
      </c>
      <c r="I17" s="97"/>
      <c r="J17" s="126">
        <f>'1. All Data'!V17</f>
        <v>0</v>
      </c>
    </row>
    <row r="18" spans="1:10" ht="99.75" customHeight="1">
      <c r="A18" s="95" t="str">
        <f>'1. All Data'!B18</f>
        <v>PB09</v>
      </c>
      <c r="B18" s="127" t="str">
        <f>'1. All Data'!C18</f>
        <v>Standing up for communities</v>
      </c>
      <c r="C18" s="128" t="str">
        <f>'1. All Data'!D18</f>
        <v>Approve the detail of UKSPF funding programmes</v>
      </c>
      <c r="D18" s="124" t="str">
        <f>'1. All Data'!H18</f>
        <v>Not Yet Due</v>
      </c>
      <c r="E18" s="97"/>
      <c r="F18" s="125" t="str">
        <f>'1. All Data'!M18</f>
        <v>Fully Achieved</v>
      </c>
      <c r="G18" s="97"/>
      <c r="H18" s="126">
        <f>'1. All Data'!R18</f>
        <v>0</v>
      </c>
      <c r="I18" s="97"/>
      <c r="J18" s="126">
        <f>'1. All Data'!V18</f>
        <v>0</v>
      </c>
    </row>
    <row r="19" spans="1:10" ht="99.75" customHeight="1">
      <c r="A19" s="95" t="str">
        <f>'1. All Data'!B19</f>
        <v>PB10</v>
      </c>
      <c r="B19" s="127" t="str">
        <f>'1. All Data'!C19</f>
        <v>Building a Fairer Local Economy</v>
      </c>
      <c r="C19" s="128" t="str">
        <f>'1. All Data'!D19</f>
        <v>Work with partners to create a fair employment charter</v>
      </c>
      <c r="D19" s="124" t="str">
        <f>'1. All Data'!H19</f>
        <v>On Track to be Achieved</v>
      </c>
      <c r="E19" s="96"/>
      <c r="F19" s="125" t="str">
        <f>'1. All Data'!M19</f>
        <v>On Track to be Achieved</v>
      </c>
      <c r="G19" s="97"/>
      <c r="H19" s="126">
        <f>'1. All Data'!R19</f>
        <v>0</v>
      </c>
      <c r="I19" s="97"/>
      <c r="J19" s="126">
        <f>'1. All Data'!V19</f>
        <v>0</v>
      </c>
    </row>
    <row r="20" spans="1:10" ht="99.75" customHeight="1">
      <c r="A20" s="95" t="str">
        <f>'1. All Data'!B20</f>
        <v>GD01</v>
      </c>
      <c r="B20" s="127" t="str">
        <f>'1. All Data'!C20</f>
        <v>Tackling the cost of living crisis</v>
      </c>
      <c r="C20" s="128" t="str">
        <f>'1. All Data'!D20</f>
        <v>Identify 150 properties with an EPC of D or below where the occupant is on Council tax reduction to offer a range of energy efficiency measures, including insulation, to reduce fuel poverty</v>
      </c>
      <c r="D20" s="124" t="str">
        <f>'1. All Data'!H20</f>
        <v>On Track to be Achieved</v>
      </c>
      <c r="E20" s="96"/>
      <c r="F20" s="125" t="str">
        <f>'1. All Data'!M20</f>
        <v>On Track to be Achieved</v>
      </c>
      <c r="G20" s="97"/>
      <c r="H20" s="126">
        <f>'1. All Data'!R20</f>
        <v>0</v>
      </c>
      <c r="I20" s="97"/>
      <c r="J20" s="126">
        <f>'1. All Data'!V20</f>
        <v>0</v>
      </c>
    </row>
    <row r="21" spans="1:10" ht="99.75" customHeight="1">
      <c r="A21" s="95" t="str">
        <f>'1. All Data'!B21</f>
        <v>GD02</v>
      </c>
      <c r="B21" s="127" t="str">
        <f>'1. All Data'!C21</f>
        <v>Tackling Envirocrime</v>
      </c>
      <c r="C21" s="128" t="str">
        <f>'1. All Data'!D21</f>
        <v>Increase levels of action taken against anti-social behaviour by reviewing the performance of mobile CCTV provision and seeking to achieve a 20% increase in the number of deployments (from 22)</v>
      </c>
      <c r="D21" s="124" t="str">
        <f>'1. All Data'!H21</f>
        <v>On Track to be Achieved</v>
      </c>
      <c r="E21" s="97"/>
      <c r="F21" s="125" t="str">
        <f>'1. All Data'!M21</f>
        <v>On Track to be Achieved</v>
      </c>
      <c r="G21" s="97"/>
      <c r="H21" s="126">
        <f>'1. All Data'!R21</f>
        <v>0</v>
      </c>
      <c r="I21" s="97"/>
      <c r="J21" s="126">
        <f>'1. All Data'!V21</f>
        <v>0</v>
      </c>
    </row>
    <row r="22" spans="1:10" ht="99.75" customHeight="1">
      <c r="A22" s="95" t="str">
        <f>'1. All Data'!B22</f>
        <v>GD03</v>
      </c>
      <c r="B22" s="127" t="str">
        <f>'1. All Data'!C22</f>
        <v>Tackling Envirocrime</v>
      </c>
      <c r="C22" s="128" t="str">
        <f>'1. All Data'!D22</f>
        <v>Increase levels of action taken against anti-social behaviour through undertaking 4 initiatives to address fly tipping under the 'Tackle the Tippers' campaign</v>
      </c>
      <c r="D22" s="124" t="str">
        <f>'1. All Data'!H22</f>
        <v>On Track to be Achieved</v>
      </c>
      <c r="E22" s="97"/>
      <c r="F22" s="125" t="str">
        <f>'1. All Data'!M22</f>
        <v>On Track to be Achieved</v>
      </c>
      <c r="G22" s="97"/>
      <c r="H22" s="126">
        <f>'1. All Data'!R22</f>
        <v>0</v>
      </c>
      <c r="I22" s="97"/>
      <c r="J22" s="126">
        <f>'1. All Data'!V22</f>
        <v>0</v>
      </c>
    </row>
    <row r="23" spans="1:10" ht="99.75" customHeight="1">
      <c r="A23" s="95" t="str">
        <f>'1. All Data'!B23</f>
        <v>GD04</v>
      </c>
      <c r="B23" s="127" t="str">
        <f>'1. All Data'!C23</f>
        <v>A Green New Deal for East Staffordshire</v>
      </c>
      <c r="C23" s="128" t="str">
        <f>'1. All Data'!D23</f>
        <v>Promote new green technologies in the borough</v>
      </c>
      <c r="D23" s="124" t="str">
        <f>'1. All Data'!H23</f>
        <v>On Track to be Achieved</v>
      </c>
      <c r="E23" s="97"/>
      <c r="F23" s="125" t="str">
        <f>'1. All Data'!M23</f>
        <v>On Track to be Achieved</v>
      </c>
      <c r="G23" s="97"/>
      <c r="H23" s="126">
        <f>'1. All Data'!R23</f>
        <v>0</v>
      </c>
      <c r="I23" s="97"/>
      <c r="J23" s="126">
        <f>'1. All Data'!V23</f>
        <v>0</v>
      </c>
    </row>
    <row r="24" spans="1:10" ht="99.75" customHeight="1">
      <c r="A24" s="95" t="str">
        <f>'1. All Data'!B24</f>
        <v>GD05</v>
      </c>
      <c r="B24" s="127" t="str">
        <f>'1. All Data'!C24</f>
        <v>A Green New Deal for East Staffordshire</v>
      </c>
      <c r="C24" s="128" t="str">
        <f>'1. All Data'!D24</f>
        <v xml:space="preserve">Promote increased use of public transport  </v>
      </c>
      <c r="D24" s="124" t="str">
        <f>'1. All Data'!H24</f>
        <v>On Track to be Achieved</v>
      </c>
      <c r="E24" s="97"/>
      <c r="F24" s="125" t="str">
        <f>'1. All Data'!M24</f>
        <v>On Track to be Achieved</v>
      </c>
      <c r="G24" s="97"/>
      <c r="H24" s="126">
        <f>'1. All Data'!R24</f>
        <v>0</v>
      </c>
      <c r="I24" s="97"/>
      <c r="J24" s="126">
        <f>'1. All Data'!V24</f>
        <v>0</v>
      </c>
    </row>
    <row r="25" spans="1:10" ht="99.75" customHeight="1">
      <c r="A25" s="95" t="str">
        <f>'1. All Data'!B25</f>
        <v>GD06</v>
      </c>
      <c r="B25" s="127" t="str">
        <f>'1. All Data'!C25</f>
        <v>A Green New Deal for East Staffordshire</v>
      </c>
      <c r="C25" s="128" t="str">
        <f>'1. All Data'!D25</f>
        <v>Work with local cycle firms to provide affordable bike rental for visitors and residents</v>
      </c>
      <c r="D25" s="124" t="str">
        <f>'1. All Data'!H25</f>
        <v>Not Yet Due</v>
      </c>
      <c r="E25" s="97"/>
      <c r="F25" s="125" t="str">
        <f>'1. All Data'!M25</f>
        <v>Not Yet Due</v>
      </c>
      <c r="G25" s="97"/>
      <c r="H25" s="126">
        <f>'1. All Data'!R25</f>
        <v>0</v>
      </c>
      <c r="I25" s="97"/>
      <c r="J25" s="126">
        <f>'1. All Data'!V25</f>
        <v>0</v>
      </c>
    </row>
    <row r="26" spans="1:10" ht="99.75" customHeight="1">
      <c r="A26" s="95" t="str">
        <f>'1. All Data'!B26</f>
        <v>GD07</v>
      </c>
      <c r="B26" s="127" t="str">
        <f>'1. All Data'!C26</f>
        <v>A Green New Deal for East Staffordshire</v>
      </c>
      <c r="C26" s="128" t="str">
        <f>'1. All Data'!D26</f>
        <v>Work with partners to introduce the Passivhaus housing development standard (which will keep heat loss in new homes to a minimum)</v>
      </c>
      <c r="D26" s="124" t="str">
        <f>'1. All Data'!H26</f>
        <v>Not Yet Due</v>
      </c>
      <c r="E26" s="97"/>
      <c r="F26" s="125" t="str">
        <f>'1. All Data'!M26</f>
        <v>On Track to be Achieved</v>
      </c>
      <c r="G26" s="104"/>
      <c r="H26" s="126">
        <f>'1. All Data'!R26</f>
        <v>0</v>
      </c>
      <c r="I26" s="97"/>
      <c r="J26" s="126">
        <f>'1. All Data'!V26</f>
        <v>0</v>
      </c>
    </row>
    <row r="27" spans="1:10" ht="99.75" customHeight="1">
      <c r="A27" s="95" t="str">
        <f>'1. All Data'!B27</f>
        <v>GD08</v>
      </c>
      <c r="B27" s="127" t="str">
        <f>'1. All Data'!C27</f>
        <v>A Green New Deal for East Staffordshire</v>
      </c>
      <c r="C27" s="128" t="str">
        <f>'1. All Data'!D27</f>
        <v>Find opportunities to use vertical and rooftop spaces to plant new gardens</v>
      </c>
      <c r="D27" s="124" t="str">
        <f>'1. All Data'!H27</f>
        <v>Not Yet Due</v>
      </c>
      <c r="E27" s="97"/>
      <c r="F27" s="125" t="str">
        <f>'1. All Data'!M27</f>
        <v>On Track to be Achieved</v>
      </c>
      <c r="G27" s="97"/>
      <c r="H27" s="126">
        <f>'1. All Data'!R27</f>
        <v>0</v>
      </c>
      <c r="I27" s="97"/>
      <c r="J27" s="126">
        <f>'1. All Data'!V27</f>
        <v>0</v>
      </c>
    </row>
    <row r="28" spans="1:10" ht="99.75" customHeight="1">
      <c r="A28" s="95" t="str">
        <f>'1. All Data'!B28</f>
        <v>GD09</v>
      </c>
      <c r="B28" s="127" t="str">
        <f>'1. All Data'!C28</f>
        <v>A Green New Deal for East Staffordshire</v>
      </c>
      <c r="C28" s="128" t="str">
        <f>'1. All Data'!D28</f>
        <v>Find opportunities and create a network of community orchards and wildlife corridors</v>
      </c>
      <c r="D28" s="124" t="str">
        <f>'1. All Data'!H28</f>
        <v>Not Yet Due</v>
      </c>
      <c r="E28" s="96"/>
      <c r="F28" s="125" t="str">
        <f>'1. All Data'!M28</f>
        <v>On Track to be Achieved</v>
      </c>
      <c r="G28" s="97"/>
      <c r="H28" s="126">
        <f>'1. All Data'!R28</f>
        <v>0</v>
      </c>
      <c r="I28" s="97"/>
      <c r="J28" s="126">
        <f>'1. All Data'!V28</f>
        <v>0</v>
      </c>
    </row>
    <row r="29" spans="1:10" ht="99.75" customHeight="1">
      <c r="A29" s="95" t="str">
        <f>'1. All Data'!B29</f>
        <v>GD10</v>
      </c>
      <c r="B29" s="127" t="str">
        <f>'1. All Data'!C29</f>
        <v>Tackling Envirocrime</v>
      </c>
      <c r="C29" s="128" t="str">
        <f>'1. All Data'!D29</f>
        <v>Introduce mobile fly-tipping removal vehicle</v>
      </c>
      <c r="D29" s="124" t="str">
        <f>'1. All Data'!H29</f>
        <v>On Track to be Achieved</v>
      </c>
      <c r="E29" s="97"/>
      <c r="F29" s="125" t="str">
        <f>'1. All Data'!M29</f>
        <v>On Track to be Achieved</v>
      </c>
      <c r="G29" s="105"/>
      <c r="H29" s="126">
        <f>'1. All Data'!R29</f>
        <v>0</v>
      </c>
      <c r="I29" s="97"/>
      <c r="J29" s="126">
        <f>'1. All Data'!V29</f>
        <v>0</v>
      </c>
    </row>
    <row r="30" spans="1:10" ht="99.75" customHeight="1">
      <c r="A30" s="95" t="str">
        <f>'1. All Data'!B30</f>
        <v>GD11</v>
      </c>
      <c r="B30" s="127" t="str">
        <f>'1. All Data'!C30</f>
        <v>Tackling Envirocrime</v>
      </c>
      <c r="C30" s="128" t="str">
        <f>'1. All Data'!D30</f>
        <v>Ensure fly-tipping is removed as quickly as possible (within 5 days of receipt of notice from CCE team) and disposed of in an environmentally friendly way</v>
      </c>
      <c r="D30" s="124" t="str">
        <f>'1. All Data'!H30</f>
        <v>In Danger of Falling Behind Target</v>
      </c>
      <c r="E30" s="97"/>
      <c r="F30" s="125" t="str">
        <f>'1. All Data'!M30</f>
        <v>On Track to be Achieved</v>
      </c>
      <c r="G30" s="97"/>
      <c r="H30" s="126">
        <f>'1. All Data'!R30</f>
        <v>0</v>
      </c>
      <c r="I30" s="97"/>
      <c r="J30" s="126">
        <f>'1. All Data'!V30</f>
        <v>0</v>
      </c>
    </row>
    <row r="31" spans="1:10" ht="99.75" customHeight="1">
      <c r="A31" s="95" t="str">
        <f>'1. All Data'!B31</f>
        <v>PH01</v>
      </c>
      <c r="B31" s="127" t="str">
        <f>'1. All Data'!C31</f>
        <v>Protecting our Heritage</v>
      </c>
      <c r="C31" s="128" t="str">
        <f>'1. All Data'!D31</f>
        <v>Consider creating a model of co-operative ownership of Burton Market Hall, with six monthly reporting</v>
      </c>
      <c r="D31" s="124" t="str">
        <f>'1. All Data'!H31</f>
        <v>Not Yet Due</v>
      </c>
      <c r="E31" s="97"/>
      <c r="F31" s="125" t="str">
        <f>'1. All Data'!M31</f>
        <v>Deleted</v>
      </c>
      <c r="G31" s="97"/>
      <c r="H31" s="126">
        <f>'1. All Data'!R31</f>
        <v>0</v>
      </c>
      <c r="I31" s="97"/>
      <c r="J31" s="126">
        <f>'1. All Data'!V31</f>
        <v>0</v>
      </c>
    </row>
    <row r="32" spans="1:10" ht="99.75" customHeight="1">
      <c r="A32" s="95" t="str">
        <f>'1. All Data'!B32</f>
        <v>PH02</v>
      </c>
      <c r="B32" s="127" t="str">
        <f>'1. All Data'!C32</f>
        <v>Protecting our Heritage</v>
      </c>
      <c r="C32" s="128" t="str">
        <f>'1. All Data'!D32</f>
        <v>With the National Brewery Trust, create a timeline and plan to ensure historical archives from the closed NBC are re-housed in the future development</v>
      </c>
      <c r="D32" s="124" t="str">
        <f>'1. All Data'!H32</f>
        <v>On Track to be Achieved</v>
      </c>
      <c r="E32" s="96"/>
      <c r="F32" s="125" t="str">
        <f>'1. All Data'!M32</f>
        <v>Fully Achieved</v>
      </c>
      <c r="G32" s="97"/>
      <c r="H32" s="126">
        <f>'1. All Data'!R32</f>
        <v>0</v>
      </c>
      <c r="I32" s="97"/>
      <c r="J32" s="126">
        <f>'1. All Data'!V32</f>
        <v>0</v>
      </c>
    </row>
    <row r="33" spans="1:10" ht="99.75" customHeight="1">
      <c r="A33" s="95" t="str">
        <f>'1. All Data'!B33</f>
        <v>PH03</v>
      </c>
      <c r="B33" s="127" t="str">
        <f>'1. All Data'!C33</f>
        <v>Protecting our Heritage</v>
      </c>
      <c r="C33" s="128" t="str">
        <f>'1. All Data'!D33</f>
        <v>With the National Brewery Trust, contact owners of all former NBC artefacts to discuss their return to the future development</v>
      </c>
      <c r="D33" s="124" t="str">
        <f>'1. All Data'!H33</f>
        <v>On Track to be Achieved</v>
      </c>
      <c r="E33" s="97"/>
      <c r="F33" s="125" t="str">
        <f>'1. All Data'!M33</f>
        <v>Fully Achieved</v>
      </c>
      <c r="G33" s="97"/>
      <c r="H33" s="126">
        <f>'1. All Data'!R33</f>
        <v>0</v>
      </c>
      <c r="I33" s="97"/>
      <c r="J33" s="126">
        <f>'1. All Data'!V33</f>
        <v>0</v>
      </c>
    </row>
    <row r="34" spans="1:10" ht="99.75" customHeight="1">
      <c r="A34" s="95" t="str">
        <f>'1. All Data'!B34</f>
        <v>PH04</v>
      </c>
      <c r="B34" s="127" t="str">
        <f>'1. All Data'!C34</f>
        <v>Protecting our Heritage</v>
      </c>
      <c r="C34" s="128" t="str">
        <f>'1. All Data'!D34</f>
        <v>With the Towns Fund Board, review and adapt High Street linkages project as appropriate</v>
      </c>
      <c r="D34" s="124" t="str">
        <f>'1. All Data'!H34</f>
        <v>Not Yet Due</v>
      </c>
      <c r="E34" s="97"/>
      <c r="F34" s="125" t="str">
        <f>'1. All Data'!M34</f>
        <v>Fully Achieved</v>
      </c>
      <c r="G34" s="97"/>
      <c r="H34" s="126">
        <f>'1. All Data'!R34</f>
        <v>0</v>
      </c>
      <c r="I34" s="97"/>
      <c r="J34" s="126">
        <f>'1. All Data'!V34</f>
        <v>0</v>
      </c>
    </row>
    <row r="35" spans="1:10" ht="99.75" customHeight="1">
      <c r="A35" s="95" t="str">
        <f>'1. All Data'!B35</f>
        <v>PH05</v>
      </c>
      <c r="B35" s="127" t="str">
        <f>'1. All Data'!C35</f>
        <v>Protecting our Heritage</v>
      </c>
      <c r="C35" s="128" t="str">
        <f>'1. All Data'!D35</f>
        <v>Upgrade the Market Hall working group to a scrutiny committee</v>
      </c>
      <c r="D35" s="124" t="str">
        <f>'1. All Data'!H35</f>
        <v>Fully Achieved</v>
      </c>
      <c r="E35" s="96"/>
      <c r="F35" s="125" t="str">
        <f>'1. All Data'!M35</f>
        <v>Fully Achieved</v>
      </c>
      <c r="G35" s="97"/>
      <c r="H35" s="126">
        <f>'1. All Data'!R35</f>
        <v>0</v>
      </c>
      <c r="I35" s="97"/>
      <c r="J35" s="126">
        <f>'1. All Data'!V35</f>
        <v>0</v>
      </c>
    </row>
    <row r="36" spans="1:10" ht="99.75" customHeight="1">
      <c r="A36" s="95" t="str">
        <f>'1. All Data'!B36</f>
        <v>SC01</v>
      </c>
      <c r="B36" s="127" t="str">
        <f>'1. All Data'!C36</f>
        <v>Ensuring the right to food</v>
      </c>
      <c r="C36" s="128" t="str">
        <f>'1. All Data'!D36</f>
        <v>Work with partners to campaign for universal school meals by adopting and publicising a council motion</v>
      </c>
      <c r="D36" s="124" t="str">
        <f>'1. All Data'!H36</f>
        <v>Not Yet Due</v>
      </c>
      <c r="E36" s="97"/>
      <c r="F36" s="125" t="str">
        <f>'1. All Data'!M36</f>
        <v>Fully Achieved</v>
      </c>
      <c r="G36" s="97"/>
      <c r="H36" s="126">
        <f>'1. All Data'!R36</f>
        <v>0</v>
      </c>
      <c r="I36" s="97"/>
      <c r="J36" s="126">
        <f>'1. All Data'!V36</f>
        <v>0</v>
      </c>
    </row>
    <row r="37" spans="1:10" ht="99.75" customHeight="1">
      <c r="A37" s="95" t="str">
        <f>'1. All Data'!B37</f>
        <v>SC02</v>
      </c>
      <c r="B37" s="127" t="str">
        <f>'1. All Data'!C37</f>
        <v>Ensuring the right to food</v>
      </c>
      <c r="C37" s="128" t="str">
        <f>'1. All Data'!D37</f>
        <v>Introduce community kitchens in existing council facilities</v>
      </c>
      <c r="D37" s="124" t="str">
        <f>'1. All Data'!H37</f>
        <v>Not Yet Due</v>
      </c>
      <c r="E37" s="96"/>
      <c r="F37" s="125" t="str">
        <f>'1. All Data'!M37</f>
        <v>On Track to be Achieved</v>
      </c>
      <c r="G37" s="97"/>
      <c r="H37" s="126">
        <f>'1. All Data'!R37</f>
        <v>0</v>
      </c>
      <c r="I37" s="97"/>
      <c r="J37" s="126">
        <f>'1. All Data'!V37</f>
        <v>0</v>
      </c>
    </row>
    <row r="38" spans="1:10" ht="99.75" customHeight="1">
      <c r="A38" s="95" t="str">
        <f>'1. All Data'!B38</f>
        <v>SC03</v>
      </c>
      <c r="B38" s="127" t="str">
        <f>'1. All Data'!C38</f>
        <v>Ensuring the right to food</v>
      </c>
      <c r="C38" s="128" t="str">
        <f>'1. All Data'!D38</f>
        <v>Adopt and publicise the Right to Food motion at Full Council meeting</v>
      </c>
      <c r="D38" s="124" t="str">
        <f>'1. All Data'!H38</f>
        <v>On Track to be Achieved</v>
      </c>
      <c r="E38" s="97"/>
      <c r="F38" s="125" t="str">
        <f>'1. All Data'!M38</f>
        <v>Fully Achieved</v>
      </c>
      <c r="G38" s="105"/>
      <c r="H38" s="126">
        <f>'1. All Data'!R38</f>
        <v>0</v>
      </c>
      <c r="I38" s="97"/>
      <c r="J38" s="126">
        <f>'1. All Data'!V38</f>
        <v>0</v>
      </c>
    </row>
    <row r="39" spans="1:10" ht="99.75" customHeight="1">
      <c r="A39" s="95" t="str">
        <f>'1. All Data'!B39</f>
        <v>SC04</v>
      </c>
      <c r="B39" s="127" t="str">
        <f>'1. All Data'!C39</f>
        <v>Backing our Taxi Drivers</v>
      </c>
      <c r="C39" s="128" t="str">
        <f>'1. All Data'!D39</f>
        <v>Review Licensing policy with the trade and ensure drivers are supported in the transition to Euro 6 emission standards</v>
      </c>
      <c r="D39" s="124" t="str">
        <f>'1. All Data'!H39</f>
        <v>On Track to be Achieved</v>
      </c>
      <c r="E39" s="96"/>
      <c r="F39" s="125" t="str">
        <f>'1. All Data'!M39</f>
        <v>On Track to be Achieved</v>
      </c>
      <c r="G39" s="105"/>
      <c r="H39" s="126">
        <f>'1. All Data'!R39</f>
        <v>0</v>
      </c>
      <c r="I39" s="97"/>
      <c r="J39" s="126">
        <f>'1. All Data'!V39</f>
        <v>0</v>
      </c>
    </row>
    <row r="40" spans="1:10" ht="99.75" customHeight="1">
      <c r="A40" s="95" t="str">
        <f>'1. All Data'!B40</f>
        <v>SC05</v>
      </c>
      <c r="B40" s="127" t="str">
        <f>'1. All Data'!C40</f>
        <v>Standing up for our NHS</v>
      </c>
      <c r="C40" s="128" t="str">
        <f>'1. All Data'!D40</f>
        <v>Create a sole focus for health scrutiny in a single scrutiny committee</v>
      </c>
      <c r="D40" s="124" t="str">
        <f>'1. All Data'!H40</f>
        <v>Fully Achieved</v>
      </c>
      <c r="E40" s="97"/>
      <c r="F40" s="125" t="str">
        <f>'1. All Data'!M40</f>
        <v>Fully Achieved</v>
      </c>
      <c r="G40" s="97"/>
      <c r="H40" s="126">
        <f>'1. All Data'!R40</f>
        <v>0</v>
      </c>
      <c r="I40" s="97"/>
      <c r="J40" s="126">
        <f>'1. All Data'!V40</f>
        <v>0</v>
      </c>
    </row>
    <row r="41" spans="1:10" ht="99.75" customHeight="1">
      <c r="A41" s="95" t="str">
        <f>'1. All Data'!B41</f>
        <v>CRS01</v>
      </c>
      <c r="B41" s="127" t="str">
        <f>'1. All Data'!C41</f>
        <v>Licensing and Enforcement Activities-CCTV</v>
      </c>
      <c r="C41" s="128" t="str">
        <f>'1. All Data'!D41</f>
        <v>Complete roll out/ installation of fixed CCTV cameras</v>
      </c>
      <c r="D41" s="124" t="str">
        <f>'1. All Data'!H41</f>
        <v>In Danger of Falling Behind Target</v>
      </c>
      <c r="E41" s="97"/>
      <c r="F41" s="125" t="str">
        <f>'1. All Data'!M41</f>
        <v>Off Target</v>
      </c>
      <c r="G41" s="97"/>
      <c r="H41" s="126">
        <f>'1. All Data'!R41</f>
        <v>0</v>
      </c>
      <c r="I41" s="97"/>
      <c r="J41" s="126">
        <f>'1. All Data'!V41</f>
        <v>0</v>
      </c>
    </row>
    <row r="42" spans="1:10" ht="99.75" customHeight="1">
      <c r="A42" s="95" t="str">
        <f>'1. All Data'!B42</f>
        <v>CRS02</v>
      </c>
      <c r="B42" s="127" t="str">
        <f>'1. All Data'!C42</f>
        <v>Improving Air Quality</v>
      </c>
      <c r="C42" s="128" t="str">
        <f>'1. All Data'!D42</f>
        <v>Review and update the air quality strategy and action plan</v>
      </c>
      <c r="D42" s="124" t="str">
        <f>'1. All Data'!H42</f>
        <v>Not Yet Due</v>
      </c>
      <c r="E42" s="96"/>
      <c r="F42" s="125" t="str">
        <f>'1. All Data'!M42</f>
        <v>On Track to be Achieved</v>
      </c>
      <c r="G42" s="105"/>
      <c r="H42" s="126">
        <f>'1. All Data'!R42</f>
        <v>0</v>
      </c>
      <c r="I42" s="105"/>
      <c r="J42" s="126">
        <f>'1. All Data'!V42</f>
        <v>0</v>
      </c>
    </row>
    <row r="43" spans="1:10" ht="99.75" customHeight="1">
      <c r="A43" s="95" t="str">
        <f>'1. All Data'!B43</f>
        <v>CRS03</v>
      </c>
      <c r="B43" s="127" t="str">
        <f>'1. All Data'!C43</f>
        <v>Supporting local communities</v>
      </c>
      <c r="C43" s="128" t="str">
        <f>'1. All Data'!D43</f>
        <v>Commence a Community Lottery providing funding opportunities for the local community and voluntary sector</v>
      </c>
      <c r="D43" s="124" t="str">
        <f>'1. All Data'!H43</f>
        <v>Fully Achieved</v>
      </c>
      <c r="E43" s="96"/>
      <c r="F43" s="125" t="str">
        <f>'1. All Data'!M43</f>
        <v>Fully Achieved</v>
      </c>
      <c r="G43" s="97"/>
      <c r="H43" s="126">
        <f>'1. All Data'!R43</f>
        <v>0</v>
      </c>
      <c r="I43" s="97"/>
      <c r="J43" s="126">
        <f>'1. All Data'!V43</f>
        <v>0</v>
      </c>
    </row>
    <row r="44" spans="1:10" ht="99.75" customHeight="1">
      <c r="A44" s="95" t="str">
        <f>'1. All Data'!B44</f>
        <v>CRS04</v>
      </c>
      <c r="B44" s="127" t="str">
        <f>'1. All Data'!C44</f>
        <v>Supporting local communities</v>
      </c>
      <c r="C44" s="128" t="str">
        <f>'1. All Data'!D44</f>
        <v>Deliver a community grant scheme to help enhance local areas</v>
      </c>
      <c r="D44" s="124" t="str">
        <f>'1. All Data'!H44</f>
        <v>On Track to be Achieved</v>
      </c>
      <c r="E44" s="96"/>
      <c r="F44" s="125" t="str">
        <f>'1. All Data'!M44</f>
        <v>Fully Achieved</v>
      </c>
      <c r="G44" s="97"/>
      <c r="H44" s="126">
        <f>'1. All Data'!R44</f>
        <v>0</v>
      </c>
      <c r="I44" s="97"/>
      <c r="J44" s="126">
        <f>'1. All Data'!V44</f>
        <v>0</v>
      </c>
    </row>
    <row r="45" spans="1:10" ht="99.75" customHeight="1">
      <c r="A45" s="95" t="str">
        <f>'1. All Data'!B45</f>
        <v>CRS05</v>
      </c>
      <c r="B45" s="127" t="str">
        <f>'1. All Data'!C45</f>
        <v>Supporting local communities</v>
      </c>
      <c r="C45" s="128" t="str">
        <f>'1. All Data'!D45</f>
        <v>Relaunch the Councillors Community Fund</v>
      </c>
      <c r="D45" s="124" t="str">
        <f>'1. All Data'!H45</f>
        <v>Fully Achieved</v>
      </c>
      <c r="E45" s="97"/>
      <c r="F45" s="125" t="str">
        <f>'1. All Data'!M45</f>
        <v>Fully Achieved</v>
      </c>
      <c r="G45" s="97"/>
      <c r="H45" s="126">
        <f>'1. All Data'!R45</f>
        <v>0</v>
      </c>
      <c r="I45" s="97"/>
      <c r="J45" s="126">
        <f>'1. All Data'!V45</f>
        <v>0</v>
      </c>
    </row>
    <row r="46" spans="1:10" ht="99.75" customHeight="1">
      <c r="A46" s="95" t="str">
        <f>'1. All Data'!B47</f>
        <v>CRS07</v>
      </c>
      <c r="B46" s="127" t="str">
        <f>'1. All Data'!C47</f>
        <v>Delivering Better Services to Support Homelessness</v>
      </c>
      <c r="C46" s="128" t="str">
        <f>'1. All Data'!D47</f>
        <v>Approve Refreshed Homelessness Strategy</v>
      </c>
      <c r="D46" s="124" t="str">
        <f>'1. All Data'!H47</f>
        <v>On Track to be Achieved</v>
      </c>
      <c r="E46" s="97"/>
      <c r="F46" s="125" t="str">
        <f>'1. All Data'!M47</f>
        <v>On Track to be Achieved</v>
      </c>
      <c r="G46" s="97"/>
      <c r="H46" s="126">
        <f>'1. All Data'!R47</f>
        <v>0</v>
      </c>
      <c r="I46" s="97"/>
      <c r="J46" s="126">
        <f>'1. All Data'!V47</f>
        <v>0</v>
      </c>
    </row>
    <row r="47" spans="1:10" ht="99.75" customHeight="1">
      <c r="A47" s="95" t="str">
        <f>'1. All Data'!B48</f>
        <v>CRS08</v>
      </c>
      <c r="B47" s="127" t="str">
        <f>'1. All Data'!C48</f>
        <v>Housing Strategy Initiatives: 
Update on Improvements to the Housing Register</v>
      </c>
      <c r="C47" s="128" t="str">
        <f>'1. All Data'!D48</f>
        <v>Produce an update report and next steps for revised Housing Register and Allocations Service Contract</v>
      </c>
      <c r="D47" s="124" t="str">
        <f>'1. All Data'!H48</f>
        <v>On Track to be Achieved</v>
      </c>
      <c r="E47" s="97"/>
      <c r="F47" s="125" t="str">
        <f>'1. All Data'!M48</f>
        <v>On Track to be Achieved</v>
      </c>
      <c r="G47" s="97"/>
      <c r="H47" s="126">
        <f>'1. All Data'!R48</f>
        <v>0</v>
      </c>
      <c r="I47" s="97"/>
      <c r="J47" s="126">
        <f>'1. All Data'!V48</f>
        <v>0</v>
      </c>
    </row>
    <row r="48" spans="1:10" ht="99.75" customHeight="1">
      <c r="A48" s="95" t="str">
        <f>'1. All Data'!B49</f>
        <v>CRS09</v>
      </c>
      <c r="B48" s="127" t="str">
        <f>'1. All Data'!C49</f>
        <v>Housing Strategy Initiatives: 
Update on Improvements to the Housing Register</v>
      </c>
      <c r="C48" s="128" t="str">
        <f>'1. All Data'!D49</f>
        <v>Performance report identifying the reduction in empty homes</v>
      </c>
      <c r="D48" s="124" t="str">
        <f>'1. All Data'!H49</f>
        <v>Not Yet Due</v>
      </c>
      <c r="E48" s="97"/>
      <c r="F48" s="125" t="str">
        <f>'1. All Data'!M49</f>
        <v>Not Yet Due</v>
      </c>
      <c r="G48" s="97"/>
      <c r="H48" s="126">
        <f>'1. All Data'!R49</f>
        <v>0</v>
      </c>
      <c r="I48" s="97"/>
      <c r="J48" s="126">
        <f>'1. All Data'!V49</f>
        <v>0</v>
      </c>
    </row>
    <row r="49" spans="1:47" ht="99.75" customHeight="1">
      <c r="A49" s="95" t="str">
        <f>'1. All Data'!B50</f>
        <v>CRS10</v>
      </c>
      <c r="B49" s="127" t="str">
        <f>'1. All Data'!C50</f>
        <v>Delivering Better Services to Support Homelessness</v>
      </c>
      <c r="C49" s="128" t="str">
        <f>'1. All Data'!D50</f>
        <v>Average time from appointment to initial decision for homeless applicants of 3 days</v>
      </c>
      <c r="D49" s="124" t="str">
        <f>'1. All Data'!H50</f>
        <v>On Track to be Achieved</v>
      </c>
      <c r="E49" s="97"/>
      <c r="F49" s="125" t="str">
        <f>'1. All Data'!M50</f>
        <v>On Track to be Achieved</v>
      </c>
      <c r="G49" s="97"/>
      <c r="H49" s="126">
        <f>'1. All Data'!R50</f>
        <v>0</v>
      </c>
      <c r="I49" s="97"/>
      <c r="J49" s="126">
        <f>'1. All Data'!V50</f>
        <v>0</v>
      </c>
    </row>
    <row r="50" spans="1:47" ht="99.75" customHeight="1">
      <c r="A50" s="95" t="str">
        <f>'1. All Data'!B51</f>
        <v>CRS11</v>
      </c>
      <c r="B50" s="127" t="str">
        <f>'1. All Data'!C51</f>
        <v>Delivering Better Services to Support Homelessness</v>
      </c>
      <c r="C50" s="128" t="str">
        <f>'1. All Data'!D51</f>
        <v>Maintain ‘Key to Key’ Void Turnaround to an average of 6 working days</v>
      </c>
      <c r="D50" s="124" t="str">
        <f>'1. All Data'!H51</f>
        <v>On Track to be Achieved</v>
      </c>
      <c r="E50" s="97"/>
      <c r="F50" s="125" t="str">
        <f>'1. All Data'!M51</f>
        <v>On Track to be Achieved</v>
      </c>
      <c r="G50" s="105"/>
      <c r="H50" s="126">
        <f>'1. All Data'!R51</f>
        <v>0</v>
      </c>
      <c r="I50" s="105"/>
      <c r="J50" s="126">
        <f>'1. All Data'!V51</f>
        <v>0</v>
      </c>
    </row>
    <row r="51" spans="1:47" ht="99.75" customHeight="1">
      <c r="A51" s="95" t="str">
        <f>'1. All Data'!B52</f>
        <v>CRS12</v>
      </c>
      <c r="B51" s="127" t="str">
        <f>'1. All Data'!C52</f>
        <v>Disabled Facilities Grants</v>
      </c>
      <c r="C51" s="128" t="str">
        <f>'1. All Data'!D52</f>
        <v>Improve service delivery timescales from ‘enquiry to completion’ by 10% on 22/23 performance</v>
      </c>
      <c r="D51" s="124" t="str">
        <f>'1. All Data'!H52</f>
        <v>Not Yet Due</v>
      </c>
      <c r="E51" s="96"/>
      <c r="F51" s="125" t="str">
        <f>'1. All Data'!M52</f>
        <v>On Track to be Achieved</v>
      </c>
      <c r="G51" s="97"/>
      <c r="H51" s="126">
        <f>'1. All Data'!R52</f>
        <v>0</v>
      </c>
      <c r="I51" s="97"/>
      <c r="J51" s="126">
        <f>'1. All Data'!V52</f>
        <v>0</v>
      </c>
    </row>
    <row r="52" spans="1:47" ht="99.75" customHeight="1">
      <c r="A52" s="95" t="str">
        <f>'1. All Data'!B53</f>
        <v>ECC01</v>
      </c>
      <c r="B52" s="127" t="str">
        <f>'1. All Data'!C53</f>
        <v>Climate Change Initiatives</v>
      </c>
      <c r="C52" s="128" t="str">
        <f>'1. All Data'!D53</f>
        <v>Deliver a third year review of the Council’s Climate Change and Biodiversity Action Plan including delivery against the plan</v>
      </c>
      <c r="D52" s="124" t="str">
        <f>'1. All Data'!H53</f>
        <v>On Track to be Achieved</v>
      </c>
      <c r="E52" s="96"/>
      <c r="F52" s="125" t="str">
        <f>'1. All Data'!M53</f>
        <v>Fully Achieved</v>
      </c>
      <c r="G52" s="97"/>
      <c r="H52" s="126">
        <f>'1. All Data'!R53</f>
        <v>0</v>
      </c>
      <c r="I52" s="97"/>
      <c r="J52" s="126">
        <f>'1. All Data'!V53</f>
        <v>0</v>
      </c>
    </row>
    <row r="53" spans="1:47" ht="99.75" customHeight="1">
      <c r="A53" s="95" t="str">
        <f>'1. All Data'!B56</f>
        <v>ECC04</v>
      </c>
      <c r="B53" s="127" t="str">
        <f>'1. All Data'!C56</f>
        <v>Climate Change Initiatives</v>
      </c>
      <c r="C53" s="128" t="str">
        <f>'1. All Data'!D56</f>
        <v>Work in partnership with external organisations to develop 4 Carbon Capture and Biodiversity areas across the Borough</v>
      </c>
      <c r="D53" s="124" t="str">
        <f>'1. All Data'!H56</f>
        <v>Not Yet Due</v>
      </c>
      <c r="E53" s="97"/>
      <c r="F53" s="125" t="str">
        <f>'1. All Data'!M56</f>
        <v>On Track to be Achieved</v>
      </c>
      <c r="G53" s="97"/>
      <c r="H53" s="126">
        <f>'1. All Data'!R56</f>
        <v>0</v>
      </c>
      <c r="I53" s="97"/>
      <c r="J53" s="126">
        <f>'1. All Data'!V56</f>
        <v>0</v>
      </c>
    </row>
    <row r="54" spans="1:47" ht="87.75">
      <c r="A54" s="95" t="str">
        <f>'1. All Data'!B57</f>
        <v>ECC05</v>
      </c>
      <c r="B54" s="127" t="str">
        <f>'1. All Data'!C57</f>
        <v>Climate Change Initiatives</v>
      </c>
      <c r="C54" s="128" t="str">
        <f>'1. All Data'!D57</f>
        <v>Investigate and identify the best locations for delivering EV off street charging points. Minimum of 4 to be identified</v>
      </c>
      <c r="D54" s="124" t="str">
        <f>'1. All Data'!H57</f>
        <v>On Track to be Achieved</v>
      </c>
      <c r="E54" s="96"/>
      <c r="F54" s="125" t="str">
        <f>'1. All Data'!M57</f>
        <v>On Track to be Achieved</v>
      </c>
      <c r="G54" s="105"/>
      <c r="H54" s="126">
        <f>'1. All Data'!R57</f>
        <v>0</v>
      </c>
      <c r="I54" s="97"/>
      <c r="J54" s="126">
        <f>'1. All Data'!V57</f>
        <v>0</v>
      </c>
    </row>
    <row r="55" spans="1:47" ht="99.75" customHeight="1">
      <c r="A55" s="95" t="str">
        <f>'1. All Data'!B58</f>
        <v>ECC06</v>
      </c>
      <c r="B55" s="127" t="str">
        <f>'1. All Data'!C58</f>
        <v>Climate Change Initiatives</v>
      </c>
      <c r="C55" s="128" t="str">
        <f>'1. All Data'!D58</f>
        <v>Deliver Borough wide entries for the ‘It’s Your Neighbourhood Park’ awards and maintain the results at 12 Gold Awards and 10 Silver Gilts</v>
      </c>
      <c r="D55" s="124" t="str">
        <f>'1. All Data'!H58</f>
        <v>Not Yet Due</v>
      </c>
      <c r="E55" s="97"/>
      <c r="F55" s="125" t="str">
        <f>'1. All Data'!M58</f>
        <v>Fully Achieved</v>
      </c>
      <c r="G55" s="97"/>
      <c r="H55" s="126">
        <f>'1. All Data'!R58</f>
        <v>0</v>
      </c>
      <c r="I55" s="97"/>
      <c r="J55" s="126">
        <f>'1. All Data'!V58</f>
        <v>0</v>
      </c>
    </row>
    <row r="56" spans="1:47" ht="99.75" customHeight="1">
      <c r="A56" s="95" t="str">
        <f>'1. All Data'!B59</f>
        <v>ECC07</v>
      </c>
      <c r="B56" s="127" t="str">
        <f>'1. All Data'!C59</f>
        <v>Climate Change Initiatives</v>
      </c>
      <c r="C56" s="128" t="str">
        <f>'1. All Data'!D59</f>
        <v>Support an additional entry to the ‘It’s Your Neighbourhood Park awards scheme during 2023/24</v>
      </c>
      <c r="D56" s="124" t="str">
        <f>'1. All Data'!H59</f>
        <v>Fully Achieved</v>
      </c>
      <c r="E56" s="97"/>
      <c r="F56" s="125" t="str">
        <f>'1. All Data'!M59</f>
        <v>Fully Achieved</v>
      </c>
      <c r="G56" s="97"/>
      <c r="H56" s="126">
        <f>'1. All Data'!R59</f>
        <v>0</v>
      </c>
      <c r="I56" s="97"/>
      <c r="J56" s="126">
        <f>'1. All Data'!V59</f>
        <v>0</v>
      </c>
      <c r="AU56" s="98"/>
    </row>
    <row r="57" spans="1:47" s="111" customFormat="1" ht="87.75">
      <c r="A57" s="95" t="str">
        <f>'1. All Data'!B60</f>
        <v>ECC08</v>
      </c>
      <c r="B57" s="127" t="str">
        <f>'1. All Data'!C60</f>
        <v>Climate Change Initiatives</v>
      </c>
      <c r="C57" s="128" t="str">
        <f>'1. All Data'!D60</f>
        <v>Deliver the In Bloom awards and sustain the number of Gold awards at a minimum of 3, across all categories</v>
      </c>
      <c r="D57" s="124" t="str">
        <f>'1. All Data'!H60</f>
        <v>Not Yet Due</v>
      </c>
      <c r="E57" s="96"/>
      <c r="F57" s="125" t="str">
        <f>'1. All Data'!M60</f>
        <v>Fully Achieved</v>
      </c>
      <c r="G57" s="97"/>
      <c r="H57" s="126">
        <f>'1. All Data'!R60</f>
        <v>0</v>
      </c>
      <c r="I57" s="97"/>
      <c r="J57" s="126">
        <f>'1. All Data'!V60</f>
        <v>0</v>
      </c>
      <c r="K57" s="106"/>
      <c r="L57" s="106"/>
      <c r="M57" s="106"/>
      <c r="N57" s="107"/>
      <c r="O57" s="107"/>
      <c r="P57" s="107"/>
      <c r="Q57" s="107"/>
      <c r="R57" s="107"/>
      <c r="S57" s="106"/>
      <c r="T57" s="106"/>
      <c r="U57" s="106"/>
      <c r="V57" s="106"/>
      <c r="W57" s="106"/>
      <c r="X57" s="108"/>
      <c r="Y57" s="108"/>
      <c r="Z57" s="108"/>
      <c r="AA57" s="108"/>
      <c r="AB57" s="109"/>
      <c r="AC57" s="94"/>
      <c r="AD57" s="110"/>
      <c r="AE57" s="110"/>
      <c r="AF57" s="110"/>
      <c r="AG57" s="110"/>
      <c r="AH57" s="110"/>
      <c r="AI57" s="110"/>
      <c r="AJ57" s="110"/>
      <c r="AK57" s="110"/>
      <c r="AL57" s="110"/>
      <c r="AM57" s="110"/>
      <c r="AN57" s="110"/>
      <c r="AO57" s="110"/>
      <c r="AP57" s="110"/>
      <c r="AQ57" s="110"/>
      <c r="AR57" s="110"/>
      <c r="AS57" s="110"/>
      <c r="AT57" s="110"/>
      <c r="AU57" s="110"/>
    </row>
    <row r="58" spans="1:47" ht="99.75" customHeight="1">
      <c r="A58" s="95" t="str">
        <f>'1. All Data'!B63</f>
        <v>ECC11</v>
      </c>
      <c r="B58" s="127" t="str">
        <f>'1. All Data'!C63</f>
        <v>Open Spaces initiatives</v>
      </c>
      <c r="C58" s="128" t="str">
        <f>'1. All Data'!D63</f>
        <v>Increase the number of volunteering opportunities from 3 to 6 per week at both the Horticulture Centre and/or Go Garden</v>
      </c>
      <c r="D58" s="124" t="str">
        <f>'1. All Data'!H63</f>
        <v>On Track to be Achieved</v>
      </c>
      <c r="E58" s="97"/>
      <c r="F58" s="125" t="str">
        <f>'1. All Data'!M63</f>
        <v>On Track to be Achieved</v>
      </c>
      <c r="G58" s="97"/>
      <c r="H58" s="126">
        <f>'1. All Data'!R63</f>
        <v>0</v>
      </c>
      <c r="I58" s="97"/>
      <c r="J58" s="126">
        <f>'1. All Data'!V63</f>
        <v>0</v>
      </c>
    </row>
    <row r="59" spans="1:47" ht="99.75" customHeight="1">
      <c r="A59" s="95" t="str">
        <f>'1. All Data'!B64</f>
        <v>ECC12</v>
      </c>
      <c r="B59" s="127" t="str">
        <f>'1. All Data'!C64</f>
        <v>Open Spaces initiatives</v>
      </c>
      <c r="C59" s="128" t="str">
        <f>'1. All Data'!D64</f>
        <v>Provide a 6 monthly update report on the performance of the grounds maintenance contractor</v>
      </c>
      <c r="D59" s="124" t="str">
        <f>'1. All Data'!H64</f>
        <v>On Track to be Achieved</v>
      </c>
      <c r="E59" s="96"/>
      <c r="F59" s="125" t="str">
        <f>'1. All Data'!M64</f>
        <v>On Track to be Achieved</v>
      </c>
      <c r="G59" s="97"/>
      <c r="H59" s="126">
        <f>'1. All Data'!R64</f>
        <v>0</v>
      </c>
      <c r="I59" s="97"/>
      <c r="J59" s="126">
        <f>'1. All Data'!V64</f>
        <v>0</v>
      </c>
    </row>
    <row r="60" spans="1:47" ht="99.75" customHeight="1">
      <c r="A60" s="95" t="str">
        <f>'1. All Data'!B65</f>
        <v>ECC13a</v>
      </c>
      <c r="B60" s="127" t="str">
        <f>'1. All Data'!C65</f>
        <v>Maintain Performance For Street Cleansing</v>
      </c>
      <c r="C60" s="128" t="str">
        <f>'1. All Data'!D65</f>
        <v>Litter, 0% (using NI195 survey methodology)</v>
      </c>
      <c r="D60" s="124" t="str">
        <f>'1. All Data'!H65</f>
        <v>Not Yet Due</v>
      </c>
      <c r="E60" s="97"/>
      <c r="F60" s="125" t="str">
        <f>'1. All Data'!M65</f>
        <v>On Track to be Achieved</v>
      </c>
      <c r="G60" s="112"/>
      <c r="H60" s="126">
        <f>'1. All Data'!R65</f>
        <v>0</v>
      </c>
      <c r="I60" s="112"/>
      <c r="J60" s="126">
        <f>'1. All Data'!V65</f>
        <v>0</v>
      </c>
    </row>
    <row r="61" spans="1:47" s="116" customFormat="1" ht="69.75" customHeight="1">
      <c r="A61" s="95" t="str">
        <f>'1. All Data'!B69</f>
        <v>ECC14</v>
      </c>
      <c r="B61" s="127" t="str">
        <f>'1. All Data'!C69</f>
        <v>Minimise The Number Of Missed Bin Collections</v>
      </c>
      <c r="C61" s="128" t="str">
        <f>'1. All Data'!D69</f>
        <v>Number Of Missed Bin Collections: Achieve 99.97% successful bin collections across the Borough</v>
      </c>
      <c r="D61" s="124" t="str">
        <f>'1. All Data'!H69</f>
        <v>On Track to be Achieved</v>
      </c>
      <c r="E61" s="96"/>
      <c r="F61" s="125" t="str">
        <f>'1. All Data'!M69</f>
        <v>On Track to be Achieved</v>
      </c>
      <c r="G61" s="114"/>
      <c r="H61" s="126">
        <f>'1. All Data'!R69</f>
        <v>0</v>
      </c>
      <c r="I61" s="114"/>
      <c r="J61" s="126">
        <f>'1. All Data'!V69</f>
        <v>0</v>
      </c>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row>
    <row r="62" spans="1:47" ht="99.75" customHeight="1">
      <c r="A62" s="95" t="str">
        <f>'1. All Data'!B70</f>
        <v>ECC15</v>
      </c>
      <c r="B62" s="127" t="str">
        <f>'1. All Data'!C70</f>
        <v>Getting ready for the future</v>
      </c>
      <c r="C62" s="128" t="str">
        <f>'1. All Data'!D70</f>
        <v>Go live with the data-modelling of the waste management round configuration</v>
      </c>
      <c r="D62" s="124" t="str">
        <f>'1. All Data'!H70</f>
        <v>Fully Achieved</v>
      </c>
      <c r="E62" s="97"/>
      <c r="F62" s="125" t="str">
        <f>'1. All Data'!M70</f>
        <v>Fully Achieved</v>
      </c>
      <c r="G62" s="97"/>
      <c r="H62" s="126">
        <f>'1. All Data'!R70</f>
        <v>0</v>
      </c>
      <c r="I62" s="97"/>
      <c r="J62" s="126">
        <f>'1. All Data'!V70</f>
        <v>0</v>
      </c>
    </row>
    <row r="63" spans="1:47" ht="99.75" customHeight="1">
      <c r="A63" s="95" t="str">
        <f>'1. All Data'!B71</f>
        <v>ECC16</v>
      </c>
      <c r="B63" s="127" t="str">
        <f>'1. All Data'!C71</f>
        <v>Getting ready for the future</v>
      </c>
      <c r="C63" s="128" t="str">
        <f>'1. All Data'!D71</f>
        <v xml:space="preserve">Report to Cabinet on the new round configuration and procurement requirements of the new waste management vehicles </v>
      </c>
      <c r="D63" s="124" t="str">
        <f>'1. All Data'!H71</f>
        <v>On Track to be Achieved</v>
      </c>
      <c r="E63" s="97"/>
      <c r="F63" s="125" t="str">
        <f>'1. All Data'!M71</f>
        <v>Fully Achieved</v>
      </c>
      <c r="G63" s="97"/>
      <c r="H63" s="126">
        <f>'1. All Data'!R71</f>
        <v>0</v>
      </c>
      <c r="I63" s="97"/>
      <c r="J63" s="126">
        <f>'1. All Data'!V71</f>
        <v>0</v>
      </c>
    </row>
    <row r="64" spans="1:47" ht="99.75" customHeight="1">
      <c r="A64" s="95" t="str">
        <f>'1. All Data'!B72</f>
        <v>ECC17</v>
      </c>
      <c r="B64" s="127" t="str">
        <f>'1. All Data'!C72</f>
        <v xml:space="preserve">Maintain Performance On Recycling </v>
      </c>
      <c r="C64" s="128" t="str">
        <f>'1. All Data'!D72</f>
        <v xml:space="preserve">Consider implementation of Food Waste strategy </v>
      </c>
      <c r="D64" s="124" t="str">
        <f>'1. All Data'!H72</f>
        <v>On Track to be Achieved</v>
      </c>
      <c r="E64" s="97"/>
      <c r="F64" s="125" t="str">
        <f>'1. All Data'!M72</f>
        <v>On Track to be Achieved</v>
      </c>
      <c r="G64" s="97"/>
      <c r="H64" s="126">
        <f>'1. All Data'!R72</f>
        <v>0</v>
      </c>
      <c r="I64" s="97"/>
      <c r="J64" s="126">
        <f>'1. All Data'!V72</f>
        <v>0</v>
      </c>
    </row>
    <row r="65" spans="1:10" ht="99.75" customHeight="1">
      <c r="A65" s="95" t="str">
        <f>'1. All Data'!B73</f>
        <v>ECC18</v>
      </c>
      <c r="B65" s="127" t="str">
        <f>'1. All Data'!C73</f>
        <v>Getting ready for the future</v>
      </c>
      <c r="C65" s="128" t="str">
        <f>'1. All Data'!D73</f>
        <v>Prepare a Depot Strategy to identify options to future proof the service</v>
      </c>
      <c r="D65" s="124" t="str">
        <f>'1. All Data'!H73</f>
        <v>On Track to be Achieved</v>
      </c>
      <c r="E65" s="97"/>
      <c r="F65" s="125" t="str">
        <f>'1. All Data'!M73</f>
        <v>On Track to be Achieved</v>
      </c>
      <c r="G65" s="97"/>
      <c r="H65" s="126">
        <f>'1. All Data'!R73</f>
        <v>0</v>
      </c>
      <c r="I65" s="97"/>
      <c r="J65" s="126">
        <f>'1. All Data'!V73</f>
        <v>0</v>
      </c>
    </row>
    <row r="66" spans="1:10" ht="99.75" customHeight="1">
      <c r="A66" s="95" t="str">
        <f>'1. All Data'!B74</f>
        <v>ECC19</v>
      </c>
      <c r="B66" s="127" t="str">
        <f>'1. All Data'!C74</f>
        <v>Improve Performance On Waste Reduction</v>
      </c>
      <c r="C66" s="128" t="str">
        <f>'1. All Data'!D74</f>
        <v>Residual Household Waste Per Household: Upper Quartile</v>
      </c>
      <c r="D66" s="124" t="str">
        <f>'1. All Data'!H74</f>
        <v>In Danger of Falling Behind Target</v>
      </c>
      <c r="E66" s="97"/>
      <c r="F66" s="125" t="str">
        <f>'1. All Data'!M74</f>
        <v>In Danger of Falling Behind Target</v>
      </c>
      <c r="G66" s="97"/>
      <c r="H66" s="126">
        <f>'1. All Data'!R74</f>
        <v>0</v>
      </c>
      <c r="I66" s="97"/>
      <c r="J66" s="126">
        <f>'1. All Data'!V74</f>
        <v>0</v>
      </c>
    </row>
    <row r="67" spans="1:10" ht="99.75" customHeight="1">
      <c r="A67" s="95" t="str">
        <f>'1. All Data'!B75</f>
        <v>ECC20</v>
      </c>
      <c r="B67" s="127" t="str">
        <f>'1. All Data'!C75</f>
        <v xml:space="preserve">Maintain Performance On Recycling </v>
      </c>
      <c r="C67" s="128" t="str">
        <f>'1. All Data'!D75</f>
        <v>Household Waste Recycled and Composted: Upper Quartile</v>
      </c>
      <c r="D67" s="124" t="str">
        <f>'1. All Data'!H75</f>
        <v>In Danger of Falling Behind Target</v>
      </c>
      <c r="E67" s="97"/>
      <c r="F67" s="125" t="str">
        <f>'1. All Data'!M75</f>
        <v>In Danger of Falling Behind Target</v>
      </c>
      <c r="G67" s="97"/>
      <c r="H67" s="126">
        <f>'1. All Data'!R75</f>
        <v>0</v>
      </c>
      <c r="I67" s="97"/>
      <c r="J67" s="126">
        <f>'1. All Data'!V75</f>
        <v>0</v>
      </c>
    </row>
    <row r="68" spans="1:10" ht="99.75" customHeight="1">
      <c r="A68" s="95" t="str">
        <f>'1. All Data'!B76</f>
        <v>ECC21</v>
      </c>
      <c r="B68" s="127" t="str">
        <f>'1. All Data'!C76</f>
        <v>Getting ready for the future</v>
      </c>
      <c r="C68" s="128" t="str">
        <f>'1. All Data'!D76</f>
        <v>Carry out Green Vehicle Trial on collection rounds</v>
      </c>
      <c r="D68" s="124" t="str">
        <f>'1. All Data'!H76</f>
        <v>Not Yet Due</v>
      </c>
      <c r="E68" s="97"/>
      <c r="F68" s="125" t="str">
        <f>'1. All Data'!M76</f>
        <v>On Track to be Achieved</v>
      </c>
      <c r="G68" s="97"/>
      <c r="H68" s="126">
        <f>'1. All Data'!R76</f>
        <v>0</v>
      </c>
      <c r="I68" s="97"/>
      <c r="J68" s="126">
        <f>'1. All Data'!V76</f>
        <v>0</v>
      </c>
    </row>
    <row r="69" spans="1:10" ht="99.75" customHeight="1">
      <c r="A69" s="95" t="str">
        <f>'1. All Data'!B77</f>
        <v>ECC22</v>
      </c>
      <c r="B69" s="127" t="str">
        <f>'1. All Data'!C77</f>
        <v>Getting ready for the future</v>
      </c>
      <c r="C69" s="128" t="str">
        <f>'1. All Data'!D77</f>
        <v>Options review on the approach for the Council’s fleet of small mechanical street cleaning vehicles</v>
      </c>
      <c r="D69" s="124" t="str">
        <f>'1. All Data'!H77</f>
        <v>Not Yet Due</v>
      </c>
      <c r="E69" s="97"/>
      <c r="F69" s="125" t="str">
        <f>'1. All Data'!M77</f>
        <v>Not Yet Due</v>
      </c>
      <c r="G69" s="105"/>
      <c r="H69" s="126">
        <f>'1. All Data'!R77</f>
        <v>0</v>
      </c>
      <c r="I69" s="105"/>
      <c r="J69" s="126">
        <f>'1. All Data'!V77</f>
        <v>0</v>
      </c>
    </row>
    <row r="70" spans="1:10" ht="99.75" customHeight="1">
      <c r="A70" s="95" t="str">
        <f>'1. All Data'!B78</f>
        <v>ECC23</v>
      </c>
      <c r="B70" s="127" t="str">
        <f>'1. All Data'!C78</f>
        <v>Review of Car Parking Services</v>
      </c>
      <c r="C70" s="128" t="str">
        <f>'1. All Data'!D78</f>
        <v>Undertake a wide ranging review of the current car parking arrangements, including but not limited to; the Parking App, the charging regime and enforcement</v>
      </c>
      <c r="D70" s="124" t="str">
        <f>'1. All Data'!H78</f>
        <v>Not Yet Due</v>
      </c>
      <c r="E70" s="97"/>
      <c r="F70" s="125" t="str">
        <f>'1. All Data'!M78</f>
        <v>Off Target</v>
      </c>
      <c r="G70" s="105"/>
      <c r="H70" s="126">
        <f>'1. All Data'!R78</f>
        <v>0</v>
      </c>
      <c r="I70" s="105"/>
      <c r="J70" s="126">
        <f>'1. All Data'!V78</f>
        <v>0</v>
      </c>
    </row>
    <row r="71" spans="1:10" ht="99.75" customHeight="1">
      <c r="A71" s="95" t="str">
        <f>'1. All Data'!B79</f>
        <v>TCD01</v>
      </c>
      <c r="B71" s="127" t="str">
        <f>'1. All Data'!C79</f>
        <v>Market Hall Development</v>
      </c>
      <c r="C71" s="128" t="str">
        <f>'1. All Data'!D79</f>
        <v>Consider the outcome of an independent HM Treasury Green Book compliant business case assessment on future options for the Market Hall</v>
      </c>
      <c r="D71" s="124" t="str">
        <f>'1. All Data'!H79</f>
        <v>On Track to be Achieved</v>
      </c>
      <c r="E71" s="97"/>
      <c r="F71" s="125" t="str">
        <f>'1. All Data'!M79</f>
        <v>Fully Achieved</v>
      </c>
      <c r="G71" s="105"/>
      <c r="H71" s="126">
        <f>'1. All Data'!R79</f>
        <v>0</v>
      </c>
      <c r="I71" s="105"/>
      <c r="J71" s="126">
        <f>'1. All Data'!V79</f>
        <v>0</v>
      </c>
    </row>
    <row r="72" spans="1:10" ht="99.75" customHeight="1">
      <c r="A72" s="95" t="str">
        <f>'1. All Data'!B80</f>
        <v>TCD02</v>
      </c>
      <c r="B72" s="127" t="str">
        <f>'1. All Data'!C80</f>
        <v>Developing Tourism within the Borough</v>
      </c>
      <c r="C72" s="128" t="str">
        <f>'1. All Data'!D80</f>
        <v>Launch a grant scheme to support local Tourism businesses to develop projects and activity</v>
      </c>
      <c r="D72" s="124" t="str">
        <f>'1. All Data'!H80</f>
        <v>Fully Achieved</v>
      </c>
      <c r="E72" s="96"/>
      <c r="F72" s="125" t="str">
        <f>'1. All Data'!M80</f>
        <v>Fully Achieved</v>
      </c>
      <c r="G72" s="97"/>
      <c r="H72" s="126">
        <f>'1. All Data'!R80</f>
        <v>0</v>
      </c>
      <c r="I72" s="97"/>
      <c r="J72" s="126">
        <f>'1. All Data'!V80</f>
        <v>0</v>
      </c>
    </row>
    <row r="73" spans="1:10" ht="99.75" customHeight="1">
      <c r="A73" s="95" t="str">
        <f>'1. All Data'!B81</f>
        <v>TCD03</v>
      </c>
      <c r="B73" s="127" t="str">
        <f>'1. All Data'!C81</f>
        <v>Developing Tourism within the Borough</v>
      </c>
      <c r="C73" s="128" t="str">
        <f>'1. All Data'!D81</f>
        <v xml:space="preserve">Develop a Tourism framework and Strategic Plan </v>
      </c>
      <c r="D73" s="124" t="str">
        <f>'1. All Data'!H81</f>
        <v>On Track to be Achieved</v>
      </c>
      <c r="E73" s="97"/>
      <c r="F73" s="125" t="str">
        <f>'1. All Data'!M81</f>
        <v>On Track to be Achieved</v>
      </c>
      <c r="G73" s="97"/>
      <c r="H73" s="126">
        <f>'1. All Data'!R81</f>
        <v>0</v>
      </c>
      <c r="I73" s="97"/>
      <c r="J73" s="126">
        <f>'1. All Data'!V81</f>
        <v>0</v>
      </c>
    </row>
    <row r="74" spans="1:10" ht="99.75" customHeight="1">
      <c r="A74" s="95" t="str">
        <f>'1. All Data'!B83</f>
        <v>TCD05</v>
      </c>
      <c r="B74" s="127" t="str">
        <f>'1. All Data'!C83</f>
        <v>Developing Tourism within the Borough</v>
      </c>
      <c r="C74" s="128" t="str">
        <f>'1. All Data'!D83</f>
        <v>Complete review of way marking around Burton town centre</v>
      </c>
      <c r="D74" s="124" t="str">
        <f>'1. All Data'!H83</f>
        <v>Not Yet Due</v>
      </c>
      <c r="E74" s="97"/>
      <c r="F74" s="125" t="str">
        <f>'1. All Data'!M83</f>
        <v>On Track to be Achieved</v>
      </c>
      <c r="G74" s="105"/>
      <c r="H74" s="126">
        <f>'1. All Data'!R83</f>
        <v>0</v>
      </c>
      <c r="I74" s="97"/>
      <c r="J74" s="126">
        <f>'1. All Data'!V83</f>
        <v>0</v>
      </c>
    </row>
    <row r="75" spans="1:10" ht="99.75" customHeight="1">
      <c r="A75" s="95" t="str">
        <f>'1. All Data'!B86</f>
        <v>TCD08</v>
      </c>
      <c r="B75" s="127" t="str">
        <f>'1. All Data'!C86</f>
        <v>Brewhouse and Town Hall Service</v>
      </c>
      <c r="C75" s="128" t="str">
        <f>'1. All Data'!D86</f>
        <v>Complete the refurbishment of the Brewhouse roof</v>
      </c>
      <c r="D75" s="124" t="str">
        <f>'1. All Data'!H86</f>
        <v>On Track to be Achieved</v>
      </c>
      <c r="E75" s="97"/>
      <c r="F75" s="125" t="str">
        <f>'1. All Data'!M86</f>
        <v>Off Target</v>
      </c>
      <c r="G75" s="97"/>
      <c r="H75" s="126">
        <f>'1. All Data'!R86</f>
        <v>0</v>
      </c>
      <c r="I75" s="97"/>
      <c r="J75" s="126">
        <f>'1. All Data'!V86</f>
        <v>0</v>
      </c>
    </row>
    <row r="76" spans="1:10" ht="99.75" customHeight="1">
      <c r="A76" s="95" t="str">
        <f>'1. All Data'!B89</f>
        <v>TCD10</v>
      </c>
      <c r="B76" s="127" t="str">
        <f>'1. All Data'!C89</f>
        <v xml:space="preserve">Supporting Sport and Leisure Delivery </v>
      </c>
      <c r="C76" s="128" t="str">
        <f>'1. All Data'!D89</f>
        <v>Review outdoor sports provision in Uttoxeter, including the proposed Sports Hub and other potential outdoor sports sites</v>
      </c>
      <c r="D76" s="124" t="str">
        <f>'1. All Data'!H89</f>
        <v>Not Yet Due</v>
      </c>
      <c r="E76" s="97"/>
      <c r="F76" s="125" t="str">
        <f>'1. All Data'!M89</f>
        <v>On Track to be Achieved</v>
      </c>
      <c r="G76" s="97"/>
      <c r="H76" s="126">
        <f>'1. All Data'!R89</f>
        <v>0</v>
      </c>
      <c r="I76" s="97"/>
      <c r="J76" s="126">
        <f>'1. All Data'!V89</f>
        <v>0</v>
      </c>
    </row>
    <row r="77" spans="1:10" ht="87.75">
      <c r="A77" s="95" t="str">
        <f>'1. All Data'!B90</f>
        <v>TCD11</v>
      </c>
      <c r="B77" s="127" t="str">
        <f>'1. All Data'!C90</f>
        <v>Supporting Sport and Leisure Delivery</v>
      </c>
      <c r="C77" s="128" t="str">
        <f>'1. All Data'!D90</f>
        <v>Updated Playing Pitch Strategy and review of indoor facilities completed</v>
      </c>
      <c r="D77" s="124" t="str">
        <f>'1. All Data'!H90</f>
        <v>On Track to be Achieved</v>
      </c>
      <c r="E77" s="96"/>
      <c r="F77" s="125" t="str">
        <f>'1. All Data'!M90</f>
        <v>On Track to be Achieved</v>
      </c>
      <c r="G77" s="97"/>
      <c r="H77" s="126">
        <f>'1. All Data'!R90</f>
        <v>0</v>
      </c>
      <c r="I77" s="97"/>
      <c r="J77" s="126">
        <f>'1. All Data'!V90</f>
        <v>0</v>
      </c>
    </row>
    <row r="78" spans="1:10" ht="99.75" customHeight="1">
      <c r="A78" s="95" t="str">
        <f>'1. All Data'!B93</f>
        <v>TCD14</v>
      </c>
      <c r="B78" s="127" t="str">
        <f>'1. All Data'!C93</f>
        <v>Developing Healthy Lifestyles</v>
      </c>
      <c r="C78" s="128" t="str">
        <f>'1. All Data'!D93</f>
        <v>Support the Better Health programme into the delivery phase and represent East Staffordshire through quarterly meetings</v>
      </c>
      <c r="D78" s="124" t="str">
        <f>'1. All Data'!H93</f>
        <v>On Track to be Achieved</v>
      </c>
      <c r="E78" s="96"/>
      <c r="F78" s="125" t="str">
        <f>'1. All Data'!M93</f>
        <v>On Track to be Achieved</v>
      </c>
      <c r="G78" s="104"/>
      <c r="H78" s="126">
        <f>'1. All Data'!R93</f>
        <v>0</v>
      </c>
      <c r="I78" s="104"/>
      <c r="J78" s="126">
        <f>'1. All Data'!V93</f>
        <v>0</v>
      </c>
    </row>
    <row r="79" spans="1:10" ht="99.75" customHeight="1">
      <c r="A79" s="95" t="str">
        <f>'1. All Data'!B94</f>
        <v>TCD15</v>
      </c>
      <c r="B79" s="127" t="str">
        <f>'1. All Data'!C94</f>
        <v>Supporting Sport and Leisure Delivery</v>
      </c>
      <c r="C79" s="128" t="str">
        <f>'1. All Data'!D94</f>
        <v>Undertake a review of the grant funding process that currently takes place through the East Staffordshire Sports Council</v>
      </c>
      <c r="D79" s="124" t="str">
        <f>'1. All Data'!H94</f>
        <v>On Track to be Achieved</v>
      </c>
      <c r="E79" s="96"/>
      <c r="F79" s="125" t="str">
        <f>'1. All Data'!M94</f>
        <v>Fully Achieved</v>
      </c>
      <c r="G79" s="97"/>
      <c r="H79" s="126">
        <f>'1. All Data'!R94</f>
        <v>0</v>
      </c>
      <c r="I79" s="97"/>
      <c r="J79" s="126">
        <f>'1. All Data'!V94</f>
        <v>0</v>
      </c>
    </row>
    <row r="80" spans="1:10" ht="99.75" customHeight="1">
      <c r="A80" s="95" t="str">
        <f>'1. All Data'!B95</f>
        <v>RAD01</v>
      </c>
      <c r="B80" s="127" t="str">
        <f>'1. All Data'!C95</f>
        <v>Deliver the Burton upon Trent High Street Regeneration Project</v>
      </c>
      <c r="C80" s="128" t="str">
        <f>'1. All Data'!D95</f>
        <v>Launch the temporary National Archive 
Centre and Regeneration Update Hub 
following completion of works and relocation of the collection</v>
      </c>
      <c r="D80" s="124" t="str">
        <f>'1. All Data'!H95</f>
        <v>On Track to be Achieved</v>
      </c>
      <c r="E80" s="97"/>
      <c r="F80" s="125" t="str">
        <f>'1. All Data'!M95</f>
        <v>Off Target</v>
      </c>
      <c r="G80" s="97"/>
      <c r="H80" s="126">
        <f>'1. All Data'!R95</f>
        <v>0</v>
      </c>
      <c r="I80" s="97"/>
      <c r="J80" s="126">
        <f>'1. All Data'!V95</f>
        <v>0</v>
      </c>
    </row>
    <row r="81" spans="1:46" ht="99.75" customHeight="1">
      <c r="A81" s="95" t="str">
        <f>'1. All Data'!B96</f>
        <v>RAD02</v>
      </c>
      <c r="B81" s="127" t="str">
        <f>'1. All Data'!C96</f>
        <v>Deliver the Burton upon Trent High Street Regeneration Project</v>
      </c>
      <c r="C81" s="128" t="str">
        <f>'1. All Data'!D96</f>
        <v xml:space="preserve">Continue to work in partnership with the Heritage Working Group and other stakeholders to develop the museum and heritage centre proposals for the High Street </v>
      </c>
      <c r="D81" s="124" t="str">
        <f>'1. All Data'!H96</f>
        <v>Not Yet Due</v>
      </c>
      <c r="E81" s="97"/>
      <c r="F81" s="125" t="str">
        <f>'1. All Data'!M96</f>
        <v>Not Yet Due</v>
      </c>
      <c r="G81" s="97"/>
      <c r="H81" s="126">
        <f>'1. All Data'!R96</f>
        <v>0</v>
      </c>
      <c r="I81" s="97"/>
      <c r="J81" s="126">
        <f>'1. All Data'!V96</f>
        <v>0</v>
      </c>
    </row>
    <row r="82" spans="1:46" s="111" customFormat="1" ht="87.75">
      <c r="A82" s="95" t="str">
        <f>'1. All Data'!B97</f>
        <v>RAD03</v>
      </c>
      <c r="B82" s="127" t="str">
        <f>'1. All Data'!C97</f>
        <v>Deliver the Burton upon Trent High Street Regeneration Project</v>
      </c>
      <c r="C82" s="128" t="str">
        <f>'1. All Data'!D97</f>
        <v xml:space="preserve">Work with partners to support the delivery of the three partner Towns Fund projects </v>
      </c>
      <c r="D82" s="124" t="str">
        <f>'1. All Data'!H97</f>
        <v>Not Yet Due</v>
      </c>
      <c r="E82" s="96"/>
      <c r="F82" s="125" t="str">
        <f>'1. All Data'!M97</f>
        <v>On Track to be Achieved</v>
      </c>
      <c r="G82" s="97"/>
      <c r="H82" s="126">
        <f>'1. All Data'!R97</f>
        <v>0</v>
      </c>
      <c r="I82" s="97"/>
      <c r="J82" s="126">
        <f>'1. All Data'!V97</f>
        <v>0</v>
      </c>
      <c r="K82" s="117"/>
      <c r="L82" s="117"/>
      <c r="M82" s="118"/>
      <c r="N82" s="119"/>
      <c r="O82" s="119"/>
      <c r="P82" s="119"/>
      <c r="Q82" s="119"/>
      <c r="R82" s="118"/>
      <c r="S82" s="117"/>
      <c r="T82" s="117"/>
      <c r="U82" s="117"/>
      <c r="V82" s="120"/>
      <c r="W82" s="117"/>
      <c r="X82" s="118"/>
      <c r="Y82" s="118"/>
      <c r="Z82" s="118"/>
      <c r="AA82" s="118"/>
      <c r="AB82" s="109"/>
      <c r="AC82" s="94"/>
      <c r="AD82" s="110"/>
      <c r="AE82" s="110"/>
      <c r="AF82" s="110"/>
      <c r="AG82" s="110"/>
      <c r="AH82" s="110"/>
      <c r="AI82" s="110"/>
      <c r="AJ82" s="110"/>
      <c r="AK82" s="110"/>
      <c r="AL82" s="110"/>
      <c r="AM82" s="110"/>
      <c r="AN82" s="110"/>
      <c r="AO82" s="110"/>
      <c r="AP82" s="110"/>
      <c r="AQ82" s="110"/>
      <c r="AR82" s="110"/>
      <c r="AS82" s="110"/>
      <c r="AT82" s="110"/>
    </row>
    <row r="83" spans="1:46" s="116" customFormat="1" ht="103.5" customHeight="1">
      <c r="A83" s="95" t="str">
        <f>'1. All Data'!B98</f>
        <v>RAD04</v>
      </c>
      <c r="B83" s="127" t="str">
        <f>'1. All Data'!C98</f>
        <v>Improve the Washlands as a regional attraction</v>
      </c>
      <c r="C83" s="128" t="str">
        <f>'1. All Data'!D98</f>
        <v>Appoint contractors to deliver Washlands Enhancement Project</v>
      </c>
      <c r="D83" s="124" t="str">
        <f>'1. All Data'!H98</f>
        <v>On Track to be Achieved</v>
      </c>
      <c r="E83" s="97"/>
      <c r="F83" s="125" t="str">
        <f>'1. All Data'!M98</f>
        <v>Fully Achieved</v>
      </c>
      <c r="G83" s="121"/>
      <c r="H83" s="126">
        <f>'1. All Data'!R98</f>
        <v>0</v>
      </c>
      <c r="I83" s="121"/>
      <c r="J83" s="126">
        <f>'1. All Data'!V98</f>
        <v>0</v>
      </c>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row>
    <row r="84" spans="1:46" ht="99.75" customHeight="1">
      <c r="A84" s="95" t="str">
        <f>'1. All Data'!B99</f>
        <v>RAD05</v>
      </c>
      <c r="B84" s="127" t="str">
        <f>'1. All Data'!C99</f>
        <v>Improve the Washlands as a regional attraction</v>
      </c>
      <c r="C84" s="128" t="str">
        <f>'1. All Data'!D99</f>
        <v xml:space="preserve">Submit planning application for a Washlands Visitor Centre </v>
      </c>
      <c r="D84" s="124" t="str">
        <f>'1. All Data'!H99</f>
        <v>In Danger of Falling Behind Target</v>
      </c>
      <c r="E84" s="96"/>
      <c r="F84" s="125" t="str">
        <f>'1. All Data'!M99</f>
        <v>Off Target</v>
      </c>
      <c r="G84" s="97"/>
      <c r="H84" s="126">
        <f>'1. All Data'!R99</f>
        <v>0</v>
      </c>
      <c r="I84" s="97"/>
      <c r="J84" s="126">
        <f>'1. All Data'!V99</f>
        <v>0</v>
      </c>
    </row>
    <row r="85" spans="1:46" ht="99.75" customHeight="1">
      <c r="A85" s="95" t="str">
        <f>'1. All Data'!B100</f>
        <v>RAD06</v>
      </c>
      <c r="B85" s="127" t="str">
        <f>'1. All Data'!C100</f>
        <v>Improve the Washlands as a regional attraction</v>
      </c>
      <c r="C85" s="128" t="str">
        <f>'1. All Data'!D100</f>
        <v xml:space="preserve">Commence the construction of the Washlands Visitor Centre (subject to planning) </v>
      </c>
      <c r="D85" s="124" t="str">
        <f>'1. All Data'!H100</f>
        <v>In Danger of Falling Behind Target</v>
      </c>
      <c r="E85" s="96"/>
      <c r="F85" s="125" t="str">
        <f>'1. All Data'!M100</f>
        <v>Deleted</v>
      </c>
      <c r="G85" s="97"/>
      <c r="H85" s="126">
        <f>'1. All Data'!R100</f>
        <v>0</v>
      </c>
      <c r="I85" s="97"/>
      <c r="J85" s="126">
        <f>'1. All Data'!V100</f>
        <v>0</v>
      </c>
    </row>
    <row r="86" spans="1:46" ht="99.75" customHeight="1">
      <c r="A86" s="95" t="str">
        <f>'1. All Data'!B101</f>
        <v>RAD07</v>
      </c>
      <c r="B86" s="127" t="str">
        <f>'1. All Data'!C101</f>
        <v>Improve the Washlands as a regional attraction</v>
      </c>
      <c r="C86" s="128" t="str">
        <f>'1. All Data'!D101</f>
        <v xml:space="preserve">Finalise designs for the Garden of Remembrance enhancements </v>
      </c>
      <c r="D86" s="124" t="str">
        <f>'1. All Data'!H101</f>
        <v>On Track to be Achieved</v>
      </c>
      <c r="E86" s="96"/>
      <c r="F86" s="125" t="str">
        <f>'1. All Data'!M101</f>
        <v>Fully Achieved</v>
      </c>
      <c r="G86" s="105"/>
      <c r="H86" s="126">
        <f>'1. All Data'!R101</f>
        <v>0</v>
      </c>
      <c r="I86" s="97"/>
      <c r="J86" s="126">
        <f>'1. All Data'!V101</f>
        <v>0</v>
      </c>
    </row>
    <row r="87" spans="1:46" ht="99.75" customHeight="1">
      <c r="A87" s="95" t="str">
        <f>'1. All Data'!B102</f>
        <v>RAD08</v>
      </c>
      <c r="B87" s="127" t="str">
        <f>'1. All Data'!C102</f>
        <v>Take forward regeneration in Uttoxeter</v>
      </c>
      <c r="C87" s="128" t="str">
        <f>'1. All Data'!D102</f>
        <v>Consider findings of Maltings regeneration project consultation</v>
      </c>
      <c r="D87" s="124" t="str">
        <f>'1. All Data'!H102</f>
        <v>On Track to be Achieved</v>
      </c>
      <c r="E87" s="96"/>
      <c r="F87" s="125" t="str">
        <f>'1. All Data'!M102</f>
        <v>Fully Achieved</v>
      </c>
      <c r="G87" s="97"/>
      <c r="H87" s="126">
        <f>'1. All Data'!R102</f>
        <v>0</v>
      </c>
      <c r="I87" s="97"/>
      <c r="J87" s="126">
        <f>'1. All Data'!V102</f>
        <v>0</v>
      </c>
    </row>
    <row r="88" spans="1:46" ht="99.75" customHeight="1">
      <c r="A88" s="95" t="str">
        <f>'1. All Data'!B103</f>
        <v>RAD09</v>
      </c>
      <c r="B88" s="127" t="str">
        <f>'1. All Data'!C103</f>
        <v>Take forward regeneration in Uttoxeter</v>
      </c>
      <c r="C88" s="128" t="str">
        <f>'1. All Data'!D103</f>
        <v>Agree purchase of Uttoxeter former Co-op building</v>
      </c>
      <c r="D88" s="124" t="str">
        <f>'1. All Data'!H103</f>
        <v>On Track to be Achieved</v>
      </c>
      <c r="E88" s="96"/>
      <c r="F88" s="125" t="str">
        <f>'1. All Data'!M103</f>
        <v>Fully Achieved</v>
      </c>
      <c r="G88" s="97"/>
      <c r="H88" s="126">
        <f>'1. All Data'!R103</f>
        <v>0</v>
      </c>
      <c r="I88" s="97"/>
      <c r="J88" s="126">
        <f>'1. All Data'!V103</f>
        <v>0</v>
      </c>
    </row>
    <row r="89" spans="1:46" ht="99.75" customHeight="1">
      <c r="A89" s="95" t="str">
        <f>'1. All Data'!B104</f>
        <v>RAD10</v>
      </c>
      <c r="B89" s="127" t="str">
        <f>'1. All Data'!C104</f>
        <v>Take forward regeneration in Uttoxeter</v>
      </c>
      <c r="C89" s="128" t="str">
        <f>'1. All Data'!D104</f>
        <v>Consider the best approach to acquiring the remainder of the Maltings precinct and review proposals to regenerate the Maltings area</v>
      </c>
      <c r="D89" s="124" t="str">
        <f>'1. All Data'!H104</f>
        <v>Not Yet Due</v>
      </c>
      <c r="E89" s="97"/>
      <c r="F89" s="125" t="str">
        <f>'1. All Data'!M104</f>
        <v>Fully Achieved</v>
      </c>
      <c r="G89" s="97"/>
      <c r="H89" s="126">
        <f>'1. All Data'!R104</f>
        <v>0</v>
      </c>
      <c r="I89" s="97"/>
      <c r="J89" s="126">
        <f>'1. All Data'!V104</f>
        <v>0</v>
      </c>
    </row>
    <row r="90" spans="1:46" ht="99.75" customHeight="1">
      <c r="A90" s="95" t="str">
        <f>'1. All Data'!B106</f>
        <v>RAD12</v>
      </c>
      <c r="B90" s="127" t="str">
        <f>'1. All Data'!C106</f>
        <v>Support economic growth in East Staffordshire</v>
      </c>
      <c r="C90" s="128" t="str">
        <f>'1. All Data'!D106</f>
        <v>Continue to work in preparation of accessing external funding opportunities, when available, including the third round of the Levelling Up Fund</v>
      </c>
      <c r="D90" s="124" t="str">
        <f>'1. All Data'!H106</f>
        <v>Not Yet Due</v>
      </c>
      <c r="E90" s="96"/>
      <c r="F90" s="125" t="str">
        <f>'1. All Data'!M106</f>
        <v>On Track to be Achieved</v>
      </c>
      <c r="G90" s="97"/>
      <c r="H90" s="126">
        <f>'1. All Data'!R106</f>
        <v>0</v>
      </c>
      <c r="I90" s="97"/>
      <c r="J90" s="126">
        <f>'1. All Data'!V106</f>
        <v>0</v>
      </c>
    </row>
    <row r="91" spans="1:46" ht="99.75" customHeight="1">
      <c r="A91" s="95" t="str">
        <f>'1. All Data'!B107</f>
        <v>RAD13</v>
      </c>
      <c r="B91" s="127" t="str">
        <f>'1. All Data'!C107</f>
        <v>Major Planning Applications Determined Within 13 Weeks</v>
      </c>
      <c r="C91" s="128" t="str">
        <f>'1. All Data'!D107</f>
        <v>Top Quartile as measured against relevant DLUHC figures</v>
      </c>
      <c r="D91" s="124" t="str">
        <f>'1. All Data'!H107</f>
        <v>On Track to be Achieved</v>
      </c>
      <c r="E91" s="97"/>
      <c r="F91" s="125" t="str">
        <f>'1. All Data'!M107</f>
        <v>On Track to be Achieved</v>
      </c>
      <c r="G91" s="97"/>
      <c r="H91" s="126">
        <f>'1. All Data'!R107</f>
        <v>0</v>
      </c>
      <c r="I91" s="97"/>
      <c r="J91" s="126">
        <f>'1. All Data'!V107</f>
        <v>0</v>
      </c>
    </row>
    <row r="92" spans="1:46" ht="99.75" customHeight="1">
      <c r="A92" s="95" t="str">
        <f>'1. All Data'!B108</f>
        <v>RAD14</v>
      </c>
      <c r="B92" s="127" t="str">
        <f>'1. All Data'!C108</f>
        <v>Minor Planning Applications Determined Within 8 Weeks</v>
      </c>
      <c r="C92" s="128" t="str">
        <f>'1. All Data'!D108</f>
        <v>Top Quartile as measured against relevant DLUHC figures</v>
      </c>
      <c r="D92" s="124" t="str">
        <f>'1. All Data'!H108</f>
        <v>On Track to be Achieved</v>
      </c>
      <c r="E92" s="96"/>
      <c r="F92" s="125" t="str">
        <f>'1. All Data'!M108</f>
        <v>On Track to be Achieved</v>
      </c>
      <c r="G92" s="97"/>
      <c r="H92" s="126">
        <f>'1. All Data'!R108</f>
        <v>0</v>
      </c>
      <c r="I92" s="97"/>
      <c r="J92" s="126">
        <f>'1. All Data'!V108</f>
        <v>0</v>
      </c>
    </row>
    <row r="93" spans="1:46" ht="99.75" customHeight="1">
      <c r="A93" s="95" t="str">
        <f>'1. All Data'!B109</f>
        <v>RAD15</v>
      </c>
      <c r="B93" s="127" t="str">
        <f>'1. All Data'!C109</f>
        <v>Other Planning Applications Determined in 8 Weeks</v>
      </c>
      <c r="C93" s="128" t="str">
        <f>'1. All Data'!D109</f>
        <v>Top Quartile as measured against relevant MHCLG figures</v>
      </c>
      <c r="D93" s="124" t="str">
        <f>'1. All Data'!H109</f>
        <v>On Track to be Achieved</v>
      </c>
      <c r="E93" s="96"/>
      <c r="F93" s="125" t="str">
        <f>'1. All Data'!M109</f>
        <v>On Track to be Achieved</v>
      </c>
      <c r="G93" s="97"/>
      <c r="H93" s="126">
        <f>'1. All Data'!R109</f>
        <v>0</v>
      </c>
      <c r="I93" s="97"/>
      <c r="J93" s="126">
        <f>'1. All Data'!V109</f>
        <v>0</v>
      </c>
    </row>
    <row r="94" spans="1:46" ht="99.75" customHeight="1">
      <c r="A94" s="95" t="str">
        <f>'1. All Data'!B110</f>
        <v>RAD16</v>
      </c>
      <c r="B94" s="127" t="str">
        <f>'1. All Data'!C110</f>
        <v>SMARTER Planning Services</v>
      </c>
      <c r="C94" s="128" t="str">
        <f>'1. All Data'!D110</f>
        <v>Review Planning feedback survey data</v>
      </c>
      <c r="D94" s="124" t="str">
        <f>'1. All Data'!H110</f>
        <v>On Track to be Achieved</v>
      </c>
      <c r="E94" s="96"/>
      <c r="F94" s="125" t="str">
        <f>'1. All Data'!M110</f>
        <v>On Track to be Achieved</v>
      </c>
      <c r="G94" s="97"/>
      <c r="H94" s="126">
        <f>'1. All Data'!R110</f>
        <v>0</v>
      </c>
      <c r="I94" s="97"/>
      <c r="J94" s="126">
        <f>'1. All Data'!V110</f>
        <v>0</v>
      </c>
    </row>
    <row r="95" spans="1:46" ht="99.75" customHeight="1">
      <c r="A95" s="95" t="str">
        <f>'1. All Data'!B111</f>
        <v>RAD17</v>
      </c>
      <c r="B95" s="127" t="str">
        <f>'1. All Data'!C111</f>
        <v>SMARTER Planning Services</v>
      </c>
      <c r="C95" s="128" t="str">
        <f>'1. All Data'!D111</f>
        <v>Consider reintroduction of planning pre application advice</v>
      </c>
      <c r="D95" s="124" t="str">
        <f>'1. All Data'!H111</f>
        <v>On Track to be Achieved</v>
      </c>
      <c r="E95" s="96"/>
      <c r="F95" s="125" t="str">
        <f>'1. All Data'!M111</f>
        <v>On Track to be Achieved</v>
      </c>
      <c r="G95" s="97"/>
      <c r="H95" s="126">
        <f>'1. All Data'!R111</f>
        <v>0</v>
      </c>
      <c r="I95" s="97"/>
      <c r="J95" s="126">
        <f>'1. All Data'!V111</f>
        <v>0</v>
      </c>
    </row>
    <row r="96" spans="1:46" ht="99.75" customHeight="1">
      <c r="A96" s="95" t="str">
        <f>'1. All Data'!B112</f>
        <v>RAD18a</v>
      </c>
      <c r="B96" s="127" t="str">
        <f>'1. All Data'!C112</f>
        <v>Keeping Members informed on Planning Matters</v>
      </c>
      <c r="C96" s="128" t="str">
        <f>'1. All Data'!D112</f>
        <v>9 x Planning Committee Member training sessions</v>
      </c>
      <c r="D96" s="124" t="str">
        <f>'1. All Data'!H112</f>
        <v>On Track to be Achieved</v>
      </c>
      <c r="E96" s="97"/>
      <c r="F96" s="125" t="str">
        <f>'1. All Data'!M112</f>
        <v>On Track to be Achieved</v>
      </c>
      <c r="G96" s="97"/>
      <c r="H96" s="126">
        <f>'1. All Data'!R112</f>
        <v>0</v>
      </c>
      <c r="I96" s="97"/>
      <c r="J96" s="126">
        <f>'1. All Data'!V112</f>
        <v>0</v>
      </c>
    </row>
    <row r="97" spans="1:10" ht="99.75" customHeight="1">
      <c r="A97" s="95" t="str">
        <f>'1. All Data'!B114</f>
        <v>RAD19</v>
      </c>
      <c r="B97" s="127" t="str">
        <f>'1. All Data'!C114</f>
        <v>Monitor Performance of the Local Plan</v>
      </c>
      <c r="C97" s="128" t="str">
        <f>'1. All Data'!D114</f>
        <v>Complete the annual review of the Local Plan</v>
      </c>
      <c r="D97" s="124" t="str">
        <f>'1. All Data'!H114</f>
        <v>On Track to be Achieved</v>
      </c>
      <c r="E97" s="97"/>
      <c r="F97" s="125" t="str">
        <f>'1. All Data'!M114</f>
        <v>On Track to be Achieved</v>
      </c>
      <c r="G97" s="97"/>
      <c r="H97" s="126">
        <f>'1. All Data'!R114</f>
        <v>0</v>
      </c>
      <c r="I97" s="97"/>
      <c r="J97" s="126">
        <f>'1. All Data'!V114</f>
        <v>0</v>
      </c>
    </row>
    <row r="98" spans="1:10" ht="99.75" customHeight="1">
      <c r="A98" s="95" t="str">
        <f>'1. All Data'!B115</f>
        <v>FTM01</v>
      </c>
      <c r="B98" s="127" t="str">
        <f>'1. All Data'!C115</f>
        <v>Delivering Better Services to Support the Cost of Living Crisis</v>
      </c>
      <c r="C98" s="128" t="str">
        <f>'1. All Data'!D115</f>
        <v>Conduct a review of Local Council Tax Reduction Scheme</v>
      </c>
      <c r="D98" s="124" t="str">
        <f>'1. All Data'!H115</f>
        <v>On Track to be Achieved</v>
      </c>
      <c r="E98" s="96"/>
      <c r="F98" s="125" t="str">
        <f>'1. All Data'!M115</f>
        <v>On Track to be Achieved</v>
      </c>
      <c r="G98" s="105"/>
      <c r="H98" s="126">
        <f>'1. All Data'!R115</f>
        <v>0</v>
      </c>
      <c r="I98" s="97"/>
      <c r="J98" s="126">
        <f>'1. All Data'!V115</f>
        <v>0</v>
      </c>
    </row>
    <row r="99" spans="1:10" ht="99.75" customHeight="1">
      <c r="A99" s="95" t="str">
        <f>'1. All Data'!B116</f>
        <v>FTM02</v>
      </c>
      <c r="B99" s="127" t="str">
        <f>'1. All Data'!C116</f>
        <v>Delivering Better Services to Support the Cost of Living Crisis</v>
      </c>
      <c r="C99" s="128" t="str">
        <f>'1. All Data'!D116</f>
        <v xml:space="preserve">Time Taken to Process Benefit New Claims and Change Events (Previously NI 181)
Average time: 4.5 days  </v>
      </c>
      <c r="D99" s="124" t="str">
        <f>'1. All Data'!H116</f>
        <v>On Track to be Achieved</v>
      </c>
      <c r="E99" s="97"/>
      <c r="F99" s="125" t="str">
        <f>'1. All Data'!M116</f>
        <v>On Track to be Achieved</v>
      </c>
      <c r="G99" s="104"/>
      <c r="H99" s="126">
        <f>'1. All Data'!R116</f>
        <v>0</v>
      </c>
      <c r="I99" s="97"/>
      <c r="J99" s="126">
        <f>'1. All Data'!V116</f>
        <v>0</v>
      </c>
    </row>
    <row r="100" spans="1:10" ht="99.75" customHeight="1">
      <c r="A100" s="95" t="str">
        <f>'1. All Data'!B117</f>
        <v>FTM03a</v>
      </c>
      <c r="B100" s="127" t="str">
        <f>'1. All Data'!C117</f>
        <v xml:space="preserve">Continue to Maximise Income Through Effective Collection Processes </v>
      </c>
      <c r="C100" s="128" t="str">
        <f>'1. All Data'!D117</f>
        <v>Former Years Arrears for: 
Council Tax: 2,500,000</v>
      </c>
      <c r="D100" s="124" t="str">
        <f>'1. All Data'!H117</f>
        <v>On Track to be Achieved</v>
      </c>
      <c r="E100" s="97"/>
      <c r="F100" s="125" t="str">
        <f>'1. All Data'!M117</f>
        <v>On Track to be Achieved</v>
      </c>
      <c r="G100" s="97"/>
      <c r="H100" s="126">
        <f>'1. All Data'!R117</f>
        <v>0</v>
      </c>
      <c r="I100" s="97"/>
      <c r="J100" s="126">
        <f>'1. All Data'!V117</f>
        <v>0</v>
      </c>
    </row>
    <row r="101" spans="1:10" ht="99.75" customHeight="1">
      <c r="A101" s="95" t="str">
        <f>'1. All Data'!B120</f>
        <v>FTM04a</v>
      </c>
      <c r="B101" s="127" t="str">
        <f>'1. All Data'!C120</f>
        <v>Working Towards the Reduction of Claimant Error Housing Benefit Overpayments (HBOPs)</v>
      </c>
      <c r="C101" s="128" t="str">
        <f>'1. All Data'!D120</f>
        <v xml:space="preserve">% HBOPs recovered During the Year: 90% </v>
      </c>
      <c r="D101" s="124" t="str">
        <f>'1. All Data'!H120</f>
        <v>On Track to be Achieved</v>
      </c>
      <c r="E101" s="97"/>
      <c r="F101" s="125" t="str">
        <f>'1. All Data'!M120</f>
        <v>On Track to be Achieved</v>
      </c>
      <c r="G101" s="97"/>
      <c r="H101" s="126">
        <f>'1. All Data'!R120</f>
        <v>0</v>
      </c>
      <c r="I101" s="97"/>
      <c r="J101" s="126">
        <f>'1. All Data'!V120</f>
        <v>0</v>
      </c>
    </row>
    <row r="102" spans="1:10" ht="99.75" customHeight="1">
      <c r="A102" s="95" t="str">
        <f>'1. All Data'!B123</f>
        <v>FTM05a</v>
      </c>
      <c r="B102" s="127" t="str">
        <f>'1. All Data'!C123</f>
        <v xml:space="preserve">Continue to Maximise Income Through Effective Collection Processes 
(Previously BV 9) </v>
      </c>
      <c r="C102" s="128" t="str">
        <f>'1. All Data'!D123</f>
        <v xml:space="preserve">Collection Rates of - 
    Council Tax : 98% </v>
      </c>
      <c r="D102" s="124" t="str">
        <f>'1. All Data'!H123</f>
        <v>On Track to be Achieved</v>
      </c>
      <c r="E102" s="96"/>
      <c r="F102" s="125" t="str">
        <f>'1. All Data'!M123</f>
        <v>On Track to be Achieved</v>
      </c>
      <c r="G102" s="97"/>
      <c r="H102" s="126">
        <f>'1. All Data'!R123</f>
        <v>0</v>
      </c>
      <c r="I102" s="97"/>
      <c r="J102" s="126">
        <f>'1. All Data'!V123</f>
        <v>0</v>
      </c>
    </row>
    <row r="103" spans="1:10" ht="99.75" customHeight="1">
      <c r="A103" s="95" t="str">
        <f>'1. All Data'!B125</f>
        <v>FTM06</v>
      </c>
      <c r="B103" s="127" t="str">
        <f>'1. All Data'!C125</f>
        <v>Improving Financial Stewardship</v>
      </c>
      <c r="C103" s="128" t="str">
        <f>'1. All Data'!D125</f>
        <v>Approve the revised Treasury Management Strategy</v>
      </c>
      <c r="D103" s="124" t="str">
        <f>'1. All Data'!H125</f>
        <v>Not Yet Due</v>
      </c>
      <c r="E103" s="96"/>
      <c r="F103" s="125" t="str">
        <f>'1. All Data'!M125</f>
        <v>Not Yet Due</v>
      </c>
      <c r="G103" s="97"/>
      <c r="H103" s="126">
        <f>'1. All Data'!R125</f>
        <v>0</v>
      </c>
      <c r="I103" s="97"/>
      <c r="J103" s="126">
        <f>'1. All Data'!V125</f>
        <v>0</v>
      </c>
    </row>
    <row r="104" spans="1:10" ht="99.75" customHeight="1">
      <c r="A104" s="95" t="str">
        <f>'1. All Data'!B126</f>
        <v>FTM07</v>
      </c>
      <c r="B104" s="127" t="str">
        <f>'1. All Data'!C126</f>
        <v>Improving Financial Stewardship</v>
      </c>
      <c r="C104" s="128" t="str">
        <f>'1. All Data'!D126</f>
        <v>Approve the revised Medium Term Financial Strategy</v>
      </c>
      <c r="D104" s="124" t="str">
        <f>'1. All Data'!H126</f>
        <v>Not Yet Due</v>
      </c>
      <c r="E104" s="97"/>
      <c r="F104" s="125" t="str">
        <f>'1. All Data'!M126</f>
        <v>On Track to be Achieved</v>
      </c>
      <c r="G104" s="97"/>
      <c r="H104" s="126">
        <f>'1. All Data'!R126</f>
        <v>0</v>
      </c>
      <c r="I104" s="97"/>
      <c r="J104" s="126">
        <f>'1. All Data'!V126</f>
        <v>0</v>
      </c>
    </row>
    <row r="105" spans="1:10" ht="99.75" customHeight="1">
      <c r="A105" s="95" t="e">
        <f>'1. All Data'!#REF!</f>
        <v>#REF!</v>
      </c>
      <c r="B105" s="127" t="e">
        <f>'1. All Data'!#REF!</f>
        <v>#REF!</v>
      </c>
      <c r="C105" s="128" t="e">
        <f>'1. All Data'!#REF!</f>
        <v>#REF!</v>
      </c>
      <c r="D105" s="124" t="e">
        <f>'1. All Data'!#REF!</f>
        <v>#REF!</v>
      </c>
      <c r="E105" s="97"/>
      <c r="F105" s="125" t="e">
        <f>'1. All Data'!#REF!</f>
        <v>#REF!</v>
      </c>
      <c r="G105" s="97"/>
      <c r="H105" s="126" t="e">
        <f>'1. All Data'!#REF!</f>
        <v>#REF!</v>
      </c>
      <c r="I105" s="97"/>
      <c r="J105" s="126" t="e">
        <f>'1. All Data'!#REF!</f>
        <v>#REF!</v>
      </c>
    </row>
    <row r="106" spans="1:10" ht="99.75" customHeight="1">
      <c r="A106" s="95" t="e">
        <f>'1. All Data'!#REF!</f>
        <v>#REF!</v>
      </c>
      <c r="B106" s="127" t="e">
        <f>'1. All Data'!#REF!</f>
        <v>#REF!</v>
      </c>
      <c r="C106" s="128" t="e">
        <f>'1. All Data'!#REF!</f>
        <v>#REF!</v>
      </c>
      <c r="D106" s="124" t="e">
        <f>'1. All Data'!#REF!</f>
        <v>#REF!</v>
      </c>
      <c r="E106" s="97"/>
      <c r="F106" s="125" t="e">
        <f>'1. All Data'!#REF!</f>
        <v>#REF!</v>
      </c>
      <c r="G106" s="97"/>
      <c r="H106" s="126" t="e">
        <f>'1. All Data'!#REF!</f>
        <v>#REF!</v>
      </c>
      <c r="I106" s="97"/>
      <c r="J106" s="126" t="e">
        <f>'1. All Data'!#REF!</f>
        <v>#REF!</v>
      </c>
    </row>
    <row r="107" spans="1:10" ht="99.75" customHeight="1">
      <c r="A107" s="95" t="e">
        <f>'1. All Data'!#REF!</f>
        <v>#REF!</v>
      </c>
      <c r="B107" s="127" t="e">
        <f>'1. All Data'!#REF!</f>
        <v>#REF!</v>
      </c>
      <c r="C107" s="128" t="e">
        <f>'1. All Data'!#REF!</f>
        <v>#REF!</v>
      </c>
      <c r="D107" s="124" t="e">
        <f>'1. All Data'!#REF!</f>
        <v>#REF!</v>
      </c>
      <c r="E107" s="97"/>
      <c r="F107" s="125" t="e">
        <f>'1. All Data'!#REF!</f>
        <v>#REF!</v>
      </c>
      <c r="G107" s="97"/>
      <c r="H107" s="126" t="e">
        <f>'1. All Data'!#REF!</f>
        <v>#REF!</v>
      </c>
      <c r="I107" s="97"/>
      <c r="J107" s="126" t="e">
        <f>'1. All Data'!#REF!</f>
        <v>#REF!</v>
      </c>
    </row>
    <row r="108" spans="1:10" ht="99.75" customHeight="1">
      <c r="A108" s="95" t="e">
        <f>'1. All Data'!#REF!</f>
        <v>#REF!</v>
      </c>
      <c r="B108" s="127" t="e">
        <f>'1. All Data'!#REF!</f>
        <v>#REF!</v>
      </c>
      <c r="C108" s="128" t="e">
        <f>'1. All Data'!#REF!</f>
        <v>#REF!</v>
      </c>
      <c r="D108" s="124" t="e">
        <f>'1. All Data'!#REF!</f>
        <v>#REF!</v>
      </c>
      <c r="E108" s="97"/>
      <c r="F108" s="125" t="e">
        <f>'1. All Data'!#REF!</f>
        <v>#REF!</v>
      </c>
      <c r="G108" s="97"/>
      <c r="H108" s="126" t="e">
        <f>'1. All Data'!#REF!</f>
        <v>#REF!</v>
      </c>
      <c r="I108" s="97"/>
      <c r="J108" s="126" t="e">
        <f>'1. All Data'!#REF!</f>
        <v>#REF!</v>
      </c>
    </row>
    <row r="109" spans="1:10" ht="99.75" customHeight="1">
      <c r="A109" s="95" t="e">
        <f>'1. All Data'!#REF!</f>
        <v>#REF!</v>
      </c>
      <c r="B109" s="127" t="e">
        <f>'1. All Data'!#REF!</f>
        <v>#REF!</v>
      </c>
      <c r="C109" s="128" t="e">
        <f>'1. All Data'!#REF!</f>
        <v>#REF!</v>
      </c>
      <c r="D109" s="124" t="e">
        <f>'1. All Data'!#REF!</f>
        <v>#REF!</v>
      </c>
      <c r="E109" s="97"/>
      <c r="F109" s="125" t="e">
        <f>'1. All Data'!#REF!</f>
        <v>#REF!</v>
      </c>
      <c r="G109" s="97"/>
      <c r="H109" s="126" t="e">
        <f>'1. All Data'!#REF!</f>
        <v>#REF!</v>
      </c>
      <c r="I109" s="97"/>
      <c r="J109" s="126" t="e">
        <f>'1. All Data'!#REF!</f>
        <v>#REF!</v>
      </c>
    </row>
    <row r="110" spans="1:10" ht="99.75" customHeight="1">
      <c r="A110" s="95" t="e">
        <f>'1. All Data'!#REF!</f>
        <v>#REF!</v>
      </c>
      <c r="B110" s="127" t="e">
        <f>'1. All Data'!#REF!</f>
        <v>#REF!</v>
      </c>
      <c r="C110" s="128" t="e">
        <f>'1. All Data'!#REF!</f>
        <v>#REF!</v>
      </c>
      <c r="D110" s="124" t="e">
        <f>'1. All Data'!#REF!</f>
        <v>#REF!</v>
      </c>
      <c r="E110" s="96"/>
      <c r="F110" s="125" t="e">
        <f>'1. All Data'!#REF!</f>
        <v>#REF!</v>
      </c>
      <c r="G110" s="97"/>
      <c r="H110" s="126" t="e">
        <f>'1. All Data'!#REF!</f>
        <v>#REF!</v>
      </c>
      <c r="I110" s="104"/>
      <c r="J110" s="126" t="e">
        <f>'1. All Data'!#REF!</f>
        <v>#REF!</v>
      </c>
    </row>
    <row r="111" spans="1:10" s="98" customFormat="1">
      <c r="C111" s="122"/>
    </row>
    <row r="112" spans="1:10" s="98" customFormat="1">
      <c r="C112" s="122"/>
    </row>
    <row r="113" spans="3:3" s="98" customFormat="1">
      <c r="C113" s="122"/>
    </row>
    <row r="114" spans="3:3" s="98" customFormat="1">
      <c r="C114" s="122"/>
    </row>
    <row r="115" spans="3:3" s="98" customFormat="1">
      <c r="C115" s="122"/>
    </row>
    <row r="116" spans="3:3" s="98" customFormat="1">
      <c r="C116" s="122"/>
    </row>
    <row r="117" spans="3:3" s="98" customFormat="1">
      <c r="C117" s="122"/>
    </row>
    <row r="118" spans="3:3" s="98" customFormat="1">
      <c r="C118" s="122"/>
    </row>
    <row r="119" spans="3:3" s="98" customFormat="1">
      <c r="C119" s="122"/>
    </row>
    <row r="120" spans="3:3" s="98" customFormat="1">
      <c r="C120" s="122"/>
    </row>
    <row r="121" spans="3:3" s="98" customFormat="1">
      <c r="C121" s="122"/>
    </row>
    <row r="122" spans="3:3" s="98" customFormat="1">
      <c r="C122" s="122"/>
    </row>
    <row r="123" spans="3:3" s="98" customFormat="1">
      <c r="C123" s="122"/>
    </row>
    <row r="124" spans="3:3" s="98" customFormat="1">
      <c r="C124" s="122"/>
    </row>
    <row r="125" spans="3:3" s="98" customFormat="1">
      <c r="C125" s="122"/>
    </row>
    <row r="126" spans="3:3" s="98" customFormat="1">
      <c r="C126" s="122"/>
    </row>
    <row r="127" spans="3:3" s="98" customFormat="1">
      <c r="C127" s="122"/>
    </row>
    <row r="128" spans="3:3" s="98" customFormat="1">
      <c r="C128" s="122"/>
    </row>
    <row r="129" spans="3:3">
      <c r="C129" s="122"/>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5"/>
  <cols>
    <col min="1" max="1" width="17" bestFit="1" customWidth="1"/>
  </cols>
  <sheetData>
    <row r="1" spans="1:3">
      <c r="A1" s="134"/>
      <c r="B1" s="135"/>
      <c r="C1" s="136"/>
    </row>
    <row r="2" spans="1:3">
      <c r="A2" s="137"/>
      <c r="B2" s="138"/>
      <c r="C2" s="139"/>
    </row>
    <row r="3" spans="1:3">
      <c r="A3" s="137"/>
      <c r="B3" s="138"/>
      <c r="C3" s="139"/>
    </row>
    <row r="4" spans="1:3">
      <c r="A4" s="137"/>
      <c r="B4" s="138"/>
      <c r="C4" s="139"/>
    </row>
    <row r="5" spans="1:3">
      <c r="A5" s="137"/>
      <c r="B5" s="138"/>
      <c r="C5" s="139"/>
    </row>
    <row r="6" spans="1:3">
      <c r="A6" s="137"/>
      <c r="B6" s="138"/>
      <c r="C6" s="139"/>
    </row>
    <row r="7" spans="1:3">
      <c r="A7" s="137"/>
      <c r="B7" s="138"/>
      <c r="C7" s="139"/>
    </row>
    <row r="8" spans="1:3">
      <c r="A8" s="137"/>
      <c r="B8" s="138"/>
      <c r="C8" s="139"/>
    </row>
    <row r="9" spans="1:3">
      <c r="A9" s="137"/>
      <c r="B9" s="138"/>
      <c r="C9" s="139"/>
    </row>
    <row r="10" spans="1:3">
      <c r="A10" s="137"/>
      <c r="B10" s="138"/>
      <c r="C10" s="139"/>
    </row>
    <row r="11" spans="1:3">
      <c r="A11" s="137"/>
      <c r="B11" s="138"/>
      <c r="C11" s="139"/>
    </row>
    <row r="12" spans="1:3">
      <c r="A12" s="137"/>
      <c r="B12" s="138"/>
      <c r="C12" s="139"/>
    </row>
    <row r="13" spans="1:3">
      <c r="A13" s="137"/>
      <c r="B13" s="138"/>
      <c r="C13" s="139"/>
    </row>
    <row r="14" spans="1:3">
      <c r="A14" s="137"/>
      <c r="B14" s="138"/>
      <c r="C14" s="139"/>
    </row>
    <row r="15" spans="1:3">
      <c r="A15" s="137"/>
      <c r="B15" s="138"/>
      <c r="C15" s="139"/>
    </row>
    <row r="16" spans="1:3">
      <c r="A16" s="137"/>
      <c r="B16" s="138"/>
      <c r="C16" s="139"/>
    </row>
    <row r="17" spans="1:3">
      <c r="A17" s="137"/>
      <c r="B17" s="138"/>
      <c r="C17" s="139"/>
    </row>
    <row r="18" spans="1:3">
      <c r="A18" s="140"/>
      <c r="B18" s="141"/>
      <c r="C18" s="14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zoomScale="60" zoomScaleNormal="60" workbookViewId="0">
      <selection activeCell="C16" sqref="C16"/>
    </sheetView>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368" t="s">
        <v>425</v>
      </c>
      <c r="C2" s="370" t="s">
        <v>55</v>
      </c>
      <c r="D2" s="371"/>
      <c r="E2" s="372" t="s">
        <v>56</v>
      </c>
      <c r="F2" s="373"/>
      <c r="G2" s="374" t="s">
        <v>57</v>
      </c>
      <c r="H2" s="374"/>
    </row>
    <row r="3" spans="1:40" ht="50.25" customHeight="1" thickTop="1" thickBot="1">
      <c r="B3" s="369"/>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Priority'!C5+'2a. % By Priority'!C6</f>
        <v>83</v>
      </c>
      <c r="D5" s="45">
        <f>'2a. % By Priority'!G5</f>
        <v>0.93258426966292141</v>
      </c>
      <c r="E5" s="46">
        <f>'2a. % By Priority'!C7</f>
        <v>6</v>
      </c>
      <c r="F5" s="36">
        <f>'2a. % By Priority'!G7</f>
        <v>6.741573033707865E-2</v>
      </c>
      <c r="G5" s="56">
        <f>'2a. % By Priority'!C10+'2a. % By Priority'!C11</f>
        <v>0</v>
      </c>
      <c r="H5" s="57">
        <f>'2a. % By Priority'!G10</f>
        <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426</v>
      </c>
      <c r="C7" s="44">
        <f>'2a. % By Priority'!C23+'2a. % By Priority'!C24</f>
        <v>3</v>
      </c>
      <c r="D7" s="45">
        <f>'2a. % By Priority'!G23</f>
        <v>1</v>
      </c>
      <c r="E7" s="52">
        <f>'2a. % By Priority'!C25</f>
        <v>0</v>
      </c>
      <c r="F7" s="36">
        <f>'2a. % By Priority'!G25</f>
        <v>0</v>
      </c>
      <c r="G7" s="56">
        <f>'2a. % By Priority'!C28+'2a. % By Priority'!C29</f>
        <v>0</v>
      </c>
      <c r="H7" s="57">
        <f>'2a. % By Priority'!G28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418</v>
      </c>
      <c r="C8" s="44">
        <f>'2a. % By Priority'!C41+'2a. % By Priority'!C42</f>
        <v>7</v>
      </c>
      <c r="D8" s="45">
        <f>'2a. % By Priority'!G41</f>
        <v>1</v>
      </c>
      <c r="E8" s="52">
        <f>'2a. % By Priority'!C43</f>
        <v>0</v>
      </c>
      <c r="F8" s="36">
        <f>'2a. % By Priority'!G43</f>
        <v>0</v>
      </c>
      <c r="G8" s="56">
        <f>'2a. % By Priority'!C46+'2a. % By Priority'!C47</f>
        <v>0</v>
      </c>
      <c r="H8" s="57">
        <f>'2a. % By Priority'!G46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419</v>
      </c>
      <c r="C9" s="44">
        <f>'2a. % By Priority'!C59+'2a. % By Priority'!C60</f>
        <v>6</v>
      </c>
      <c r="D9" s="45">
        <f>'2a. % By Priority'!G59</f>
        <v>0.8571428571428571</v>
      </c>
      <c r="E9" s="52">
        <f>'2a. % By Priority'!C61</f>
        <v>1</v>
      </c>
      <c r="F9" s="36">
        <f>'2a. % By Priority'!G61</f>
        <v>0.14285714285714285</v>
      </c>
      <c r="G9" s="56">
        <f>'2a. % By Priority'!C64+'2a. % By Priority'!C65</f>
        <v>0</v>
      </c>
      <c r="H9" s="57">
        <f>'2a. % By Priority'!G64</f>
        <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71" t="s">
        <v>420</v>
      </c>
      <c r="C10" s="44">
        <f>'2a. % By Priority'!C77+'2a. % By Priority'!C78</f>
        <v>3</v>
      </c>
      <c r="D10" s="45">
        <f>'2a. % By Priority'!G77</f>
        <v>1</v>
      </c>
      <c r="E10" s="52">
        <f>'2a. % By Priority'!C79</f>
        <v>0</v>
      </c>
      <c r="F10" s="36">
        <f>'2a. % By Priority'!G79</f>
        <v>0</v>
      </c>
      <c r="G10" s="56">
        <f>'2a. % By Priority'!C82+'2a. % By Priority'!C83</f>
        <v>0</v>
      </c>
      <c r="H10" s="57">
        <f>'2a. % By Priority'!G82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71" t="s">
        <v>421</v>
      </c>
      <c r="C11" s="44">
        <f>'2a. % By Priority'!C95+'2a. % By Priority'!C96</f>
        <v>3</v>
      </c>
      <c r="D11" s="45">
        <f>'2a. % By Priority'!G95</f>
        <v>1</v>
      </c>
      <c r="E11" s="52">
        <f>'2a. % By Priority'!C97</f>
        <v>0</v>
      </c>
      <c r="F11" s="36">
        <f>'2a. % By Priority'!G97</f>
        <v>0</v>
      </c>
      <c r="G11" s="56">
        <f>'2a. % By Priority'!C100+'2a. % By Priority'!C101</f>
        <v>0</v>
      </c>
      <c r="H11" s="57">
        <f>'2a. % By Priority'!G100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1.75" thickTop="1" thickBot="1">
      <c r="A12" s="42"/>
      <c r="B12" s="48" t="s">
        <v>430</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209</v>
      </c>
      <c r="C13" s="60">
        <f>'3a. % by Portfolio'!C5+'3a. % by Portfolio'!C6</f>
        <v>17</v>
      </c>
      <c r="D13" s="61">
        <f>'3a. % by Portfolio'!G5</f>
        <v>0.94444444444444442</v>
      </c>
      <c r="E13" s="62">
        <f>'3a. % by Portfolio'!C7</f>
        <v>1</v>
      </c>
      <c r="F13" s="63">
        <f>'3a. % by Portfolio'!G7</f>
        <v>5.5555555555555552E-2</v>
      </c>
      <c r="G13" s="64">
        <f>'3a. % by Portfolio'!C10+'3a. % by Portfolio'!C11</f>
        <v>0</v>
      </c>
      <c r="H13" s="65">
        <f>'3a. % by Portfolio'!G10</f>
        <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116</v>
      </c>
      <c r="C14" s="60">
        <f>'3a. % by Portfolio'!C24+'3a. % by Portfolio'!C25</f>
        <v>15</v>
      </c>
      <c r="D14" s="61">
        <f>'3a. % by Portfolio'!G24</f>
        <v>0.83333333333333326</v>
      </c>
      <c r="E14" s="66">
        <f>'3a. % by Portfolio'!C26</f>
        <v>3</v>
      </c>
      <c r="F14" s="63">
        <f>'3a. % by Portfolio'!G26</f>
        <v>0.16666666666666666</v>
      </c>
      <c r="G14" s="64">
        <f>'3a. % by Portfolio'!C29+'3a. % by Portfolio'!C30</f>
        <v>0</v>
      </c>
      <c r="H14" s="65">
        <f>'3a. % by Portfolio'!G29</f>
        <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211</v>
      </c>
      <c r="C15" s="60">
        <f>'3a. % by Portfolio'!C42+'3a. % by Portfolio'!C43</f>
        <v>9</v>
      </c>
      <c r="D15" s="61">
        <f>'3a. % by Portfolio'!G42</f>
        <v>1</v>
      </c>
      <c r="E15" s="66">
        <f>'3a. % by Portfolio'!C44</f>
        <v>0</v>
      </c>
      <c r="F15" s="63">
        <f>'3a. % by Portfolio'!G44</f>
        <v>0</v>
      </c>
      <c r="G15" s="64">
        <f>'3a. % by Portfolio'!C47+'3a. % by Portfolio'!C48</f>
        <v>0</v>
      </c>
      <c r="H15" s="65">
        <f>'3a. % by Portfolio'!G47</f>
        <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429</v>
      </c>
      <c r="C16" s="60">
        <f>'3a. % by Portfolio'!C60+'3a. % by Portfolio'!C61</f>
        <v>10</v>
      </c>
      <c r="D16" s="61">
        <f>'3a. % by Portfolio'!G60</f>
        <v>1</v>
      </c>
      <c r="E16" s="66">
        <f>'3a. % by Portfolio'!C62</f>
        <v>0</v>
      </c>
      <c r="F16" s="63">
        <f>'3a. % by Portfolio'!G62</f>
        <v>0</v>
      </c>
      <c r="G16" s="64">
        <f>'3a. % by Portfolio'!C65+'3a. % by Portfolio'!C66</f>
        <v>0</v>
      </c>
      <c r="H16" s="65">
        <f>'3a. % by Portfolio'!G65</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208</v>
      </c>
      <c r="C17" s="60">
        <f>'3a. % by Portfolio'!C78+'3a. % by Portfolio'!C79</f>
        <v>16</v>
      </c>
      <c r="D17" s="61">
        <f>'3a. % by Portfolio'!G78</f>
        <v>0.88888888888888884</v>
      </c>
      <c r="E17" s="66">
        <f>'3a. % by Portfolio'!C80</f>
        <v>2</v>
      </c>
      <c r="F17" s="63">
        <f>'3a. % by Portfolio'!G80</f>
        <v>0.1111111111111111</v>
      </c>
      <c r="G17" s="64">
        <f>'3a. % by Portfolio'!C83+'3a. % by Portfolio'!C84</f>
        <v>0</v>
      </c>
      <c r="H17" s="65">
        <f>'3a. % by Portfolio'!G83</f>
        <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115</v>
      </c>
      <c r="C18" s="60">
        <f>'3a. % by Portfolio'!C96+'3a. % by Portfolio'!C97</f>
        <v>16</v>
      </c>
      <c r="D18" s="61">
        <f>'3a. % by Portfolio'!G96</f>
        <v>1</v>
      </c>
      <c r="E18" s="66">
        <f>'3a. % by Portfolio'!C98</f>
        <v>0</v>
      </c>
      <c r="F18" s="63">
        <f>'3a. % by Portfolio'!G98</f>
        <v>0</v>
      </c>
      <c r="G18" s="64">
        <f>'3a. % by Portfolio'!C101+'3a. % by Portfolio'!C102</f>
        <v>0</v>
      </c>
      <c r="H18" s="65">
        <f>'3a. % by Portfolio'!G101</f>
        <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75" thickTop="1">
      <c r="D19" s="32"/>
      <c r="E19" s="27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zoomScale="60" zoomScaleNormal="60" workbookViewId="0">
      <selection activeCell="B2" sqref="B2:B3"/>
    </sheetView>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368" t="s">
        <v>435</v>
      </c>
      <c r="C2" s="370" t="s">
        <v>55</v>
      </c>
      <c r="D2" s="371"/>
      <c r="E2" s="372" t="s">
        <v>56</v>
      </c>
      <c r="F2" s="373"/>
      <c r="G2" s="374" t="s">
        <v>57</v>
      </c>
      <c r="H2" s="374"/>
    </row>
    <row r="3" spans="1:40" ht="50.25" customHeight="1" thickTop="1" thickBot="1">
      <c r="B3" s="369"/>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Priority'!J5+'2a. % By Priority'!J6</f>
        <v>114</v>
      </c>
      <c r="D5" s="45">
        <f>'2a. % By Priority'!N5</f>
        <v>0.94214876033057848</v>
      </c>
      <c r="E5" s="46">
        <f>'2a. % By Priority'!J7</f>
        <v>2</v>
      </c>
      <c r="F5" s="36">
        <f>'2a. % By Priority'!N7</f>
        <v>1.6528925619834711E-2</v>
      </c>
      <c r="G5" s="56">
        <f>'2a. % By Priority'!J10+'2a. % By Priority'!J11</f>
        <v>5</v>
      </c>
      <c r="H5" s="57">
        <f>'2a. % By Priority'!N10</f>
        <v>4.1322314049586778E-2</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426</v>
      </c>
      <c r="C7" s="44">
        <f>'2a. % By Priority'!J23+'2a. % By Priority'!J24</f>
        <v>6</v>
      </c>
      <c r="D7" s="45">
        <f>'2a. % By Priority'!N23</f>
        <v>1</v>
      </c>
      <c r="E7" s="52">
        <f>'2a. % By Priority'!J25</f>
        <v>0</v>
      </c>
      <c r="F7" s="36">
        <f>'2a. % By Priority'!N25</f>
        <v>0</v>
      </c>
      <c r="G7" s="56">
        <f>'2a. % By Priority'!J28+'2a. % By Priority'!J29</f>
        <v>0</v>
      </c>
      <c r="H7" s="57">
        <f>'2a. % By Priority'!N28</f>
        <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418</v>
      </c>
      <c r="C8" s="44">
        <f>'2a. % By Priority'!J41+'2a. % By Priority'!J42</f>
        <v>10</v>
      </c>
      <c r="D8" s="45">
        <f>'2a. % By Priority'!N41</f>
        <v>1</v>
      </c>
      <c r="E8" s="52">
        <f>'2a. % By Priority'!J43</f>
        <v>0</v>
      </c>
      <c r="F8" s="36">
        <f>'2a. % By Priority'!N43</f>
        <v>0</v>
      </c>
      <c r="G8" s="56">
        <f>'2a. % By Priority'!J46+'2a. % By Priority'!J47</f>
        <v>0</v>
      </c>
      <c r="H8" s="57">
        <f>'2a. % By Priority'!N46</f>
        <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419</v>
      </c>
      <c r="C9" s="44">
        <f>'2a. % By Priority'!J59+'2a. % By Priority'!J60</f>
        <v>10</v>
      </c>
      <c r="D9" s="45">
        <f>'2a. % By Priority'!N59</f>
        <v>1</v>
      </c>
      <c r="E9" s="52">
        <f>'2a. % By Priority'!J61</f>
        <v>0</v>
      </c>
      <c r="F9" s="36">
        <f>'2a. % By Priority'!N61</f>
        <v>0</v>
      </c>
      <c r="G9" s="56">
        <f>'2a. % By Priority'!J64+'2a. % By Priority'!J65</f>
        <v>0</v>
      </c>
      <c r="H9" s="57">
        <f>'2a. % By Priority'!N64</f>
        <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71" t="s">
        <v>420</v>
      </c>
      <c r="C10" s="44">
        <f>'2a. % By Priority'!J77+'2a. % By Priority'!J78</f>
        <v>4</v>
      </c>
      <c r="D10" s="45">
        <f>'2a. % By Priority'!N77</f>
        <v>1</v>
      </c>
      <c r="E10" s="52">
        <f>'2a. % By Priority'!J79</f>
        <v>0</v>
      </c>
      <c r="F10" s="36">
        <f>'2a. % By Priority'!N79</f>
        <v>0</v>
      </c>
      <c r="G10" s="56">
        <f>'2a. % By Priority'!J82+'2a. % By Priority'!J83</f>
        <v>0</v>
      </c>
      <c r="H10" s="57">
        <f>'2a. % By Priority'!N82</f>
        <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71" t="s">
        <v>421</v>
      </c>
      <c r="C11" s="44">
        <f>'2a. % By Priority'!J95+'2a. % By Priority'!J96</f>
        <v>5</v>
      </c>
      <c r="D11" s="45">
        <f>'2a. % By Priority'!N95</f>
        <v>1</v>
      </c>
      <c r="E11" s="52">
        <f>'2a. % By Priority'!J97</f>
        <v>0</v>
      </c>
      <c r="F11" s="36">
        <f>'2a. % By Priority'!N97</f>
        <v>0</v>
      </c>
      <c r="G11" s="56">
        <f>'2a. % By Priority'!J100+'2a. % By Priority'!J101</f>
        <v>0</v>
      </c>
      <c r="H11" s="57">
        <f>'2a. % By Priority'!N100</f>
        <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1.75" thickTop="1" thickBot="1">
      <c r="A12" s="42"/>
      <c r="B12" s="48" t="s">
        <v>430</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209</v>
      </c>
      <c r="C13" s="60">
        <f>'3a. % by Portfolio'!J5+'3a. % by Portfolio'!J6</f>
        <v>21</v>
      </c>
      <c r="D13" s="61">
        <f>'3a. % by Portfolio'!N5</f>
        <v>0.95454545454545459</v>
      </c>
      <c r="E13" s="62">
        <f>'3a. % by Portfolio'!J7</f>
        <v>0</v>
      </c>
      <c r="F13" s="63">
        <f>'3a. % by Portfolio'!N7</f>
        <v>0</v>
      </c>
      <c r="G13" s="64">
        <f>'3a. % by Portfolio'!J10+'3a. % by Portfolio'!J11</f>
        <v>1</v>
      </c>
      <c r="H13" s="65">
        <f>'3a. % by Portfolio'!N10</f>
        <v>4.5454545454545456E-2</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116</v>
      </c>
      <c r="C14" s="60">
        <f>'3a. % by Portfolio'!J24+'3a. % by Portfolio'!J25</f>
        <v>28</v>
      </c>
      <c r="D14" s="61">
        <f>'3a. % by Portfolio'!N24</f>
        <v>0.90322580645161299</v>
      </c>
      <c r="E14" s="66">
        <f>'3a. % by Portfolio'!J26</f>
        <v>2</v>
      </c>
      <c r="F14" s="63">
        <f>'3a. % by Portfolio'!N26</f>
        <v>6.4516129032258063E-2</v>
      </c>
      <c r="G14" s="64">
        <f>'3a. % by Portfolio'!J29+'3a. % by Portfolio'!J30</f>
        <v>1</v>
      </c>
      <c r="H14" s="65">
        <f>'3a. % by Portfolio'!N29</f>
        <v>3.2258064516129031E-2</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211</v>
      </c>
      <c r="C15" s="60">
        <f>'3a. % by Portfolio'!J42+'3a. % by Portfolio'!J43</f>
        <v>12</v>
      </c>
      <c r="D15" s="61">
        <f>'3a. % by Portfolio'!N42</f>
        <v>1</v>
      </c>
      <c r="E15" s="66">
        <f>'3a. % by Portfolio'!J44</f>
        <v>0</v>
      </c>
      <c r="F15" s="63">
        <f>'3a. % by Portfolio'!N44</f>
        <v>0</v>
      </c>
      <c r="G15" s="64">
        <f>'3a. % by Portfolio'!J47+'3a. % by Portfolio'!J48</f>
        <v>0</v>
      </c>
      <c r="H15" s="65">
        <f>'3a. % by Portfolio'!N47</f>
        <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429</v>
      </c>
      <c r="C16" s="60">
        <f>'3a. % by Portfolio'!J60+'3a. % by Portfolio'!J61</f>
        <v>14</v>
      </c>
      <c r="D16" s="61">
        <f>'3a. % by Portfolio'!N60</f>
        <v>1</v>
      </c>
      <c r="E16" s="66">
        <f>'3a. % by Portfolio'!J62</f>
        <v>0</v>
      </c>
      <c r="F16" s="63">
        <f>'3a. % by Portfolio'!N62</f>
        <v>0</v>
      </c>
      <c r="G16" s="64">
        <f>'3a. % by Portfolio'!J65+'3a. % by Portfolio'!J66</f>
        <v>0</v>
      </c>
      <c r="H16" s="65">
        <f>'3a. % by Portfolio'!N65</f>
        <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208</v>
      </c>
      <c r="C17" s="60">
        <f>'3a. % by Portfolio'!J78+'3a. % by Portfolio'!J79</f>
        <v>20</v>
      </c>
      <c r="D17" s="61">
        <f>'3a. % by Portfolio'!N78</f>
        <v>0.90909090909090906</v>
      </c>
      <c r="E17" s="66">
        <f>'3a. % by Portfolio'!J80</f>
        <v>0</v>
      </c>
      <c r="F17" s="63">
        <f>'3a. % by Portfolio'!N80</f>
        <v>0</v>
      </c>
      <c r="G17" s="64">
        <f>'3a. % by Portfolio'!J83+'3a. % by Portfolio'!J84</f>
        <v>2</v>
      </c>
      <c r="H17" s="65">
        <f>'3a. % by Portfolio'!N83</f>
        <v>9.0909090909090912E-2</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115</v>
      </c>
      <c r="C18" s="60">
        <f>'3a. % by Portfolio'!J96+'3a. % by Portfolio'!J97</f>
        <v>19</v>
      </c>
      <c r="D18" s="61">
        <f>'3a. % by Portfolio'!N96</f>
        <v>0.95</v>
      </c>
      <c r="E18" s="66">
        <f>'3a. % by Portfolio'!J98</f>
        <v>0</v>
      </c>
      <c r="F18" s="63">
        <f>'3a. % by Portfolio'!N98</f>
        <v>0</v>
      </c>
      <c r="G18" s="64">
        <f>'3a. % by Portfolio'!J101+'3a. % by Portfolio'!J102</f>
        <v>1</v>
      </c>
      <c r="H18" s="65">
        <f>'3a. % by Portfolio'!N101</f>
        <v>0.05</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75" thickTop="1">
      <c r="D19" s="3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sheetProtection algorithmName="SHA-512" hashValue="CcfTKf29rjnSFMJaTn14HSxCJZiJCt2ZipVDbPbkZUfViuQSZPLvGDdwWkuQp6kYwWO9+UU33ipCtl5UpwjKCw==" saltValue="tVi8PYasMKs/SA3ltYdNzg=="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workbookViewId="0"/>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368" t="s">
        <v>436</v>
      </c>
      <c r="C2" s="370" t="s">
        <v>55</v>
      </c>
      <c r="D2" s="371"/>
      <c r="E2" s="372" t="s">
        <v>56</v>
      </c>
      <c r="F2" s="373"/>
      <c r="G2" s="374" t="s">
        <v>57</v>
      </c>
      <c r="H2" s="374"/>
    </row>
    <row r="3" spans="1:40" ht="50.25" customHeight="1" thickTop="1" thickBot="1">
      <c r="B3" s="369"/>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Priority'!Q5+'2a. % By Priority'!Q6</f>
        <v>0</v>
      </c>
      <c r="D5" s="45" t="e">
        <f>'2a. % By Priority'!U5</f>
        <v>#DIV/0!</v>
      </c>
      <c r="E5" s="46">
        <f>'2a. % By Priority'!Q7</f>
        <v>0</v>
      </c>
      <c r="F5" s="36" t="e">
        <f>'2a. % By Priority'!U7</f>
        <v>#DIV/0!</v>
      </c>
      <c r="G5" s="56">
        <f>'2a. % By Priority'!Q10+'2a. % By Priority'!Q11</f>
        <v>0</v>
      </c>
      <c r="H5" s="57" t="e">
        <f>'2a. % By Priority'!U10</f>
        <v>#DIV/0!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426</v>
      </c>
      <c r="C7" s="44">
        <f>'2a. % By Priority'!Q23+'2a. % By Priority'!Q24</f>
        <v>0</v>
      </c>
      <c r="D7" s="45" t="e">
        <f>'2a. % By Priority'!U23</f>
        <v>#DIV/0!</v>
      </c>
      <c r="E7" s="52">
        <f>'2a. % By Priority'!Q25</f>
        <v>0</v>
      </c>
      <c r="F7" s="36" t="e">
        <f>'2a. % By Priority'!U25</f>
        <v>#DIV/0!</v>
      </c>
      <c r="G7" s="56">
        <f>'2a. % By Priority'!Q28+'2a. % By Priority'!Q29</f>
        <v>0</v>
      </c>
      <c r="H7" s="57" t="e">
        <f>'2a. % By Priority'!U28</f>
        <v>#DIV/0!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418</v>
      </c>
      <c r="C8" s="44">
        <f>'2a. % By Priority'!Q41+'2a. % By Priority'!Q42</f>
        <v>0</v>
      </c>
      <c r="D8" s="45" t="e">
        <f>'2a. % By Priority'!U41</f>
        <v>#DIV/0!</v>
      </c>
      <c r="E8" s="52">
        <f>'2a. % By Priority'!Q43</f>
        <v>0</v>
      </c>
      <c r="F8" s="36" t="e">
        <f>'2a. % By Priority'!U43</f>
        <v>#DIV/0!</v>
      </c>
      <c r="G8" s="56">
        <f>'2a. % By Priority'!Q46+'2a. % By Priority'!Q47</f>
        <v>0</v>
      </c>
      <c r="H8" s="57" t="e">
        <f>'2a. % By Priority'!U46</f>
        <v>#DIV/0!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419</v>
      </c>
      <c r="C9" s="44">
        <f>'2a. % By Priority'!Q59+'2a. % By Priority'!Q60</f>
        <v>0</v>
      </c>
      <c r="D9" s="45" t="e">
        <f>'2a. % By Priority'!U59</f>
        <v>#DIV/0!</v>
      </c>
      <c r="E9" s="52">
        <f>'2a. % By Priority'!Q61</f>
        <v>0</v>
      </c>
      <c r="F9" s="36" t="e">
        <f>'2a. % By Priority'!U61</f>
        <v>#DIV/0!</v>
      </c>
      <c r="G9" s="56">
        <f>'2a. % By Priority'!Q64+'2a. % By Priority'!Q65</f>
        <v>0</v>
      </c>
      <c r="H9" s="57" t="e">
        <f>'2a. % By Priority'!U64</f>
        <v>#DIV/0!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71" t="s">
        <v>420</v>
      </c>
      <c r="C10" s="44">
        <f>'2a. % By Priority'!Q77+'2a. % By Priority'!Q78</f>
        <v>0</v>
      </c>
      <c r="D10" s="45" t="e">
        <f>'2a. % By Priority'!U77</f>
        <v>#DIV/0!</v>
      </c>
      <c r="E10" s="52">
        <f>'2a. % By Priority'!Q79</f>
        <v>0</v>
      </c>
      <c r="F10" s="36" t="e">
        <f>'2a. % By Priority'!U79</f>
        <v>#DIV/0!</v>
      </c>
      <c r="G10" s="56">
        <f>'2a. % By Priority'!Q82+'2a. % By Priority'!Q83</f>
        <v>0</v>
      </c>
      <c r="H10" s="57" t="e">
        <f>'2a. % By Priority'!U82</f>
        <v>#DIV/0!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71" t="s">
        <v>421</v>
      </c>
      <c r="C11" s="44">
        <f>'2a. % By Priority'!Q95+'2a. % By Priority'!Q96</f>
        <v>0</v>
      </c>
      <c r="D11" s="45" t="e">
        <f>'2a. % By Priority'!U95</f>
        <v>#DIV/0!</v>
      </c>
      <c r="E11" s="52">
        <f>'2a. % By Priority'!Q97</f>
        <v>0</v>
      </c>
      <c r="F11" s="36" t="e">
        <f>'2a. % By Priority'!U97</f>
        <v>#DIV/0!</v>
      </c>
      <c r="G11" s="56">
        <f>'2a. % By Priority'!Q100+'2a. % By Priority'!Q101</f>
        <v>0</v>
      </c>
      <c r="H11" s="57" t="e">
        <f>'2a. % By Priority'!U100</f>
        <v>#DIV/0!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1.75" thickTop="1" thickBot="1">
      <c r="A12" s="42"/>
      <c r="B12" s="48" t="s">
        <v>430</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209</v>
      </c>
      <c r="C13" s="60">
        <f>'3a. % by Portfolio'!Q5+'3a. % by Portfolio'!Q6</f>
        <v>0</v>
      </c>
      <c r="D13" s="61" t="e">
        <f>'3a. % by Portfolio'!U5</f>
        <v>#DIV/0!</v>
      </c>
      <c r="E13" s="62">
        <f>'3a. % by Portfolio'!Q7</f>
        <v>0</v>
      </c>
      <c r="F13" s="63" t="e">
        <f>'3a. % by Portfolio'!U7</f>
        <v>#DIV/0!</v>
      </c>
      <c r="G13" s="64">
        <f>'3a. % by Portfolio'!Q10+'3a. % by Portfolio'!Q11</f>
        <v>0</v>
      </c>
      <c r="H13" s="65" t="e">
        <f>'3a. % by Portfolio'!U10</f>
        <v>#DIV/0!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116</v>
      </c>
      <c r="C14" s="60">
        <f>'3a. % by Portfolio'!Q24+'3a. % by Portfolio'!Q25</f>
        <v>0</v>
      </c>
      <c r="D14" s="61" t="e">
        <f>'3a. % by Portfolio'!U24</f>
        <v>#DIV/0!</v>
      </c>
      <c r="E14" s="66">
        <f>'3a. % by Portfolio'!Q26</f>
        <v>0</v>
      </c>
      <c r="F14" s="63" t="e">
        <f>'3a. % by Portfolio'!U26</f>
        <v>#DIV/0!</v>
      </c>
      <c r="G14" s="64">
        <f>'3a. % by Portfolio'!Q29+'3a. % by Portfolio'!Q30</f>
        <v>0</v>
      </c>
      <c r="H14" s="65" t="e">
        <f>'3a. % by Portfolio'!U29</f>
        <v>#DIV/0!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211</v>
      </c>
      <c r="C15" s="60">
        <f>'3a. % by Portfolio'!Q42+'3a. % by Portfolio'!Q43</f>
        <v>0</v>
      </c>
      <c r="D15" s="61" t="e">
        <f>'3a. % by Portfolio'!U42</f>
        <v>#DIV/0!</v>
      </c>
      <c r="E15" s="66">
        <f>'3a. % by Portfolio'!Q44</f>
        <v>0</v>
      </c>
      <c r="F15" s="63" t="e">
        <f>'3a. % by Portfolio'!U44</f>
        <v>#DIV/0!</v>
      </c>
      <c r="G15" s="64">
        <f>'3a. % by Portfolio'!Q47+'3a. % by Portfolio'!Q48</f>
        <v>0</v>
      </c>
      <c r="H15" s="65" t="e">
        <f>'3a. % by Portfolio'!U47</f>
        <v>#DIV/0!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429</v>
      </c>
      <c r="C16" s="60">
        <f>'3a. % by Portfolio'!Q60+'3a. % by Portfolio'!Q61</f>
        <v>0</v>
      </c>
      <c r="D16" s="61" t="e">
        <f>'3a. % by Portfolio'!U60</f>
        <v>#DIV/0!</v>
      </c>
      <c r="E16" s="66">
        <f>'3a. % by Portfolio'!Q62</f>
        <v>0</v>
      </c>
      <c r="F16" s="63" t="e">
        <f>'3a. % by Portfolio'!U62</f>
        <v>#DIV/0!</v>
      </c>
      <c r="G16" s="64">
        <f>'3a. % by Portfolio'!Q65+'3a. % by Portfolio'!Q66</f>
        <v>0</v>
      </c>
      <c r="H16" s="65" t="e">
        <f>'3a. % by Portfolio'!U65</f>
        <v>#DIV/0!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208</v>
      </c>
      <c r="C17" s="60">
        <f>'3a. % by Portfolio'!Q78+'3a. % by Portfolio'!Q79</f>
        <v>0</v>
      </c>
      <c r="D17" s="61" t="e">
        <f>'3a. % by Portfolio'!U78</f>
        <v>#DIV/0!</v>
      </c>
      <c r="E17" s="66">
        <f>'3a. % by Portfolio'!Q80</f>
        <v>0</v>
      </c>
      <c r="F17" s="63" t="e">
        <f>'3a. % by Portfolio'!U80</f>
        <v>#DIV/0!</v>
      </c>
      <c r="G17" s="64">
        <f>'3a. % by Portfolio'!Q83+'3a. % by Portfolio'!Q84</f>
        <v>0</v>
      </c>
      <c r="H17" s="65" t="e">
        <f>'3a. % by Portfolio'!U83</f>
        <v>#DIV/0!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115</v>
      </c>
      <c r="C18" s="60">
        <f>'3a. % by Portfolio'!Q96+'3a. % by Portfolio'!Q97</f>
        <v>0</v>
      </c>
      <c r="D18" s="61" t="e">
        <f>'3a. % by Portfolio'!U96</f>
        <v>#DIV/0!</v>
      </c>
      <c r="E18" s="66">
        <f>'3a. % by Portfolio'!Q98</f>
        <v>0</v>
      </c>
      <c r="F18" s="63" t="e">
        <f>'3a. % by Portfolio'!U98</f>
        <v>#DIV/0!</v>
      </c>
      <c r="G18" s="64">
        <f>'3a. % by Portfolio'!Q101+'3a. % by Portfolio'!Q102</f>
        <v>0</v>
      </c>
      <c r="H18" s="65" t="e">
        <f>'3a. % by Portfolio'!U101</f>
        <v>#DIV/0!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75" thickTop="1">
      <c r="D19" s="3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8"/>
  <sheetViews>
    <sheetView workbookViewId="0"/>
  </sheetViews>
  <sheetFormatPr defaultColWidth="9.28515625" defaultRowHeight="15"/>
  <cols>
    <col min="1" max="1" width="9.28515625" style="30"/>
    <col min="2" max="2" width="49.5703125" style="4" customWidth="1"/>
    <col min="3" max="3" width="27.28515625" style="4" customWidth="1"/>
    <col min="4" max="4" width="27.28515625" style="53" customWidth="1"/>
    <col min="5" max="8" width="27.28515625" style="4" customWidth="1"/>
    <col min="9" max="40" width="9.28515625" style="30"/>
    <col min="41" max="16384" width="9.28515625" style="4"/>
  </cols>
  <sheetData>
    <row r="1" spans="1:40" s="30" customFormat="1" ht="33" customHeight="1" thickBot="1">
      <c r="B1" s="31"/>
      <c r="D1" s="32"/>
    </row>
    <row r="2" spans="1:40" ht="40.5" customHeight="1" thickTop="1" thickBot="1">
      <c r="B2" s="368" t="s">
        <v>437</v>
      </c>
      <c r="C2" s="370" t="s">
        <v>55</v>
      </c>
      <c r="D2" s="371"/>
      <c r="E2" s="372" t="s">
        <v>56</v>
      </c>
      <c r="F2" s="373"/>
      <c r="G2" s="374" t="s">
        <v>57</v>
      </c>
      <c r="H2" s="374"/>
    </row>
    <row r="3" spans="1:40" ht="50.25" customHeight="1" thickTop="1" thickBot="1">
      <c r="B3" s="369"/>
      <c r="C3" s="33" t="s">
        <v>58</v>
      </c>
      <c r="D3" s="34" t="s">
        <v>59</v>
      </c>
      <c r="E3" s="35" t="s">
        <v>58</v>
      </c>
      <c r="F3" s="36" t="s">
        <v>59</v>
      </c>
      <c r="G3" s="54" t="s">
        <v>58</v>
      </c>
      <c r="H3" s="55" t="s">
        <v>59</v>
      </c>
    </row>
    <row r="4" spans="1:40" s="41" customFormat="1" ht="21.75" thickTop="1" thickBot="1">
      <c r="A4" s="37"/>
      <c r="B4" s="38" t="s">
        <v>60</v>
      </c>
      <c r="C4" s="1"/>
      <c r="D4" s="39"/>
      <c r="E4" s="1"/>
      <c r="F4" s="1"/>
      <c r="G4" s="1"/>
      <c r="H4" s="40"/>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row>
    <row r="5" spans="1:40" s="47" customFormat="1" ht="37.5" customHeight="1" thickTop="1" thickBot="1">
      <c r="A5" s="42"/>
      <c r="B5" s="43" t="s">
        <v>61</v>
      </c>
      <c r="C5" s="44">
        <f>'2a. % By Priority'!X5+'2a. % By Priority'!X6</f>
        <v>0</v>
      </c>
      <c r="D5" s="45" t="e">
        <f>'2a. % By Priority'!AB5</f>
        <v>#DIV/0!</v>
      </c>
      <c r="E5" s="46">
        <f>'2a. % By Priority'!X7+'2a. % By Priority'!X8+'2a. % By Priority'!X9</f>
        <v>0</v>
      </c>
      <c r="F5" s="36" t="e">
        <f>'2a. % By Priority'!AB7</f>
        <v>#DIV/0!</v>
      </c>
      <c r="G5" s="56">
        <f>'2a. % By Priority'!X10+'2a. % By Priority'!X11</f>
        <v>0</v>
      </c>
      <c r="H5" s="57" t="e">
        <f>'2a. % By Priority'!AB10</f>
        <v>#DIV/0!</v>
      </c>
      <c r="I5" s="42"/>
      <c r="J5" s="226"/>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row>
    <row r="6" spans="1:40" s="47" customFormat="1" ht="21.75" thickTop="1" thickBot="1">
      <c r="A6" s="42"/>
      <c r="B6" s="48" t="s">
        <v>62</v>
      </c>
      <c r="C6" s="49"/>
      <c r="D6" s="50"/>
      <c r="E6" s="49"/>
      <c r="F6" s="50"/>
      <c r="G6" s="49"/>
      <c r="H6" s="51"/>
      <c r="I6" s="42"/>
      <c r="J6" s="226"/>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row>
    <row r="7" spans="1:40" s="47" customFormat="1" ht="37.5" customHeight="1" thickTop="1" thickBot="1">
      <c r="A7" s="42"/>
      <c r="B7" s="43" t="s">
        <v>426</v>
      </c>
      <c r="C7" s="44">
        <f>'2a. % By Priority'!X23+'2a. % By Priority'!X24</f>
        <v>0</v>
      </c>
      <c r="D7" s="45" t="e">
        <f>'2a. % By Priority'!AB23</f>
        <v>#DIV/0!</v>
      </c>
      <c r="E7" s="52">
        <f>'2a. % By Priority'!X25+'2a. % By Priority'!X26+'2a. % By Priority'!X27</f>
        <v>0</v>
      </c>
      <c r="F7" s="36" t="e">
        <f>'2a. % By Priority'!AB25</f>
        <v>#DIV/0!</v>
      </c>
      <c r="G7" s="56">
        <f>'2a. % By Priority'!X28+'2a. % By Priority'!X29</f>
        <v>0</v>
      </c>
      <c r="H7" s="57" t="e">
        <f>'2a. % By Priority'!AB28</f>
        <v>#DIV/0!</v>
      </c>
      <c r="I7" s="42"/>
      <c r="J7" s="226"/>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row>
    <row r="8" spans="1:40" s="47" customFormat="1" ht="37.5" customHeight="1" thickTop="1" thickBot="1">
      <c r="A8" s="42"/>
      <c r="B8" s="43" t="s">
        <v>418</v>
      </c>
      <c r="C8" s="44">
        <f>'2a. % By Priority'!X41+'2a. % By Priority'!X42</f>
        <v>0</v>
      </c>
      <c r="D8" s="45" t="e">
        <f>'2a. % By Priority'!AB41</f>
        <v>#DIV/0!</v>
      </c>
      <c r="E8" s="52">
        <f>'2a. % By Priority'!X43+'2a. % By Priority'!X44+'2a. % By Priority'!X45</f>
        <v>0</v>
      </c>
      <c r="F8" s="36" t="e">
        <f>'2a. % By Priority'!AB43</f>
        <v>#DIV/0!</v>
      </c>
      <c r="G8" s="56">
        <f>'2a. % By Priority'!X46+'2a. % By Priority'!X47</f>
        <v>0</v>
      </c>
      <c r="H8" s="57" t="e">
        <f>'2a. % By Priority'!AB46</f>
        <v>#DIV/0!</v>
      </c>
      <c r="I8" s="42"/>
      <c r="J8" s="226"/>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row>
    <row r="9" spans="1:40" s="47" customFormat="1" ht="37.5" customHeight="1" thickTop="1" thickBot="1">
      <c r="A9" s="42"/>
      <c r="B9" s="43" t="s">
        <v>419</v>
      </c>
      <c r="C9" s="44">
        <f>'2a. % By Priority'!X59+'2a. % By Priority'!X60</f>
        <v>0</v>
      </c>
      <c r="D9" s="45" t="e">
        <f>'2a. % By Priority'!AB59</f>
        <v>#DIV/0!</v>
      </c>
      <c r="E9" s="52">
        <f>'2a. % By Priority'!X61+'2a. % By Priority'!X62+'2a. % By Priority'!X63</f>
        <v>0</v>
      </c>
      <c r="F9" s="36" t="e">
        <f>'2a. % By Priority'!AB61</f>
        <v>#DIV/0!</v>
      </c>
      <c r="G9" s="56">
        <f>'2a. % By Priority'!X64+'2a. % By Priority'!X65</f>
        <v>0</v>
      </c>
      <c r="H9" s="57" t="e">
        <f>'2a. % By Priority'!AB64</f>
        <v>#DIV/0!</v>
      </c>
      <c r="I9" s="42"/>
      <c r="J9" s="226"/>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row>
    <row r="10" spans="1:40" s="47" customFormat="1" ht="37.5" customHeight="1" thickTop="1" thickBot="1">
      <c r="A10" s="42"/>
      <c r="B10" s="271" t="s">
        <v>420</v>
      </c>
      <c r="C10" s="44">
        <f>'2a. % By Priority'!X77+'2a. % By Priority'!X78</f>
        <v>0</v>
      </c>
      <c r="D10" s="45" t="e">
        <f>'2a. % By Priority'!AB77</f>
        <v>#DIV/0!</v>
      </c>
      <c r="E10" s="52">
        <f>'2a. % By Priority'!X79+'2a. % By Priority'!X80+'2a. % By Priority'!X81</f>
        <v>0</v>
      </c>
      <c r="F10" s="36" t="e">
        <f>'2a. % By Priority'!AB79</f>
        <v>#DIV/0!</v>
      </c>
      <c r="G10" s="56">
        <f>'2a. % By Priority'!X82+'2a. % By Priority'!X83</f>
        <v>0</v>
      </c>
      <c r="H10" s="57" t="e">
        <f>'2a. % By Priority'!AB82</f>
        <v>#DIV/0!</v>
      </c>
      <c r="I10" s="42"/>
      <c r="J10" s="226"/>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row>
    <row r="11" spans="1:40" s="47" customFormat="1" ht="37.5" customHeight="1" thickTop="1" thickBot="1">
      <c r="A11" s="42"/>
      <c r="B11" s="271" t="s">
        <v>421</v>
      </c>
      <c r="C11" s="44">
        <f>'2a. % By Priority'!X95+'2a. % By Priority'!X96</f>
        <v>0</v>
      </c>
      <c r="D11" s="45" t="e">
        <f>'2a. % By Priority'!AB95</f>
        <v>#DIV/0!</v>
      </c>
      <c r="E11" s="52">
        <f>'2a. % By Priority'!X97+'2a. % By Priority'!X98+'2a. % By Priority'!X99</f>
        <v>0</v>
      </c>
      <c r="F11" s="36" t="e">
        <f>'2a. % By Priority'!AB97</f>
        <v>#DIV/0!</v>
      </c>
      <c r="G11" s="56">
        <f>'2a. % By Priority'!X100+'2a. % By Priority'!X101</f>
        <v>0</v>
      </c>
      <c r="H11" s="57" t="e">
        <f>'2a. % By Priority'!AB100</f>
        <v>#DIV/0!</v>
      </c>
      <c r="I11" s="42"/>
      <c r="J11" s="226"/>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row>
    <row r="12" spans="1:40" s="47" customFormat="1" ht="21.75" thickTop="1" thickBot="1">
      <c r="A12" s="42"/>
      <c r="B12" s="48" t="s">
        <v>430</v>
      </c>
      <c r="C12" s="49"/>
      <c r="D12" s="50"/>
      <c r="E12" s="49"/>
      <c r="F12" s="50"/>
      <c r="G12" s="49"/>
      <c r="H12" s="51"/>
      <c r="I12" s="42"/>
      <c r="J12" s="226"/>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row>
    <row r="13" spans="1:40" s="47" customFormat="1" ht="37.5" customHeight="1" thickTop="1" thickBot="1">
      <c r="A13" s="42"/>
      <c r="B13" s="59" t="s">
        <v>209</v>
      </c>
      <c r="C13" s="60">
        <f>'3a. % by Portfolio'!X5+'3a. % by Portfolio'!X6</f>
        <v>0</v>
      </c>
      <c r="D13" s="61" t="e">
        <f>'3a. % by Portfolio'!AB5</f>
        <v>#DIV/0!</v>
      </c>
      <c r="E13" s="62">
        <f>'3a. % by Portfolio'!X7+'3a. % by Portfolio'!X8+'3a. % by Portfolio'!X9</f>
        <v>0</v>
      </c>
      <c r="F13" s="63" t="e">
        <f>'3a. % by Portfolio'!AB7</f>
        <v>#DIV/0!</v>
      </c>
      <c r="G13" s="64">
        <f>'3a. % by Portfolio'!X10+'3a. % by Portfolio'!X11</f>
        <v>0</v>
      </c>
      <c r="H13" s="65" t="e">
        <f>'3a. % by Portfolio'!AB10</f>
        <v>#DIV/0!</v>
      </c>
      <c r="I13" s="42"/>
      <c r="J13" s="226"/>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row>
    <row r="14" spans="1:40" s="47" customFormat="1" ht="37.5" customHeight="1" thickTop="1" thickBot="1">
      <c r="A14" s="42"/>
      <c r="B14" s="59" t="s">
        <v>116</v>
      </c>
      <c r="C14" s="60">
        <f>'3a. % by Portfolio'!X24+'3a. % by Portfolio'!X25</f>
        <v>0</v>
      </c>
      <c r="D14" s="61" t="e">
        <f>'3a. % by Portfolio'!AB24</f>
        <v>#DIV/0!</v>
      </c>
      <c r="E14" s="66">
        <f>'3a. % by Portfolio'!X26+'3a. % by Portfolio'!X27+'3a. % by Portfolio'!X28</f>
        <v>0</v>
      </c>
      <c r="F14" s="63" t="e">
        <f>'3a. % by Portfolio'!AB26</f>
        <v>#DIV/0!</v>
      </c>
      <c r="G14" s="64">
        <f>'3a. % by Portfolio'!X29+'3a. % by Portfolio'!X30</f>
        <v>0</v>
      </c>
      <c r="H14" s="65" t="e">
        <f>'3a. % by Portfolio'!AB29</f>
        <v>#DIV/0!</v>
      </c>
      <c r="I14" s="42"/>
      <c r="J14" s="226"/>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row>
    <row r="15" spans="1:40" s="47" customFormat="1" ht="37.5" customHeight="1" thickTop="1" thickBot="1">
      <c r="A15" s="42"/>
      <c r="B15" s="59" t="s">
        <v>211</v>
      </c>
      <c r="C15" s="60">
        <f>'3a. % by Portfolio'!X42+'3a. % by Portfolio'!X43</f>
        <v>0</v>
      </c>
      <c r="D15" s="61" t="e">
        <f>'3a. % by Portfolio'!AB42</f>
        <v>#DIV/0!</v>
      </c>
      <c r="E15" s="66">
        <f>'3a. % by Portfolio'!X44+'3a. % by Portfolio'!X45+'3a. % by Portfolio'!X46</f>
        <v>0</v>
      </c>
      <c r="F15" s="63" t="e">
        <f>'3a. % by Portfolio'!AB44</f>
        <v>#DIV/0!</v>
      </c>
      <c r="G15" s="64">
        <f>'3a. % by Portfolio'!X47+'3a. % by Portfolio'!X48</f>
        <v>0</v>
      </c>
      <c r="H15" s="65" t="e">
        <f>'3a. % by Portfolio'!AB47</f>
        <v>#DIV/0!</v>
      </c>
      <c r="I15" s="42"/>
      <c r="J15" s="226"/>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row>
    <row r="16" spans="1:40" s="47" customFormat="1" ht="37.5" customHeight="1" thickTop="1" thickBot="1">
      <c r="A16" s="42"/>
      <c r="B16" s="59" t="s">
        <v>429</v>
      </c>
      <c r="C16" s="60">
        <f>'3a. % by Portfolio'!X60+'3a. % by Portfolio'!X61</f>
        <v>0</v>
      </c>
      <c r="D16" s="61" t="e">
        <f>'3a. % by Portfolio'!AB60</f>
        <v>#DIV/0!</v>
      </c>
      <c r="E16" s="66">
        <f>'3a. % by Portfolio'!X62+'3a. % by Portfolio'!X63+'3a. % by Portfolio'!X64</f>
        <v>0</v>
      </c>
      <c r="F16" s="63" t="e">
        <f>'3a. % by Portfolio'!AB62</f>
        <v>#DIV/0!</v>
      </c>
      <c r="G16" s="64">
        <f>'3a. % by Portfolio'!X65+'3a. % by Portfolio'!X66</f>
        <v>0</v>
      </c>
      <c r="H16" s="65" t="e">
        <f>'3a. % by Portfolio'!AB65</f>
        <v>#DIV/0!</v>
      </c>
      <c r="I16" s="42"/>
      <c r="J16" s="226"/>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row>
    <row r="17" spans="1:40" s="47" customFormat="1" ht="37.5" customHeight="1" thickTop="1" thickBot="1">
      <c r="A17" s="42"/>
      <c r="B17" s="59" t="s">
        <v>208</v>
      </c>
      <c r="C17" s="60">
        <f>'3a. % by Portfolio'!X78+'3a. % by Portfolio'!X79</f>
        <v>0</v>
      </c>
      <c r="D17" s="61" t="e">
        <f>'3a. % by Portfolio'!AB78</f>
        <v>#DIV/0!</v>
      </c>
      <c r="E17" s="66">
        <f>'3a. % by Portfolio'!X80+'3a. % by Portfolio'!X81+'3a. % by Portfolio'!X82</f>
        <v>0</v>
      </c>
      <c r="F17" s="63" t="e">
        <f>'3a. % by Portfolio'!AB80</f>
        <v>#DIV/0!</v>
      </c>
      <c r="G17" s="64">
        <f>'3a. % by Portfolio'!X83+'3a. % by Portfolio'!X84</f>
        <v>0</v>
      </c>
      <c r="H17" s="65" t="e">
        <f>'3a. % by Portfolio'!AB83</f>
        <v>#DIV/0!</v>
      </c>
      <c r="I17" s="42"/>
      <c r="J17" s="226"/>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row>
    <row r="18" spans="1:40" s="47" customFormat="1" ht="37.5" customHeight="1" thickTop="1" thickBot="1">
      <c r="A18" s="42"/>
      <c r="B18" s="59" t="s">
        <v>115</v>
      </c>
      <c r="C18" s="60">
        <f>'3a. % by Portfolio'!X96+'3a. % by Portfolio'!X97</f>
        <v>0</v>
      </c>
      <c r="D18" s="61" t="e">
        <f>'3a. % by Portfolio'!AB96</f>
        <v>#DIV/0!</v>
      </c>
      <c r="E18" s="66">
        <f>'3a. % by Portfolio'!X98+'3a. % by Portfolio'!X99+'3a. % by Portfolio'!X100</f>
        <v>0</v>
      </c>
      <c r="F18" s="63" t="e">
        <f>'3a. % by Portfolio'!AB98</f>
        <v>#DIV/0!</v>
      </c>
      <c r="G18" s="64">
        <f>'3a. % by Portfolio'!X101+'3a. % by Portfolio'!X102</f>
        <v>0</v>
      </c>
      <c r="H18" s="65" t="e">
        <f>'3a. % by Portfolio'!AB101</f>
        <v>#DIV/0!</v>
      </c>
      <c r="I18" s="42"/>
      <c r="J18" s="226"/>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row>
    <row r="19" spans="1:40" s="30" customFormat="1" ht="15.75" thickTop="1">
      <c r="D19" s="32"/>
    </row>
    <row r="20" spans="1:40" s="30" customFormat="1">
      <c r="D20" s="32"/>
    </row>
    <row r="21" spans="1:40" s="30" customFormat="1">
      <c r="D21" s="32"/>
    </row>
    <row r="22" spans="1:40" s="30" customFormat="1">
      <c r="D22" s="32"/>
    </row>
    <row r="23" spans="1:40" s="30" customFormat="1">
      <c r="D23" s="32"/>
    </row>
    <row r="24" spans="1:40" s="30" customFormat="1">
      <c r="D24" s="32"/>
    </row>
    <row r="25" spans="1:40" s="30" customFormat="1">
      <c r="D25" s="32"/>
    </row>
    <row r="26" spans="1:40" s="30" customFormat="1">
      <c r="D26" s="32"/>
    </row>
    <row r="27" spans="1:40" s="30" customFormat="1">
      <c r="D27" s="32"/>
    </row>
    <row r="28" spans="1:40" s="30" customFormat="1">
      <c r="D28" s="32"/>
    </row>
    <row r="29" spans="1:40" s="30" customFormat="1">
      <c r="D29" s="32"/>
    </row>
    <row r="30" spans="1:40" s="30" customFormat="1">
      <c r="D30" s="32"/>
    </row>
    <row r="31" spans="1:40" s="30" customFormat="1">
      <c r="D31" s="32"/>
    </row>
    <row r="32" spans="1:40" s="30" customFormat="1">
      <c r="D32" s="32"/>
    </row>
    <row r="33" spans="4:4" s="30" customFormat="1">
      <c r="D33" s="32"/>
    </row>
    <row r="34" spans="4:4" s="30" customFormat="1">
      <c r="D34" s="32"/>
    </row>
    <row r="35" spans="4:4" s="30" customFormat="1">
      <c r="D35" s="32"/>
    </row>
    <row r="36" spans="4:4" s="30" customFormat="1">
      <c r="D36" s="32"/>
    </row>
    <row r="37" spans="4:4" s="30" customFormat="1">
      <c r="D37" s="32"/>
    </row>
    <row r="38" spans="4:4" s="30" customFormat="1">
      <c r="D38" s="32"/>
    </row>
    <row r="39" spans="4:4" s="30" customFormat="1">
      <c r="D39" s="32"/>
    </row>
    <row r="40" spans="4:4" s="30" customFormat="1">
      <c r="D40" s="32"/>
    </row>
    <row r="41" spans="4:4" s="30" customFormat="1">
      <c r="D41" s="32"/>
    </row>
    <row r="42" spans="4:4" s="30" customFormat="1">
      <c r="D42" s="32"/>
    </row>
    <row r="43" spans="4:4" s="30" customFormat="1">
      <c r="D43" s="32"/>
    </row>
    <row r="44" spans="4:4" s="30" customFormat="1">
      <c r="D44" s="32"/>
    </row>
    <row r="45" spans="4:4" s="30" customFormat="1">
      <c r="D45" s="32"/>
    </row>
    <row r="46" spans="4:4" s="30" customFormat="1">
      <c r="D46" s="32"/>
    </row>
    <row r="47" spans="4:4" s="30" customFormat="1">
      <c r="D47" s="32"/>
    </row>
    <row r="48" spans="4:4" s="30" customFormat="1">
      <c r="D48" s="32"/>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125"/>
  <sheetViews>
    <sheetView zoomScale="80" zoomScaleNormal="80" workbookViewId="0">
      <pane xSplit="1" ySplit="1" topLeftCell="B2" activePane="bottomRight" state="frozen"/>
      <selection pane="topRight" activeCell="B1" sqref="B1"/>
      <selection pane="bottomLeft" activeCell="A2" sqref="A2"/>
      <selection pane="bottomRight" activeCell="I4" sqref="I4"/>
    </sheetView>
  </sheetViews>
  <sheetFormatPr defaultColWidth="9.28515625" defaultRowHeight="14.25"/>
  <cols>
    <col min="1" max="1" width="2.28515625" style="157" customWidth="1"/>
    <col min="2" max="2" width="38.7109375" style="157" hidden="1" customWidth="1"/>
    <col min="3" max="3" width="13.5703125" style="154" hidden="1" customWidth="1"/>
    <col min="4" max="4" width="13.7109375" style="154" hidden="1" customWidth="1"/>
    <col min="5" max="5" width="16.42578125" style="154" hidden="1" customWidth="1"/>
    <col min="6" max="6" width="14.28515625" style="154" hidden="1" customWidth="1"/>
    <col min="7" max="7" width="17.28515625" style="154" hidden="1" customWidth="1"/>
    <col min="8" max="8" width="4.5703125" style="154" customWidth="1"/>
    <col min="9" max="9" width="38.7109375" style="157" customWidth="1"/>
    <col min="10" max="10" width="13.5703125" style="154" customWidth="1"/>
    <col min="11" max="11" width="13.7109375" style="154" customWidth="1"/>
    <col min="12" max="12" width="16.42578125" style="154" customWidth="1"/>
    <col min="13" max="13" width="14.28515625" style="154" customWidth="1"/>
    <col min="14" max="14" width="17.28515625" style="154" customWidth="1"/>
    <col min="15" max="15" width="4.5703125" style="154" customWidth="1"/>
    <col min="16" max="16" width="38.7109375" style="157" hidden="1" customWidth="1"/>
    <col min="17" max="17" width="13.5703125" style="154" hidden="1" customWidth="1"/>
    <col min="18" max="18" width="13.7109375" style="154" hidden="1" customWidth="1"/>
    <col min="19" max="19" width="16.42578125" style="154" hidden="1" customWidth="1"/>
    <col min="20" max="20" width="14.28515625" style="154" hidden="1" customWidth="1"/>
    <col min="21" max="21" width="17.28515625" style="154" hidden="1" customWidth="1"/>
    <col min="22" max="22" width="4.5703125" style="154" hidden="1" customWidth="1"/>
    <col min="23" max="23" width="55.42578125" style="154" hidden="1" customWidth="1"/>
    <col min="24" max="24" width="14.5703125" style="154" hidden="1" customWidth="1"/>
    <col min="25" max="27" width="17.28515625" style="154" hidden="1" customWidth="1"/>
    <col min="28" max="28" width="17.28515625" style="181" hidden="1" customWidth="1"/>
    <col min="29" max="29" width="1.7109375" style="157" hidden="1" customWidth="1"/>
    <col min="30" max="30" width="12" style="157" hidden="1" customWidth="1"/>
    <col min="31" max="32" width="9.28515625" style="157" customWidth="1"/>
    <col min="33" max="16384" width="9.28515625" style="157"/>
  </cols>
  <sheetData>
    <row r="1" spans="2:31" s="151" customFormat="1" ht="20.25">
      <c r="B1" s="143" t="s">
        <v>439</v>
      </c>
      <c r="C1" s="144"/>
      <c r="D1" s="145"/>
      <c r="E1" s="145"/>
      <c r="F1" s="145"/>
      <c r="G1" s="145"/>
      <c r="H1" s="146"/>
      <c r="I1" s="143" t="s">
        <v>432</v>
      </c>
      <c r="J1" s="144"/>
      <c r="K1" s="145"/>
      <c r="L1" s="145"/>
      <c r="M1" s="145"/>
      <c r="N1" s="145"/>
      <c r="O1" s="146"/>
      <c r="P1" s="147" t="s">
        <v>433</v>
      </c>
      <c r="Q1" s="144"/>
      <c r="R1" s="145"/>
      <c r="S1" s="145"/>
      <c r="T1" s="145"/>
      <c r="U1" s="145"/>
      <c r="V1" s="146"/>
      <c r="W1" s="148" t="s">
        <v>434</v>
      </c>
      <c r="X1" s="149"/>
      <c r="Y1" s="149"/>
      <c r="Z1" s="149"/>
      <c r="AA1" s="149"/>
      <c r="AB1" s="150"/>
    </row>
    <row r="2" spans="2:31" ht="15.75">
      <c r="B2" s="152"/>
      <c r="C2" s="153"/>
      <c r="D2" s="153"/>
      <c r="E2" s="153"/>
      <c r="F2" s="153"/>
      <c r="G2" s="153"/>
      <c r="I2" s="152"/>
      <c r="J2" s="153"/>
      <c r="K2" s="153"/>
      <c r="L2" s="153"/>
      <c r="M2" s="153"/>
      <c r="N2" s="153"/>
      <c r="P2" s="152"/>
      <c r="Q2" s="153"/>
      <c r="R2" s="153"/>
      <c r="S2" s="153"/>
      <c r="T2" s="153"/>
      <c r="U2" s="153"/>
      <c r="W2" s="155"/>
      <c r="X2" s="155"/>
      <c r="Y2" s="155"/>
      <c r="Z2" s="155"/>
      <c r="AA2" s="155"/>
      <c r="AB2" s="156"/>
    </row>
    <row r="3" spans="2:31" ht="15.75">
      <c r="B3" s="158" t="s">
        <v>41</v>
      </c>
      <c r="C3" s="159"/>
      <c r="D3" s="159"/>
      <c r="E3" s="159"/>
      <c r="F3" s="159"/>
      <c r="G3" s="160"/>
      <c r="I3" s="158" t="s">
        <v>41</v>
      </c>
      <c r="J3" s="159"/>
      <c r="K3" s="159"/>
      <c r="L3" s="159"/>
      <c r="M3" s="159"/>
      <c r="N3" s="160"/>
      <c r="P3" s="158" t="s">
        <v>41</v>
      </c>
      <c r="Q3" s="159"/>
      <c r="R3" s="159"/>
      <c r="S3" s="159"/>
      <c r="T3" s="159"/>
      <c r="U3" s="160"/>
      <c r="W3" s="161" t="s">
        <v>41</v>
      </c>
      <c r="X3" s="162"/>
      <c r="Y3" s="162"/>
      <c r="Z3" s="162"/>
      <c r="AA3" s="162"/>
      <c r="AB3" s="163"/>
    </row>
    <row r="4" spans="2:31" s="154" customFormat="1" ht="39" customHeight="1">
      <c r="B4" s="164" t="s">
        <v>42</v>
      </c>
      <c r="C4" s="164" t="s">
        <v>43</v>
      </c>
      <c r="D4" s="164" t="s">
        <v>44</v>
      </c>
      <c r="E4" s="164" t="s">
        <v>45</v>
      </c>
      <c r="F4" s="164" t="s">
        <v>46</v>
      </c>
      <c r="G4" s="164" t="s">
        <v>47</v>
      </c>
      <c r="I4" s="164" t="s">
        <v>42</v>
      </c>
      <c r="J4" s="164" t="s">
        <v>43</v>
      </c>
      <c r="K4" s="164" t="s">
        <v>44</v>
      </c>
      <c r="L4" s="164" t="s">
        <v>45</v>
      </c>
      <c r="M4" s="164" t="s">
        <v>46</v>
      </c>
      <c r="N4" s="164" t="s">
        <v>47</v>
      </c>
      <c r="P4" s="164" t="s">
        <v>42</v>
      </c>
      <c r="Q4" s="164" t="s">
        <v>43</v>
      </c>
      <c r="R4" s="164" t="s">
        <v>44</v>
      </c>
      <c r="S4" s="164" t="s">
        <v>45</v>
      </c>
      <c r="T4" s="164" t="s">
        <v>46</v>
      </c>
      <c r="U4" s="164" t="s">
        <v>47</v>
      </c>
      <c r="W4" s="164" t="s">
        <v>42</v>
      </c>
      <c r="X4" s="164" t="s">
        <v>43</v>
      </c>
      <c r="Y4" s="164" t="s">
        <v>44</v>
      </c>
      <c r="Z4" s="164" t="s">
        <v>45</v>
      </c>
      <c r="AA4" s="164" t="s">
        <v>46</v>
      </c>
      <c r="AB4" s="164" t="s">
        <v>47</v>
      </c>
    </row>
    <row r="5" spans="2:31" ht="30.75" customHeight="1">
      <c r="B5" s="227" t="s">
        <v>48</v>
      </c>
      <c r="C5" s="167">
        <f>COUNTIF('1. All Data'!$H$3:$H$134,"Fully Achieved")</f>
        <v>9</v>
      </c>
      <c r="D5" s="168">
        <f>C5/C16</f>
        <v>6.8181818181818177E-2</v>
      </c>
      <c r="E5" s="375">
        <f>D5+D6</f>
        <v>0.62878787878787867</v>
      </c>
      <c r="F5" s="168">
        <f>C5/C17</f>
        <v>0.10112359550561797</v>
      </c>
      <c r="G5" s="377">
        <f>F5+F6</f>
        <v>0.93258426966292141</v>
      </c>
      <c r="I5" s="227" t="s">
        <v>48</v>
      </c>
      <c r="J5" s="167">
        <f>COUNTIF('1. All Data'!$M$3:$M$136,"Fully Achieved")</f>
        <v>36</v>
      </c>
      <c r="K5" s="168">
        <f>J5/J16</f>
        <v>0.27272727272727271</v>
      </c>
      <c r="L5" s="375">
        <f>K5+K6</f>
        <v>0.86363636363636365</v>
      </c>
      <c r="M5" s="168">
        <f>J5/J17</f>
        <v>0.2975206611570248</v>
      </c>
      <c r="N5" s="377">
        <f>M5+M6</f>
        <v>0.94214876033057848</v>
      </c>
      <c r="P5" s="227" t="s">
        <v>48</v>
      </c>
      <c r="Q5" s="167">
        <f>COUNTIF('1. All Data'!$R$3:$R$134,"Fully Achieved")</f>
        <v>0</v>
      </c>
      <c r="R5" s="168" t="e">
        <f>Q5/Q16</f>
        <v>#DIV/0!</v>
      </c>
      <c r="S5" s="375" t="e">
        <f>R5+R6</f>
        <v>#DIV/0!</v>
      </c>
      <c r="T5" s="168" t="e">
        <f>Q5/Q17</f>
        <v>#DIV/0!</v>
      </c>
      <c r="U5" s="377" t="e">
        <f>T5+T6</f>
        <v>#DIV/0!</v>
      </c>
      <c r="W5" s="227" t="s">
        <v>48</v>
      </c>
      <c r="X5" s="167">
        <f>COUNTIF('1. All Data'!$V$3:$V$134,"Fully Achieved")</f>
        <v>0</v>
      </c>
      <c r="Y5" s="168" t="e">
        <f t="shared" ref="Y5:Y15" si="0">X5/$X$16</f>
        <v>#DIV/0!</v>
      </c>
      <c r="Z5" s="375" t="e">
        <f>SUM(Y5:Y6)</f>
        <v>#DIV/0!</v>
      </c>
      <c r="AA5" s="168" t="e">
        <f t="shared" ref="AA5:AA11" si="1">X5/$X$17</f>
        <v>#DIV/0!</v>
      </c>
      <c r="AB5" s="377" t="e">
        <f>AA5+AA6</f>
        <v>#DIV/0!</v>
      </c>
      <c r="AD5" s="377" t="e">
        <f>AB5</f>
        <v>#DIV/0!</v>
      </c>
    </row>
    <row r="6" spans="2:31" ht="30.75" customHeight="1">
      <c r="B6" s="227" t="s">
        <v>31</v>
      </c>
      <c r="C6" s="167">
        <f>COUNTIF('1. All Data'!$H$3:$H$134,"On Track to be Achieved")</f>
        <v>74</v>
      </c>
      <c r="D6" s="168">
        <f>C6/C16</f>
        <v>0.56060606060606055</v>
      </c>
      <c r="E6" s="375"/>
      <c r="F6" s="168">
        <f>C6/C17</f>
        <v>0.8314606741573034</v>
      </c>
      <c r="G6" s="377"/>
      <c r="I6" s="227" t="s">
        <v>31</v>
      </c>
      <c r="J6" s="167">
        <f>COUNTIF('1. All Data'!$M$3:$M$136,"On Track to be Achieved")</f>
        <v>78</v>
      </c>
      <c r="K6" s="168">
        <f>J6/J16</f>
        <v>0.59090909090909094</v>
      </c>
      <c r="L6" s="375"/>
      <c r="M6" s="168">
        <f>J6/J17</f>
        <v>0.64462809917355368</v>
      </c>
      <c r="N6" s="377"/>
      <c r="P6" s="227" t="s">
        <v>31</v>
      </c>
      <c r="Q6" s="167">
        <f>COUNTIF('1. All Data'!$R$3:$R$134,"On Track to be Achieved")</f>
        <v>0</v>
      </c>
      <c r="R6" s="168" t="e">
        <f>Q6/Q16</f>
        <v>#DIV/0!</v>
      </c>
      <c r="S6" s="375"/>
      <c r="T6" s="168" t="e">
        <f>Q6/Q17</f>
        <v>#DIV/0!</v>
      </c>
      <c r="U6" s="377"/>
      <c r="W6" s="227" t="s">
        <v>23</v>
      </c>
      <c r="X6" s="167">
        <f>COUNTIF('1. All Data'!$V$3:$V$134,"Numerical Outturn Within 5% Tolerance")</f>
        <v>0</v>
      </c>
      <c r="Y6" s="168" t="e">
        <f t="shared" si="0"/>
        <v>#DIV/0!</v>
      </c>
      <c r="Z6" s="375"/>
      <c r="AA6" s="168" t="e">
        <f t="shared" si="1"/>
        <v>#DIV/0!</v>
      </c>
      <c r="AB6" s="377"/>
      <c r="AD6" s="377"/>
    </row>
    <row r="7" spans="2:31" ht="18.75" customHeight="1">
      <c r="B7" s="385" t="s">
        <v>32</v>
      </c>
      <c r="C7" s="388">
        <f>COUNTIF('1. All Data'!$H$3:$H$134,"In Danger of Falling Behind Target")</f>
        <v>6</v>
      </c>
      <c r="D7" s="378">
        <f>C7/C16</f>
        <v>4.5454545454545456E-2</v>
      </c>
      <c r="E7" s="378">
        <f>D7</f>
        <v>4.5454545454545456E-2</v>
      </c>
      <c r="F7" s="378">
        <f>C7/C17</f>
        <v>6.741573033707865E-2</v>
      </c>
      <c r="G7" s="381">
        <f>F7</f>
        <v>6.741573033707865E-2</v>
      </c>
      <c r="I7" s="385" t="s">
        <v>32</v>
      </c>
      <c r="J7" s="388">
        <f>COUNTIF('1. All Data'!$M$3:$M$136,"In Danger of Falling Behind Target")</f>
        <v>2</v>
      </c>
      <c r="K7" s="378">
        <f>J7/J16</f>
        <v>1.5151515151515152E-2</v>
      </c>
      <c r="L7" s="378">
        <f>K7</f>
        <v>1.5151515151515152E-2</v>
      </c>
      <c r="M7" s="378">
        <f>J7/J17</f>
        <v>1.6528925619834711E-2</v>
      </c>
      <c r="N7" s="381">
        <f>M7</f>
        <v>1.6528925619834711E-2</v>
      </c>
      <c r="P7" s="385" t="s">
        <v>32</v>
      </c>
      <c r="Q7" s="388">
        <f>COUNTIF('1. All Data'!$R$3:$R$134,"In Danger of Falling Behind Target")</f>
        <v>0</v>
      </c>
      <c r="R7" s="378" t="e">
        <f>Q7/Q16</f>
        <v>#DIV/0!</v>
      </c>
      <c r="S7" s="378" t="e">
        <f>R7</f>
        <v>#DIV/0!</v>
      </c>
      <c r="T7" s="378" t="e">
        <f>Q7/Q17</f>
        <v>#DIV/0!</v>
      </c>
      <c r="U7" s="381" t="e">
        <f>T7</f>
        <v>#DIV/0!</v>
      </c>
      <c r="W7" s="169" t="s">
        <v>24</v>
      </c>
      <c r="X7" s="170">
        <f>COUNTIF('1. All Data'!$V$3:$V$134,"Numerical Outturn Within 10% Tolerance")</f>
        <v>0</v>
      </c>
      <c r="Y7" s="168" t="e">
        <f t="shared" si="0"/>
        <v>#DIV/0!</v>
      </c>
      <c r="Z7" s="375" t="e">
        <f>SUM(Y7:Y9)</f>
        <v>#DIV/0!</v>
      </c>
      <c r="AA7" s="168" t="e">
        <f t="shared" si="1"/>
        <v>#DIV/0!</v>
      </c>
      <c r="AB7" s="384" t="e">
        <f>SUM(AA7:AA9)</f>
        <v>#DIV/0!</v>
      </c>
      <c r="AD7" s="391" t="e">
        <f>SUM(AB7:AB11)</f>
        <v>#DIV/0!</v>
      </c>
    </row>
    <row r="8" spans="2:31" ht="19.5" customHeight="1">
      <c r="B8" s="386"/>
      <c r="C8" s="389"/>
      <c r="D8" s="379"/>
      <c r="E8" s="379"/>
      <c r="F8" s="379"/>
      <c r="G8" s="382"/>
      <c r="I8" s="386"/>
      <c r="J8" s="389"/>
      <c r="K8" s="379"/>
      <c r="L8" s="379"/>
      <c r="M8" s="379"/>
      <c r="N8" s="382"/>
      <c r="P8" s="386"/>
      <c r="Q8" s="389"/>
      <c r="R8" s="379"/>
      <c r="S8" s="379"/>
      <c r="T8" s="379"/>
      <c r="U8" s="382"/>
      <c r="W8" s="169" t="s">
        <v>25</v>
      </c>
      <c r="X8" s="170">
        <f>COUNTIF('1. All Data'!$V$3:$V$134,"Target Partially Met")</f>
        <v>0</v>
      </c>
      <c r="Y8" s="168" t="e">
        <f t="shared" si="0"/>
        <v>#DIV/0!</v>
      </c>
      <c r="Z8" s="375"/>
      <c r="AA8" s="168" t="e">
        <f t="shared" si="1"/>
        <v>#DIV/0!</v>
      </c>
      <c r="AB8" s="384"/>
      <c r="AD8" s="392"/>
    </row>
    <row r="9" spans="2:31" ht="19.5" customHeight="1">
      <c r="B9" s="387"/>
      <c r="C9" s="390"/>
      <c r="D9" s="380"/>
      <c r="E9" s="380"/>
      <c r="F9" s="380"/>
      <c r="G9" s="383"/>
      <c r="I9" s="387"/>
      <c r="J9" s="390"/>
      <c r="K9" s="380"/>
      <c r="L9" s="380"/>
      <c r="M9" s="380"/>
      <c r="N9" s="383"/>
      <c r="P9" s="387"/>
      <c r="Q9" s="390"/>
      <c r="R9" s="380"/>
      <c r="S9" s="380"/>
      <c r="T9" s="380"/>
      <c r="U9" s="383"/>
      <c r="W9" s="169" t="s">
        <v>28</v>
      </c>
      <c r="X9" s="170">
        <f>COUNTIF('1. All Data'!$V$3:$V$134,"Completion Date Within Reasonable Tolerance")</f>
        <v>0</v>
      </c>
      <c r="Y9" s="168" t="e">
        <f t="shared" si="0"/>
        <v>#DIV/0!</v>
      </c>
      <c r="Z9" s="375"/>
      <c r="AA9" s="168" t="e">
        <f t="shared" si="1"/>
        <v>#DIV/0!</v>
      </c>
      <c r="AB9" s="384"/>
      <c r="AD9" s="392"/>
    </row>
    <row r="10" spans="2:31" ht="29.25" customHeight="1">
      <c r="B10" s="171" t="s">
        <v>33</v>
      </c>
      <c r="C10" s="167">
        <f>COUNTIF('1. All Data'!H3:H134,"completed behind schedule")</f>
        <v>0</v>
      </c>
      <c r="D10" s="168">
        <f>C10/C16</f>
        <v>0</v>
      </c>
      <c r="E10" s="375">
        <f>D10+D11</f>
        <v>0</v>
      </c>
      <c r="F10" s="168">
        <f>C10/C17</f>
        <v>0</v>
      </c>
      <c r="G10" s="376">
        <f>F10+F11</f>
        <v>0</v>
      </c>
      <c r="I10" s="171" t="s">
        <v>33</v>
      </c>
      <c r="J10" s="167">
        <f>COUNTIF('1. All Data'!M3:M136,"Completed Behind Schedule")</f>
        <v>0</v>
      </c>
      <c r="K10" s="168">
        <f>J10/J16</f>
        <v>0</v>
      </c>
      <c r="L10" s="375">
        <f>K10+K11</f>
        <v>3.787878787878788E-2</v>
      </c>
      <c r="M10" s="168">
        <f>J10/J17</f>
        <v>0</v>
      </c>
      <c r="N10" s="376">
        <f>M10+M11</f>
        <v>4.1322314049586778E-2</v>
      </c>
      <c r="P10" s="171" t="s">
        <v>33</v>
      </c>
      <c r="Q10" s="167">
        <f>COUNTIF('1. All Data'!R3:R134,"completed behind schedule")</f>
        <v>0</v>
      </c>
      <c r="R10" s="168" t="e">
        <f>Q10/Q16</f>
        <v>#DIV/0!</v>
      </c>
      <c r="S10" s="375" t="e">
        <f>R10+R11</f>
        <v>#DIV/0!</v>
      </c>
      <c r="T10" s="168" t="e">
        <f>Q10/Q17</f>
        <v>#DIV/0!</v>
      </c>
      <c r="U10" s="376" t="e">
        <f>T10+T11</f>
        <v>#DIV/0!</v>
      </c>
      <c r="W10" s="171" t="s">
        <v>27</v>
      </c>
      <c r="X10" s="167">
        <f>COUNTIF('1. All Data'!V3:V134,"Completed Significantly After Target Deadline")</f>
        <v>0</v>
      </c>
      <c r="Y10" s="168" t="e">
        <f t="shared" si="0"/>
        <v>#DIV/0!</v>
      </c>
      <c r="Z10" s="375" t="e">
        <f>SUM(Y10:Y11)</f>
        <v>#DIV/0!</v>
      </c>
      <c r="AA10" s="168" t="e">
        <f t="shared" si="1"/>
        <v>#DIV/0!</v>
      </c>
      <c r="AB10" s="376" t="e">
        <f>SUM(AA10:AA11)</f>
        <v>#DIV/0!</v>
      </c>
      <c r="AD10" s="392"/>
    </row>
    <row r="11" spans="2:31" ht="29.25" customHeight="1">
      <c r="B11" s="171" t="s">
        <v>26</v>
      </c>
      <c r="C11" s="167">
        <f>COUNTIF('1. All Data'!H3:H134,"off target")</f>
        <v>0</v>
      </c>
      <c r="D11" s="168">
        <f>C11/C16</f>
        <v>0</v>
      </c>
      <c r="E11" s="375"/>
      <c r="F11" s="168">
        <f>C11/C17</f>
        <v>0</v>
      </c>
      <c r="G11" s="376"/>
      <c r="I11" s="171" t="s">
        <v>26</v>
      </c>
      <c r="J11" s="167">
        <f>COUNTIF('1. All Data'!M3:M136,"Off Target")</f>
        <v>5</v>
      </c>
      <c r="K11" s="168">
        <f>J11/J16</f>
        <v>3.787878787878788E-2</v>
      </c>
      <c r="L11" s="375"/>
      <c r="M11" s="168">
        <f>J11/J17</f>
        <v>4.1322314049586778E-2</v>
      </c>
      <c r="N11" s="376"/>
      <c r="P11" s="171" t="s">
        <v>26</v>
      </c>
      <c r="Q11" s="167">
        <f>COUNTIF('1. All Data'!R3:R134,"off target")</f>
        <v>0</v>
      </c>
      <c r="R11" s="168" t="e">
        <f>Q11/Q16</f>
        <v>#DIV/0!</v>
      </c>
      <c r="S11" s="375"/>
      <c r="T11" s="168" t="e">
        <f>Q11/Q17</f>
        <v>#DIV/0!</v>
      </c>
      <c r="U11" s="376"/>
      <c r="W11" s="171" t="s">
        <v>26</v>
      </c>
      <c r="X11" s="167">
        <f>COUNTIF('1. All Data'!V3:V134,"off target")</f>
        <v>0</v>
      </c>
      <c r="Y11" s="168" t="e">
        <f t="shared" si="0"/>
        <v>#DIV/0!</v>
      </c>
      <c r="Z11" s="375"/>
      <c r="AA11" s="168" t="e">
        <f t="shared" si="1"/>
        <v>#DIV/0!</v>
      </c>
      <c r="AB11" s="376"/>
      <c r="AD11" s="392"/>
    </row>
    <row r="12" spans="2:31" ht="20.25" customHeight="1">
      <c r="B12" s="172" t="s">
        <v>49</v>
      </c>
      <c r="C12" s="167">
        <f>COUNTIF('1. All Data'!H3:H134,"not yet due")</f>
        <v>43</v>
      </c>
      <c r="D12" s="173">
        <f>C12/C16</f>
        <v>0.32575757575757575</v>
      </c>
      <c r="E12" s="173">
        <f>D12</f>
        <v>0.32575757575757575</v>
      </c>
      <c r="F12" s="174"/>
      <c r="G12" s="58"/>
      <c r="I12" s="172" t="s">
        <v>49</v>
      </c>
      <c r="J12" s="167">
        <f>COUNTIF('1. All Data'!M3:M136,"not yet due")</f>
        <v>9</v>
      </c>
      <c r="K12" s="173">
        <f>J12/J16</f>
        <v>6.8181818181818177E-2</v>
      </c>
      <c r="L12" s="173">
        <f>K12</f>
        <v>6.8181818181818177E-2</v>
      </c>
      <c r="M12" s="174"/>
      <c r="N12" s="58"/>
      <c r="P12" s="172" t="s">
        <v>49</v>
      </c>
      <c r="Q12" s="167">
        <f>COUNTIF('1. All Data'!R3:R126,"not yet due")</f>
        <v>0</v>
      </c>
      <c r="R12" s="173" t="e">
        <f>Q12/Q16</f>
        <v>#DIV/0!</v>
      </c>
      <c r="S12" s="173" t="e">
        <f>R12</f>
        <v>#DIV/0!</v>
      </c>
      <c r="T12" s="174"/>
      <c r="U12" s="58"/>
      <c r="W12" s="172" t="s">
        <v>49</v>
      </c>
      <c r="X12" s="167">
        <f>COUNTIF('1. All Data'!V3:V134,"not yet due")</f>
        <v>0</v>
      </c>
      <c r="Y12" s="168" t="e">
        <f t="shared" si="0"/>
        <v>#DIV/0!</v>
      </c>
      <c r="Z12" s="173" t="e">
        <f>Y12</f>
        <v>#DIV/0!</v>
      </c>
      <c r="AA12" s="174"/>
      <c r="AB12" s="58"/>
    </row>
    <row r="13" spans="2:31" ht="20.25" customHeight="1">
      <c r="B13" s="172" t="s">
        <v>21</v>
      </c>
      <c r="C13" s="167">
        <f>COUNTIF('1. All Data'!H3:H134,"update not provided")</f>
        <v>0</v>
      </c>
      <c r="D13" s="173">
        <f>C13/C16</f>
        <v>0</v>
      </c>
      <c r="E13" s="173">
        <f>D13</f>
        <v>0</v>
      </c>
      <c r="F13" s="174"/>
      <c r="G13" s="2"/>
      <c r="I13" s="172" t="s">
        <v>21</v>
      </c>
      <c r="J13" s="167">
        <f>COUNTIF('1. All Data'!M3:M136,"update not provided")</f>
        <v>0</v>
      </c>
      <c r="K13" s="173">
        <f>J13/J16</f>
        <v>0</v>
      </c>
      <c r="L13" s="173">
        <f>K13</f>
        <v>0</v>
      </c>
      <c r="M13" s="174"/>
      <c r="N13" s="2"/>
      <c r="P13" s="172" t="s">
        <v>21</v>
      </c>
      <c r="Q13" s="167">
        <f>COUNTIF('1. All Data'!R3:R126,"update not provided")</f>
        <v>0</v>
      </c>
      <c r="R13" s="173" t="e">
        <f>Q13/Q16</f>
        <v>#DIV/0!</v>
      </c>
      <c r="S13" s="173" t="e">
        <f>R13</f>
        <v>#DIV/0!</v>
      </c>
      <c r="T13" s="174"/>
      <c r="U13" s="2"/>
      <c r="W13" s="172" t="s">
        <v>21</v>
      </c>
      <c r="X13" s="167">
        <f>COUNTIF('1. All Data'!V3:V134,"update not provided")</f>
        <v>0</v>
      </c>
      <c r="Y13" s="168" t="e">
        <f t="shared" si="0"/>
        <v>#DIV/0!</v>
      </c>
      <c r="Z13" s="173" t="e">
        <f>Y13</f>
        <v>#DIV/0!</v>
      </c>
      <c r="AA13" s="174"/>
      <c r="AB13" s="2"/>
    </row>
    <row r="14" spans="2:31" ht="15.75" customHeight="1">
      <c r="B14" s="175" t="s">
        <v>29</v>
      </c>
      <c r="C14" s="167">
        <f>COUNTIF('1. All Data'!H3:H134,"deferred")</f>
        <v>0</v>
      </c>
      <c r="D14" s="176">
        <f>C14/C16</f>
        <v>0</v>
      </c>
      <c r="E14" s="176">
        <f>D14</f>
        <v>0</v>
      </c>
      <c r="F14" s="177"/>
      <c r="G14" s="58"/>
      <c r="I14" s="175" t="s">
        <v>29</v>
      </c>
      <c r="J14" s="167">
        <f>COUNTIF('1. All Data'!M3:M136,"deferred")</f>
        <v>0</v>
      </c>
      <c r="K14" s="176">
        <f>J14/J16</f>
        <v>0</v>
      </c>
      <c r="L14" s="176">
        <f>K14</f>
        <v>0</v>
      </c>
      <c r="M14" s="177"/>
      <c r="N14" s="58"/>
      <c r="P14" s="175" t="s">
        <v>29</v>
      </c>
      <c r="Q14" s="167">
        <f>COUNTIF('1. All Data'!R3:R126,"deferred")</f>
        <v>0</v>
      </c>
      <c r="R14" s="176" t="e">
        <f>Q14/Q16</f>
        <v>#DIV/0!</v>
      </c>
      <c r="S14" s="176" t="e">
        <f>R14</f>
        <v>#DIV/0!</v>
      </c>
      <c r="T14" s="177"/>
      <c r="U14" s="58"/>
      <c r="W14" s="175" t="s">
        <v>29</v>
      </c>
      <c r="X14" s="167">
        <f>COUNTIF('1. All Data'!V3:V134,"deferred")</f>
        <v>0</v>
      </c>
      <c r="Y14" s="168" t="e">
        <f t="shared" si="0"/>
        <v>#DIV/0!</v>
      </c>
      <c r="Z14" s="173" t="e">
        <f>Y14</f>
        <v>#DIV/0!</v>
      </c>
      <c r="AA14" s="177"/>
      <c r="AB14" s="58"/>
    </row>
    <row r="15" spans="2:31" ht="15.75" customHeight="1">
      <c r="B15" s="175" t="s">
        <v>30</v>
      </c>
      <c r="C15" s="167">
        <f>COUNTIF('1. All Data'!H3:H134,"deleted")</f>
        <v>0</v>
      </c>
      <c r="D15" s="176">
        <f>C15/C16</f>
        <v>0</v>
      </c>
      <c r="E15" s="176">
        <f>D15</f>
        <v>0</v>
      </c>
      <c r="F15" s="177"/>
      <c r="G15" s="3"/>
      <c r="I15" s="175" t="s">
        <v>30</v>
      </c>
      <c r="J15" s="167">
        <f>COUNTIF('1. All Data'!M3:M136,"deleted")</f>
        <v>2</v>
      </c>
      <c r="K15" s="176">
        <f>J15/J16</f>
        <v>1.5151515151515152E-2</v>
      </c>
      <c r="L15" s="176">
        <f>K15</f>
        <v>1.5151515151515152E-2</v>
      </c>
      <c r="M15" s="177"/>
      <c r="P15" s="175" t="s">
        <v>30</v>
      </c>
      <c r="Q15" s="167">
        <f>COUNTIF('1. All Data'!R3:R126,"deleted")</f>
        <v>0</v>
      </c>
      <c r="R15" s="176" t="e">
        <f>Q15/Q16</f>
        <v>#DIV/0!</v>
      </c>
      <c r="S15" s="176" t="e">
        <f>R15</f>
        <v>#DIV/0!</v>
      </c>
      <c r="T15" s="177"/>
      <c r="U15" s="3"/>
      <c r="W15" s="175" t="s">
        <v>30</v>
      </c>
      <c r="X15" s="167">
        <f>COUNTIF('1. All Data'!V3:V134,"deleted")</f>
        <v>0</v>
      </c>
      <c r="Y15" s="168" t="e">
        <f t="shared" si="0"/>
        <v>#DIV/0!</v>
      </c>
      <c r="Z15" s="173" t="e">
        <f t="shared" ref="Z15" si="2">Y15</f>
        <v>#DIV/0!</v>
      </c>
      <c r="AA15" s="177"/>
      <c r="AB15" s="3"/>
      <c r="AE15" s="3"/>
    </row>
    <row r="16" spans="2:31" ht="15.75" customHeight="1">
      <c r="B16" s="178" t="s">
        <v>51</v>
      </c>
      <c r="C16" s="179">
        <f>SUM(C5:C15)</f>
        <v>132</v>
      </c>
      <c r="D16" s="177"/>
      <c r="E16" s="177"/>
      <c r="F16" s="58"/>
      <c r="G16" s="58"/>
      <c r="I16" s="178" t="s">
        <v>51</v>
      </c>
      <c r="J16" s="179">
        <f>SUM(J5:J15)</f>
        <v>132</v>
      </c>
      <c r="K16" s="177"/>
      <c r="L16" s="177"/>
      <c r="M16" s="58"/>
      <c r="N16" s="58"/>
      <c r="P16" s="178" t="s">
        <v>51</v>
      </c>
      <c r="Q16" s="179">
        <f>SUM(Q5:Q15)</f>
        <v>0</v>
      </c>
      <c r="R16" s="177"/>
      <c r="S16" s="177"/>
      <c r="T16" s="58"/>
      <c r="U16" s="58"/>
      <c r="W16" s="178" t="s">
        <v>51</v>
      </c>
      <c r="X16" s="179">
        <f>SUM(X5:X15)</f>
        <v>0</v>
      </c>
      <c r="Y16" s="177"/>
      <c r="Z16" s="177"/>
      <c r="AA16" s="58"/>
      <c r="AB16" s="58"/>
    </row>
    <row r="17" spans="2:28" ht="15.75" customHeight="1">
      <c r="B17" s="178" t="s">
        <v>52</v>
      </c>
      <c r="C17" s="179">
        <f>C16-C15-C14-C13-C12</f>
        <v>89</v>
      </c>
      <c r="D17" s="58"/>
      <c r="E17" s="58"/>
      <c r="F17" s="58"/>
      <c r="G17" s="58"/>
      <c r="I17" s="178" t="s">
        <v>52</v>
      </c>
      <c r="J17" s="179">
        <f>J16-J15-J14-J13-J12</f>
        <v>121</v>
      </c>
      <c r="K17" s="58"/>
      <c r="L17" s="58"/>
      <c r="M17" s="58"/>
      <c r="N17" s="58"/>
      <c r="P17" s="178" t="s">
        <v>52</v>
      </c>
      <c r="Q17" s="179">
        <f>Q16-Q15-Q14-Q13-Q12</f>
        <v>0</v>
      </c>
      <c r="R17" s="58"/>
      <c r="S17" s="58"/>
      <c r="T17" s="58"/>
      <c r="U17" s="58"/>
      <c r="W17" s="178" t="s">
        <v>52</v>
      </c>
      <c r="X17" s="179">
        <f>X16-X15-X14-X13-X12</f>
        <v>0</v>
      </c>
      <c r="Y17" s="58"/>
      <c r="Z17" s="58"/>
      <c r="AA17" s="58"/>
      <c r="AB17" s="58"/>
    </row>
    <row r="18" spans="2:28" ht="15.75" customHeight="1">
      <c r="W18" s="180"/>
      <c r="AA18" s="2"/>
    </row>
    <row r="19" spans="2:28" ht="15.75" hidden="1" customHeight="1">
      <c r="AA19" s="2"/>
    </row>
    <row r="20" spans="2:28" ht="15" hidden="1" customHeight="1">
      <c r="AA20" s="2"/>
    </row>
    <row r="21" spans="2:28" ht="19.5" customHeight="1">
      <c r="B21" s="182" t="s">
        <v>426</v>
      </c>
      <c r="C21" s="183"/>
      <c r="D21" s="183"/>
      <c r="E21" s="183"/>
      <c r="F21" s="159"/>
      <c r="G21" s="184"/>
      <c r="I21" s="182" t="s">
        <v>426</v>
      </c>
      <c r="J21" s="183"/>
      <c r="K21" s="183"/>
      <c r="L21" s="183"/>
      <c r="M21" s="159"/>
      <c r="N21" s="184"/>
      <c r="P21" s="182" t="s">
        <v>426</v>
      </c>
      <c r="Q21" s="183"/>
      <c r="R21" s="183"/>
      <c r="S21" s="183"/>
      <c r="T21" s="159"/>
      <c r="U21" s="184"/>
      <c r="W21" s="182" t="s">
        <v>426</v>
      </c>
      <c r="X21" s="162"/>
      <c r="Y21" s="162"/>
      <c r="Z21" s="162"/>
      <c r="AA21" s="162"/>
      <c r="AB21" s="163"/>
    </row>
    <row r="22" spans="2:28" ht="42" customHeight="1">
      <c r="B22" s="164" t="s">
        <v>42</v>
      </c>
      <c r="C22" s="164" t="s">
        <v>43</v>
      </c>
      <c r="D22" s="164" t="s">
        <v>44</v>
      </c>
      <c r="E22" s="164" t="s">
        <v>45</v>
      </c>
      <c r="F22" s="164" t="s">
        <v>46</v>
      </c>
      <c r="G22" s="164" t="s">
        <v>47</v>
      </c>
      <c r="I22" s="164" t="s">
        <v>42</v>
      </c>
      <c r="J22" s="164" t="s">
        <v>43</v>
      </c>
      <c r="K22" s="164" t="s">
        <v>44</v>
      </c>
      <c r="L22" s="164" t="s">
        <v>45</v>
      </c>
      <c r="M22" s="164" t="s">
        <v>46</v>
      </c>
      <c r="N22" s="164" t="s">
        <v>47</v>
      </c>
      <c r="P22" s="164" t="s">
        <v>42</v>
      </c>
      <c r="Q22" s="164" t="s">
        <v>43</v>
      </c>
      <c r="R22" s="164" t="s">
        <v>44</v>
      </c>
      <c r="S22" s="164" t="s">
        <v>45</v>
      </c>
      <c r="T22" s="164" t="s">
        <v>46</v>
      </c>
      <c r="U22" s="164" t="s">
        <v>47</v>
      </c>
      <c r="W22" s="164" t="s">
        <v>42</v>
      </c>
      <c r="X22" s="164" t="s">
        <v>43</v>
      </c>
      <c r="Y22" s="164" t="s">
        <v>44</v>
      </c>
      <c r="Z22" s="164" t="s">
        <v>45</v>
      </c>
      <c r="AA22" s="164" t="s">
        <v>46</v>
      </c>
      <c r="AB22" s="164" t="s">
        <v>47</v>
      </c>
    </row>
    <row r="23" spans="2:28" ht="21.75" customHeight="1">
      <c r="B23" s="227" t="s">
        <v>48</v>
      </c>
      <c r="C23" s="167">
        <f>COUNTIFS('1. All Data'!$AA$3:$AA$134,"Improving Local Democracy",'1. All Data'!$H$3:$H$134,"Fully Achieved")</f>
        <v>0</v>
      </c>
      <c r="D23" s="168">
        <f>C23/C34</f>
        <v>0</v>
      </c>
      <c r="E23" s="375">
        <f>D23+D24</f>
        <v>0.5</v>
      </c>
      <c r="F23" s="168">
        <f>C23/C35</f>
        <v>0</v>
      </c>
      <c r="G23" s="393">
        <f>F23+F24</f>
        <v>1</v>
      </c>
      <c r="I23" s="227" t="s">
        <v>48</v>
      </c>
      <c r="J23" s="167">
        <f>COUNTIFS('1. All Data'!$AA$3:$AA$134,"Improving Local Democracy",'1. All Data'!$M$3:$M$134,"Fully Achieved")</f>
        <v>3</v>
      </c>
      <c r="K23" s="168">
        <f>J23/J34</f>
        <v>0.5</v>
      </c>
      <c r="L23" s="375">
        <f>K23+K24</f>
        <v>1</v>
      </c>
      <c r="M23" s="168">
        <f>J23/J35</f>
        <v>0.5</v>
      </c>
      <c r="N23" s="377">
        <f>M23+M24</f>
        <v>1</v>
      </c>
      <c r="P23" s="227" t="s">
        <v>48</v>
      </c>
      <c r="Q23" s="167">
        <f>COUNTIFS('1. All Data'!$AA$3:$AA$134,"Improving Local Democracy council",'1. All Data'!$R$3:$R$134,"Fully Achieved")</f>
        <v>0</v>
      </c>
      <c r="R23" s="168" t="e">
        <f>Q23/Q34</f>
        <v>#DIV/0!</v>
      </c>
      <c r="S23" s="375" t="e">
        <f>R23+R24</f>
        <v>#DIV/0!</v>
      </c>
      <c r="T23" s="168" t="e">
        <f>Q23/Q35</f>
        <v>#DIV/0!</v>
      </c>
      <c r="U23" s="377" t="e">
        <f>T23+T24</f>
        <v>#DIV/0!</v>
      </c>
      <c r="W23" s="227" t="s">
        <v>48</v>
      </c>
      <c r="X23" s="167">
        <f>COUNTIFS('1. All Data'!$AA$3:$AA$134,"Improving Local Democracy council",'1. All Data'!$V$3:$V$134,"Fully Achieved")</f>
        <v>0</v>
      </c>
      <c r="Y23" s="168" t="e">
        <f>X23/X34</f>
        <v>#DIV/0!</v>
      </c>
      <c r="Z23" s="375" t="e">
        <f>Y23+Y24</f>
        <v>#DIV/0!</v>
      </c>
      <c r="AA23" s="168" t="e">
        <f>X23/X35</f>
        <v>#DIV/0!</v>
      </c>
      <c r="AB23" s="377" t="e">
        <f>AA23+AA24</f>
        <v>#DIV/0!</v>
      </c>
    </row>
    <row r="24" spans="2:28" ht="18.75" customHeight="1">
      <c r="B24" s="227" t="s">
        <v>31</v>
      </c>
      <c r="C24" s="167">
        <f>COUNTIFS('1. All Data'!$AA$3:$AA$134,"Improving Local Democracy",'1. All Data'!$H$3:$H$134,"On Track to be achieved")</f>
        <v>3</v>
      </c>
      <c r="D24" s="168">
        <f>C24/C34</f>
        <v>0.5</v>
      </c>
      <c r="E24" s="375"/>
      <c r="F24" s="168">
        <f>C24/C35</f>
        <v>1</v>
      </c>
      <c r="G24" s="394"/>
      <c r="I24" s="227" t="s">
        <v>31</v>
      </c>
      <c r="J24" s="167">
        <f>COUNTIFS('1. All Data'!$AA$3:$AA$134,"Improving Local Democracy",'1. All Data'!$M$3:$M$134,"On Track to be achieved")</f>
        <v>3</v>
      </c>
      <c r="K24" s="168">
        <f>J24/J34</f>
        <v>0.5</v>
      </c>
      <c r="L24" s="375"/>
      <c r="M24" s="168">
        <f>J24/J35</f>
        <v>0.5</v>
      </c>
      <c r="N24" s="377"/>
      <c r="P24" s="227" t="s">
        <v>31</v>
      </c>
      <c r="Q24" s="167">
        <f>COUNTIFS('1. All Data'!$AA$3:$AA$134,"Improving Local Democracy council",'1. All Data'!$R$3:$R$134,"On Track to be achieved")</f>
        <v>0</v>
      </c>
      <c r="R24" s="168" t="e">
        <f>Q24/Q34</f>
        <v>#DIV/0!</v>
      </c>
      <c r="S24" s="375"/>
      <c r="T24" s="168" t="e">
        <f>Q24/Q35</f>
        <v>#DIV/0!</v>
      </c>
      <c r="U24" s="377"/>
      <c r="W24" s="227" t="s">
        <v>23</v>
      </c>
      <c r="X24" s="167">
        <f>COUNTIFS('1. All Data'!$AA$3:$AA$134,"Improving Local Democracy council",'1. All Data'!$V$3:$V$134,"Numerical Outturn Within 5% Tolerance")</f>
        <v>0</v>
      </c>
      <c r="Y24" s="168" t="e">
        <f>X24/X34</f>
        <v>#DIV/0!</v>
      </c>
      <c r="Z24" s="375"/>
      <c r="AA24" s="168" t="e">
        <f t="shared" ref="AA24:AA29" si="3">X24/$X$35</f>
        <v>#DIV/0!</v>
      </c>
      <c r="AB24" s="377"/>
    </row>
    <row r="25" spans="2:28" ht="21" customHeight="1">
      <c r="B25" s="385" t="s">
        <v>32</v>
      </c>
      <c r="C25" s="388">
        <f>COUNTIFS('1. All Data'!$AA$3:$AA$134,"Improving Local Democracy",'1. All Data'!$H$3:$H$134,"In Danger of Falling Behind Target")</f>
        <v>0</v>
      </c>
      <c r="D25" s="378">
        <f>C25/C34</f>
        <v>0</v>
      </c>
      <c r="E25" s="378">
        <f>D25</f>
        <v>0</v>
      </c>
      <c r="F25" s="378">
        <f>C25/C35</f>
        <v>0</v>
      </c>
      <c r="G25" s="381">
        <f>F25</f>
        <v>0</v>
      </c>
      <c r="I25" s="385" t="s">
        <v>32</v>
      </c>
      <c r="J25" s="388">
        <f>COUNTIFS('1. All Data'!$AA$3:$AA$134,"Improving Local Democracy",'1. All Data'!$M$3:$M$134,"In Danger of Falling Behind Target")</f>
        <v>0</v>
      </c>
      <c r="K25" s="378">
        <f>J25/J34</f>
        <v>0</v>
      </c>
      <c r="L25" s="378">
        <f>K25</f>
        <v>0</v>
      </c>
      <c r="M25" s="378">
        <f>J25/J35</f>
        <v>0</v>
      </c>
      <c r="N25" s="381">
        <f>M25</f>
        <v>0</v>
      </c>
      <c r="P25" s="385" t="s">
        <v>32</v>
      </c>
      <c r="Q25" s="388">
        <f>COUNTIFS('1. All Data'!$AA$3:$AA$134,"Improving Local Democracy council",'1. All Data'!$R$3:$R$134,"In Danger of Falling Behind Target")</f>
        <v>0</v>
      </c>
      <c r="R25" s="378" t="e">
        <f>Q25/Q34</f>
        <v>#DIV/0!</v>
      </c>
      <c r="S25" s="378" t="e">
        <f>R25</f>
        <v>#DIV/0!</v>
      </c>
      <c r="T25" s="378" t="e">
        <f>Q25/Q35</f>
        <v>#DIV/0!</v>
      </c>
      <c r="U25" s="381" t="e">
        <f>T25</f>
        <v>#DIV/0!</v>
      </c>
      <c r="W25" s="169" t="s">
        <v>24</v>
      </c>
      <c r="X25" s="170">
        <f>COUNTIFS('1. All Data'!$AA$3:$AA$134,"Improving Local Democracy council",'1. All Data'!$V$3:$V$134,"Numerical Outturn Within 10% Tolerance")</f>
        <v>0</v>
      </c>
      <c r="Y25" s="168" t="e">
        <f>X25/$X$34</f>
        <v>#DIV/0!</v>
      </c>
      <c r="Z25" s="375" t="e">
        <f>SUM(Y25:Y27)</f>
        <v>#DIV/0!</v>
      </c>
      <c r="AA25" s="168" t="e">
        <f t="shared" si="3"/>
        <v>#DIV/0!</v>
      </c>
      <c r="AB25" s="384" t="e">
        <f>SUM(AA25:AA27)</f>
        <v>#DIV/0!</v>
      </c>
    </row>
    <row r="26" spans="2:28" ht="20.25" customHeight="1">
      <c r="B26" s="386"/>
      <c r="C26" s="389"/>
      <c r="D26" s="379"/>
      <c r="E26" s="379"/>
      <c r="F26" s="379"/>
      <c r="G26" s="382"/>
      <c r="I26" s="386"/>
      <c r="J26" s="389"/>
      <c r="K26" s="379"/>
      <c r="L26" s="379"/>
      <c r="M26" s="379"/>
      <c r="N26" s="382"/>
      <c r="P26" s="386"/>
      <c r="Q26" s="389"/>
      <c r="R26" s="379"/>
      <c r="S26" s="379"/>
      <c r="T26" s="379"/>
      <c r="U26" s="382"/>
      <c r="W26" s="169" t="s">
        <v>25</v>
      </c>
      <c r="X26" s="170">
        <f>COUNTIFS('1. All Data'!$AA$3:$AA$134,"Improving Local Democracy council",'1. All Data'!$V$3:$V$134,"Target Partially Met")</f>
        <v>0</v>
      </c>
      <c r="Y26" s="168" t="e">
        <f>X26/$X$34</f>
        <v>#DIV/0!</v>
      </c>
      <c r="Z26" s="375"/>
      <c r="AA26" s="168" t="e">
        <f t="shared" si="3"/>
        <v>#DIV/0!</v>
      </c>
      <c r="AB26" s="384"/>
    </row>
    <row r="27" spans="2:28" ht="18.75" customHeight="1">
      <c r="B27" s="387"/>
      <c r="C27" s="390"/>
      <c r="D27" s="380"/>
      <c r="E27" s="380"/>
      <c r="F27" s="380"/>
      <c r="G27" s="383"/>
      <c r="I27" s="387"/>
      <c r="J27" s="390"/>
      <c r="K27" s="380"/>
      <c r="L27" s="380"/>
      <c r="M27" s="380"/>
      <c r="N27" s="383"/>
      <c r="P27" s="387"/>
      <c r="Q27" s="390"/>
      <c r="R27" s="380"/>
      <c r="S27" s="380"/>
      <c r="T27" s="380"/>
      <c r="U27" s="383"/>
      <c r="W27" s="169" t="s">
        <v>28</v>
      </c>
      <c r="X27" s="170">
        <f>COUNTIFS('1. All Data'!$AA$3:$AA$134,"Improving Local Democracy council",'1. All Data'!$V$3:$V$134,"Completion Date Within Reasonable Tolerance")</f>
        <v>0</v>
      </c>
      <c r="Y27" s="168" t="e">
        <f>X27/$X$34</f>
        <v>#DIV/0!</v>
      </c>
      <c r="Z27" s="375"/>
      <c r="AA27" s="168" t="e">
        <f t="shared" si="3"/>
        <v>#DIV/0!</v>
      </c>
      <c r="AB27" s="384"/>
    </row>
    <row r="28" spans="2:28" ht="20.25" customHeight="1">
      <c r="B28" s="171" t="s">
        <v>33</v>
      </c>
      <c r="C28" s="167">
        <f>COUNTIFS('1. All Data'!$AA$3:$AA$134,"Improving Local Democracy",'1. All Data'!$H$3:$H$134,"Completed Behind Schedule")</f>
        <v>0</v>
      </c>
      <c r="D28" s="168">
        <f>C28/C34</f>
        <v>0</v>
      </c>
      <c r="E28" s="375">
        <f>D28+D29</f>
        <v>0</v>
      </c>
      <c r="F28" s="168">
        <f>C28/C35</f>
        <v>0</v>
      </c>
      <c r="G28" s="376">
        <f>F28+F29</f>
        <v>0</v>
      </c>
      <c r="I28" s="171" t="s">
        <v>33</v>
      </c>
      <c r="J28" s="167">
        <f>COUNTIFS('1. All Data'!$AA$3:$AA$134,"Improving Local Democracy",'1. All Data'!$M$3:$M$134,"Completed Behind Schedule")</f>
        <v>0</v>
      </c>
      <c r="K28" s="168">
        <f>J28/J34</f>
        <v>0</v>
      </c>
      <c r="L28" s="375">
        <f>K28+K29</f>
        <v>0</v>
      </c>
      <c r="M28" s="168">
        <f>J28/J35</f>
        <v>0</v>
      </c>
      <c r="N28" s="376">
        <f>M28+M29</f>
        <v>0</v>
      </c>
      <c r="P28" s="171" t="s">
        <v>33</v>
      </c>
      <c r="Q28" s="167">
        <f>COUNTIFS('1. All Data'!$AA$3:$AA$134,"Improving Local Democracy council",'1. All Data'!$R$3:$R$134,"Completed Behind Schedule")</f>
        <v>0</v>
      </c>
      <c r="R28" s="168" t="e">
        <f>Q28/Q34</f>
        <v>#DIV/0!</v>
      </c>
      <c r="S28" s="375" t="e">
        <f>R28+R29</f>
        <v>#DIV/0!</v>
      </c>
      <c r="T28" s="168" t="e">
        <f>Q28/Q35</f>
        <v>#DIV/0!</v>
      </c>
      <c r="U28" s="376" t="e">
        <f>T28+T29</f>
        <v>#DIV/0!</v>
      </c>
      <c r="W28" s="171" t="s">
        <v>27</v>
      </c>
      <c r="X28" s="167">
        <f>COUNTIFS('1. All Data'!$AA$3:$AA$134,"Improving Local Democracy council",'1. All Data'!$V$3:$V$134,"Completed Significantly After Target Deadline")</f>
        <v>0</v>
      </c>
      <c r="Y28" s="168" t="e">
        <f>X28/$X$34</f>
        <v>#DIV/0!</v>
      </c>
      <c r="Z28" s="375" t="e">
        <f>SUM(Y28:Y29)</f>
        <v>#DIV/0!</v>
      </c>
      <c r="AA28" s="168" t="e">
        <f t="shared" si="3"/>
        <v>#DIV/0!</v>
      </c>
      <c r="AB28" s="376" t="e">
        <f>AA28+AA29</f>
        <v>#DIV/0!</v>
      </c>
    </row>
    <row r="29" spans="2:28" ht="20.25" customHeight="1">
      <c r="B29" s="171" t="s">
        <v>26</v>
      </c>
      <c r="C29" s="167">
        <f>COUNTIFS('1. All Data'!$AA$3:$AA$134,"Improving Local Democracy",'1. All Data'!$H$3:$H$134,"Off Target")</f>
        <v>0</v>
      </c>
      <c r="D29" s="168">
        <f>C29/C34</f>
        <v>0</v>
      </c>
      <c r="E29" s="375"/>
      <c r="F29" s="168">
        <f>C29/C35</f>
        <v>0</v>
      </c>
      <c r="G29" s="376"/>
      <c r="I29" s="171" t="s">
        <v>26</v>
      </c>
      <c r="J29" s="167">
        <f>COUNTIFS('1. All Data'!$AA$3:$AA$134,"Improving Local Democracy",'1. All Data'!$M$3:$M$134,"Off Target")</f>
        <v>0</v>
      </c>
      <c r="K29" s="168">
        <f>J29/J34</f>
        <v>0</v>
      </c>
      <c r="L29" s="375"/>
      <c r="M29" s="168">
        <f>J29/J35</f>
        <v>0</v>
      </c>
      <c r="N29" s="376"/>
      <c r="P29" s="171" t="s">
        <v>26</v>
      </c>
      <c r="Q29" s="167">
        <f>COUNTIFS('1. All Data'!$AA$3:$AA$134,"Improving Local Democracy council",'1. All Data'!$R$3:$R$134,"Off Target")</f>
        <v>0</v>
      </c>
      <c r="R29" s="168" t="e">
        <f>Q29/Q34</f>
        <v>#DIV/0!</v>
      </c>
      <c r="S29" s="375"/>
      <c r="T29" s="168" t="e">
        <f>Q29/Q35</f>
        <v>#DIV/0!</v>
      </c>
      <c r="U29" s="376"/>
      <c r="W29" s="171" t="s">
        <v>26</v>
      </c>
      <c r="X29" s="167">
        <f>COUNTIFS('1. All Data'!$AA$3:$AA$134,"Improving Local Democracy council",'1. All Data'!$V$3:$V$134,"Off Target")</f>
        <v>0</v>
      </c>
      <c r="Y29" s="168" t="e">
        <f>X29/$X$34</f>
        <v>#DIV/0!</v>
      </c>
      <c r="Z29" s="375"/>
      <c r="AA29" s="168" t="e">
        <f t="shared" si="3"/>
        <v>#DIV/0!</v>
      </c>
      <c r="AB29" s="376"/>
    </row>
    <row r="30" spans="2:28" ht="15" customHeight="1">
      <c r="B30" s="172" t="s">
        <v>49</v>
      </c>
      <c r="C30" s="167">
        <f>COUNTIFS('1. All Data'!$AA$3:$AA$134,"Improving Local Democracy",'1. All Data'!$H$3:$H$134,"Not yet due")</f>
        <v>3</v>
      </c>
      <c r="D30" s="173">
        <f>C30/C34</f>
        <v>0.5</v>
      </c>
      <c r="E30" s="173">
        <f>D30</f>
        <v>0.5</v>
      </c>
      <c r="F30" s="174"/>
      <c r="G30" s="58"/>
      <c r="I30" s="172" t="s">
        <v>49</v>
      </c>
      <c r="J30" s="167">
        <f>COUNTIFS('1. All Data'!$AA$3:$AA$134,"Improving Local Democracy",'1. All Data'!$M$3:$M$134,"Not yet due")</f>
        <v>0</v>
      </c>
      <c r="K30" s="173">
        <f>J30/J34</f>
        <v>0</v>
      </c>
      <c r="L30" s="173">
        <f>K30</f>
        <v>0</v>
      </c>
      <c r="M30" s="174"/>
      <c r="N30" s="58"/>
      <c r="P30" s="172" t="s">
        <v>49</v>
      </c>
      <c r="Q30" s="167">
        <f>COUNTIFS('1. All Data'!$AA$3:$AA$134,"Improving Local Democracy council",'1. All Data'!$R$3:$R$134,"Not yet due")</f>
        <v>0</v>
      </c>
      <c r="R30" s="173" t="e">
        <f>Q30/Q34</f>
        <v>#DIV/0!</v>
      </c>
      <c r="S30" s="173" t="e">
        <f>R30</f>
        <v>#DIV/0!</v>
      </c>
      <c r="T30" s="174"/>
      <c r="U30" s="58"/>
      <c r="W30" s="172" t="s">
        <v>49</v>
      </c>
      <c r="X30" s="167">
        <f>COUNTIFS('1. All Data'!$AA$3:$AA$134,"Improving Local Democracy council",'1. All Data'!$V$3:$V$134,"Not yet due")</f>
        <v>0</v>
      </c>
      <c r="Y30" s="168" t="e">
        <f t="shared" ref="Y30:Y33" si="4">X30/$X$34</f>
        <v>#DIV/0!</v>
      </c>
      <c r="Z30" s="168" t="e">
        <f>Y30</f>
        <v>#DIV/0!</v>
      </c>
      <c r="AA30" s="174"/>
      <c r="AB30" s="58"/>
    </row>
    <row r="31" spans="2:28" ht="15" customHeight="1">
      <c r="B31" s="172" t="s">
        <v>21</v>
      </c>
      <c r="C31" s="167">
        <f>COUNTIFS('1. All Data'!$AA$3:$AA$134,"Improving Local Democracy",'1. All Data'!$H$3:$H$134,"update not provided")</f>
        <v>0</v>
      </c>
      <c r="D31" s="173">
        <f>C31/C34</f>
        <v>0</v>
      </c>
      <c r="E31" s="173">
        <f>D31</f>
        <v>0</v>
      </c>
      <c r="F31" s="174"/>
      <c r="G31" s="2"/>
      <c r="I31" s="172" t="s">
        <v>21</v>
      </c>
      <c r="J31" s="167">
        <f>COUNTIFS('1. All Data'!$AA$3:$AA$134,"Improving Local Democracy",'1. All Data'!$M$3:$M$134,"update not provided")</f>
        <v>0</v>
      </c>
      <c r="K31" s="173">
        <f>J31/J34</f>
        <v>0</v>
      </c>
      <c r="L31" s="173">
        <f>K31</f>
        <v>0</v>
      </c>
      <c r="M31" s="174"/>
      <c r="N31" s="2"/>
      <c r="P31" s="172" t="s">
        <v>21</v>
      </c>
      <c r="Q31" s="167">
        <f>COUNTIFS('1. All Data'!$AA$3:$AA$134,"Improving Local Democracy council",'1. All Data'!$R$3:$R$134,"update not provided")</f>
        <v>0</v>
      </c>
      <c r="R31" s="173" t="e">
        <f>Q31/Q34</f>
        <v>#DIV/0!</v>
      </c>
      <c r="S31" s="173" t="e">
        <f>R31</f>
        <v>#DIV/0!</v>
      </c>
      <c r="T31" s="174"/>
      <c r="U31" s="2"/>
      <c r="W31" s="172" t="s">
        <v>21</v>
      </c>
      <c r="X31" s="167">
        <f>COUNTIFS('1. All Data'!$AA$3:$AA$134,"Improving Local Democracy council",'1. All Data'!$V$3:$V$134,"update not provided")</f>
        <v>0</v>
      </c>
      <c r="Y31" s="168" t="e">
        <f t="shared" si="4"/>
        <v>#DIV/0!</v>
      </c>
      <c r="Z31" s="168" t="e">
        <f t="shared" ref="Z31:Z33" si="5">Y31</f>
        <v>#DIV/0!</v>
      </c>
      <c r="AA31" s="174"/>
      <c r="AB31" s="2"/>
    </row>
    <row r="32" spans="2:28" ht="15.75" customHeight="1">
      <c r="B32" s="175" t="s">
        <v>29</v>
      </c>
      <c r="C32" s="167">
        <f>COUNTIFS('1. All Data'!$AA$3:$AA$134,"Improving Local Democracy",'1. All Data'!$H$3:$H$134,"Deferred")</f>
        <v>0</v>
      </c>
      <c r="D32" s="176">
        <f>C32/C34</f>
        <v>0</v>
      </c>
      <c r="E32" s="176">
        <f>D32</f>
        <v>0</v>
      </c>
      <c r="F32" s="177"/>
      <c r="G32" s="58"/>
      <c r="I32" s="175" t="s">
        <v>29</v>
      </c>
      <c r="J32" s="167">
        <f>COUNTIFS('1. All Data'!$AA$3:$AA$134,"Improving Local Democracy",'1. All Data'!$M$3:$M$134,"Deferred")</f>
        <v>0</v>
      </c>
      <c r="K32" s="176">
        <f>J32/J34</f>
        <v>0</v>
      </c>
      <c r="L32" s="176">
        <f>K32</f>
        <v>0</v>
      </c>
      <c r="M32" s="177"/>
      <c r="N32" s="58"/>
      <c r="P32" s="175" t="s">
        <v>29</v>
      </c>
      <c r="Q32" s="167">
        <f>COUNTIFS('1. All Data'!$AA$3:$AA$134,"Improving Local Democracy council",'1. All Data'!$R$3:$R$134,"Deferred")</f>
        <v>0</v>
      </c>
      <c r="R32" s="176" t="e">
        <f>Q32/Q34</f>
        <v>#DIV/0!</v>
      </c>
      <c r="S32" s="176" t="e">
        <f>R32</f>
        <v>#DIV/0!</v>
      </c>
      <c r="T32" s="177"/>
      <c r="U32" s="58"/>
      <c r="W32" s="175" t="s">
        <v>29</v>
      </c>
      <c r="X32" s="167">
        <f>COUNTIFS('1. All Data'!$AA$3:$AA$134,"Improving Local Democracy8 council",'1. All Data'!$V$3:$V$134,"Deferred")</f>
        <v>0</v>
      </c>
      <c r="Y32" s="168" t="e">
        <f t="shared" si="4"/>
        <v>#DIV/0!</v>
      </c>
      <c r="Z32" s="168" t="e">
        <f t="shared" si="5"/>
        <v>#DIV/0!</v>
      </c>
      <c r="AA32" s="177"/>
      <c r="AB32" s="58"/>
    </row>
    <row r="33" spans="2:30" ht="15.75" customHeight="1">
      <c r="B33" s="175" t="s">
        <v>30</v>
      </c>
      <c r="C33" s="167">
        <f>COUNTIFS('1. All Data'!$AA$3:$AA$134,"Improving Local Democracy",'1. All Data'!$H$3:$H$134,"Deleted")</f>
        <v>0</v>
      </c>
      <c r="D33" s="176">
        <f>C33/C34</f>
        <v>0</v>
      </c>
      <c r="E33" s="176">
        <f>D33</f>
        <v>0</v>
      </c>
      <c r="F33" s="177"/>
      <c r="G33" s="3"/>
      <c r="I33" s="175" t="s">
        <v>30</v>
      </c>
      <c r="J33" s="167">
        <f>COUNTIFS('1. All Data'!$AA$3:$AA$134,"Improving Local Democracy",'1. All Data'!$M$3:$M$134,"Deleted")</f>
        <v>0</v>
      </c>
      <c r="K33" s="176">
        <f>J33/J34</f>
        <v>0</v>
      </c>
      <c r="L33" s="176">
        <f>K33</f>
        <v>0</v>
      </c>
      <c r="M33" s="177"/>
      <c r="N33" s="3"/>
      <c r="P33" s="175" t="s">
        <v>30</v>
      </c>
      <c r="Q33" s="167">
        <f>COUNTIFS('1. All Data'!$AA$3:$AA$134,"Improving Local Democracy council",'1. All Data'!$R$3:$R$134,"Deleted")</f>
        <v>0</v>
      </c>
      <c r="R33" s="176" t="e">
        <f>Q33/Q34</f>
        <v>#DIV/0!</v>
      </c>
      <c r="S33" s="176" t="e">
        <f>R33</f>
        <v>#DIV/0!</v>
      </c>
      <c r="T33" s="177"/>
      <c r="U33" s="3"/>
      <c r="W33" s="175" t="s">
        <v>30</v>
      </c>
      <c r="X33" s="167">
        <f>COUNTIFS('1. All Data'!$AA$3:$AA$134,"Improving Local Democracy council",'1. All Data'!$V$3:$V$134,"Deleted")</f>
        <v>0</v>
      </c>
      <c r="Y33" s="168" t="e">
        <f t="shared" si="4"/>
        <v>#DIV/0!</v>
      </c>
      <c r="Z33" s="168" t="e">
        <f t="shared" si="5"/>
        <v>#DIV/0!</v>
      </c>
      <c r="AA33" s="177"/>
      <c r="AD33" s="3"/>
    </row>
    <row r="34" spans="2:30" ht="15.75" customHeight="1">
      <c r="B34" s="178" t="s">
        <v>51</v>
      </c>
      <c r="C34" s="179">
        <f>SUM(C23:C33)</f>
        <v>6</v>
      </c>
      <c r="D34" s="177"/>
      <c r="E34" s="177"/>
      <c r="F34" s="58"/>
      <c r="G34" s="58"/>
      <c r="I34" s="178" t="s">
        <v>51</v>
      </c>
      <c r="J34" s="179">
        <f>SUM(J23:J33)</f>
        <v>6</v>
      </c>
      <c r="K34" s="177"/>
      <c r="L34" s="177"/>
      <c r="M34" s="58"/>
      <c r="N34" s="58"/>
      <c r="P34" s="178" t="s">
        <v>51</v>
      </c>
      <c r="Q34" s="179">
        <f>SUM(Q23:Q33)</f>
        <v>0</v>
      </c>
      <c r="R34" s="177"/>
      <c r="S34" s="177"/>
      <c r="T34" s="58"/>
      <c r="U34" s="58"/>
      <c r="W34" s="178" t="s">
        <v>51</v>
      </c>
      <c r="X34" s="179">
        <f>SUM(X23:X33)</f>
        <v>0</v>
      </c>
      <c r="Y34" s="177"/>
      <c r="Z34" s="177"/>
      <c r="AA34" s="58"/>
      <c r="AB34" s="58"/>
    </row>
    <row r="35" spans="2:30" ht="15.75" customHeight="1">
      <c r="B35" s="178" t="s">
        <v>52</v>
      </c>
      <c r="C35" s="179">
        <f>C34-C33-C32-C31-C30</f>
        <v>3</v>
      </c>
      <c r="D35" s="58"/>
      <c r="E35" s="58"/>
      <c r="F35" s="58"/>
      <c r="G35" s="58"/>
      <c r="I35" s="178" t="s">
        <v>52</v>
      </c>
      <c r="J35" s="179">
        <f>J34-J33-J32-J31-J30</f>
        <v>6</v>
      </c>
      <c r="K35" s="58"/>
      <c r="L35" s="58"/>
      <c r="M35" s="58"/>
      <c r="N35" s="58"/>
      <c r="P35" s="178" t="s">
        <v>52</v>
      </c>
      <c r="Q35" s="179">
        <f>Q34-Q33-Q32-Q31-Q30</f>
        <v>0</v>
      </c>
      <c r="R35" s="58"/>
      <c r="S35" s="58"/>
      <c r="T35" s="58"/>
      <c r="U35" s="58"/>
      <c r="W35" s="178" t="s">
        <v>52</v>
      </c>
      <c r="X35" s="179">
        <f>X34-X33-X32-X31-X30</f>
        <v>0</v>
      </c>
      <c r="Y35" s="58"/>
      <c r="Z35" s="58"/>
      <c r="AA35" s="58"/>
      <c r="AB35" s="58"/>
    </row>
    <row r="36" spans="2:30" ht="15.75" hidden="1" customHeight="1">
      <c r="W36" s="185"/>
      <c r="X36" s="165"/>
      <c r="Y36" s="165"/>
      <c r="Z36" s="165"/>
      <c r="AA36" s="58"/>
      <c r="AB36" s="186"/>
    </row>
    <row r="37" spans="2:30" ht="15.75" hidden="1" customHeight="1"/>
    <row r="38" spans="2:30" s="166" customFormat="1" ht="15.75" customHeight="1">
      <c r="B38" s="187"/>
      <c r="C38" s="165"/>
      <c r="D38" s="165"/>
      <c r="E38" s="165"/>
      <c r="F38" s="58"/>
      <c r="G38" s="165"/>
      <c r="H38" s="165"/>
      <c r="I38" s="187"/>
      <c r="J38" s="165"/>
      <c r="K38" s="165"/>
      <c r="L38" s="165"/>
      <c r="M38" s="58"/>
      <c r="N38" s="165"/>
      <c r="O38" s="165"/>
      <c r="P38" s="187"/>
      <c r="Q38" s="165"/>
      <c r="R38" s="165"/>
      <c r="S38" s="165"/>
      <c r="T38" s="58"/>
      <c r="U38" s="165"/>
      <c r="V38" s="165"/>
      <c r="W38" s="165"/>
      <c r="X38" s="165"/>
      <c r="Y38" s="165"/>
      <c r="Z38" s="165"/>
      <c r="AA38" s="165"/>
      <c r="AB38" s="186"/>
    </row>
    <row r="39" spans="2:30" ht="15.75" customHeight="1">
      <c r="B39" s="188" t="s">
        <v>418</v>
      </c>
      <c r="C39" s="189"/>
      <c r="D39" s="189"/>
      <c r="E39" s="189"/>
      <c r="F39" s="190"/>
      <c r="G39" s="191"/>
      <c r="I39" s="188" t="s">
        <v>418</v>
      </c>
      <c r="J39" s="189"/>
      <c r="K39" s="189"/>
      <c r="L39" s="189"/>
      <c r="M39" s="190"/>
      <c r="N39" s="191"/>
      <c r="P39" s="188" t="s">
        <v>418</v>
      </c>
      <c r="Q39" s="189"/>
      <c r="R39" s="189"/>
      <c r="S39" s="189"/>
      <c r="T39" s="190"/>
      <c r="U39" s="191"/>
      <c r="W39" s="188" t="s">
        <v>418</v>
      </c>
      <c r="X39" s="162"/>
      <c r="Y39" s="162"/>
      <c r="Z39" s="162"/>
      <c r="AA39" s="162"/>
      <c r="AB39" s="163"/>
    </row>
    <row r="40" spans="2:30" ht="36" customHeight="1">
      <c r="B40" s="164" t="s">
        <v>42</v>
      </c>
      <c r="C40" s="164" t="s">
        <v>43</v>
      </c>
      <c r="D40" s="164" t="s">
        <v>44</v>
      </c>
      <c r="E40" s="164" t="s">
        <v>45</v>
      </c>
      <c r="F40" s="164" t="s">
        <v>46</v>
      </c>
      <c r="G40" s="164" t="s">
        <v>47</v>
      </c>
      <c r="I40" s="164" t="s">
        <v>42</v>
      </c>
      <c r="J40" s="164" t="s">
        <v>43</v>
      </c>
      <c r="K40" s="164" t="s">
        <v>44</v>
      </c>
      <c r="L40" s="164" t="s">
        <v>45</v>
      </c>
      <c r="M40" s="164" t="s">
        <v>46</v>
      </c>
      <c r="N40" s="164" t="s">
        <v>47</v>
      </c>
      <c r="P40" s="164" t="s">
        <v>42</v>
      </c>
      <c r="Q40" s="164" t="s">
        <v>43</v>
      </c>
      <c r="R40" s="164" t="s">
        <v>44</v>
      </c>
      <c r="S40" s="164" t="s">
        <v>45</v>
      </c>
      <c r="T40" s="164" t="s">
        <v>46</v>
      </c>
      <c r="U40" s="164" t="s">
        <v>47</v>
      </c>
      <c r="W40" s="164" t="s">
        <v>42</v>
      </c>
      <c r="X40" s="164" t="s">
        <v>43</v>
      </c>
      <c r="Y40" s="164" t="s">
        <v>44</v>
      </c>
      <c r="Z40" s="164" t="s">
        <v>45</v>
      </c>
      <c r="AA40" s="164" t="s">
        <v>46</v>
      </c>
      <c r="AB40" s="164" t="s">
        <v>47</v>
      </c>
    </row>
    <row r="41" spans="2:30" ht="18.75" customHeight="1">
      <c r="B41" s="227" t="s">
        <v>48</v>
      </c>
      <c r="C41" s="167">
        <f>COUNTIFS('1. All Data'!$AA$3:$AA$134,"Creating a prosperous East Staffordshire",'1. All Data'!$H$3:$H$134,"Fully Achieved")</f>
        <v>0</v>
      </c>
      <c r="D41" s="168">
        <f>C41/C52</f>
        <v>0</v>
      </c>
      <c r="E41" s="375">
        <f>D41+D42</f>
        <v>0.63636363636363635</v>
      </c>
      <c r="F41" s="168">
        <f>C41/C53</f>
        <v>0</v>
      </c>
      <c r="G41" s="377">
        <f>F41+F42</f>
        <v>1</v>
      </c>
      <c r="I41" s="227" t="s">
        <v>48</v>
      </c>
      <c r="J41" s="167">
        <f>COUNTIFS('1. All Data'!$AA$3:$AA$134,"Creating a prosperous East Staffordshire",'1. All Data'!$M$3:$M$134,"Fully Achieved")</f>
        <v>4</v>
      </c>
      <c r="K41" s="168">
        <f>J41/J52</f>
        <v>0.36363636363636365</v>
      </c>
      <c r="L41" s="375">
        <f>K41+K42</f>
        <v>0.90909090909090906</v>
      </c>
      <c r="M41" s="168">
        <f>J41/J53</f>
        <v>0.4</v>
      </c>
      <c r="N41" s="377">
        <f>M41+M42</f>
        <v>1</v>
      </c>
      <c r="P41" s="227" t="s">
        <v>48</v>
      </c>
      <c r="Q41" s="167">
        <f>COUNTIFS('1. All Data'!$AA$3:$AA$134,"Creating a prosperous East Staffordshire",'1. All Data'!$R$3:$R$134,"Fully Achieved")</f>
        <v>0</v>
      </c>
      <c r="R41" s="168" t="e">
        <f>Q41/Q52</f>
        <v>#DIV/0!</v>
      </c>
      <c r="S41" s="375" t="e">
        <f>R41+R42</f>
        <v>#DIV/0!</v>
      </c>
      <c r="T41" s="168" t="e">
        <f>Q41/Q53</f>
        <v>#DIV/0!</v>
      </c>
      <c r="U41" s="377" t="e">
        <f>T41+T42</f>
        <v>#DIV/0!</v>
      </c>
      <c r="W41" s="227" t="s">
        <v>48</v>
      </c>
      <c r="X41" s="167">
        <f>COUNTIFS('1. All Data'!$AA$3:$AA$134,"Creating a prosperous East Staffordshire",'1. All Data'!$V$3:$V$134,"Fully Achieved")</f>
        <v>0</v>
      </c>
      <c r="Y41" s="168" t="e">
        <f>X41/X52</f>
        <v>#DIV/0!</v>
      </c>
      <c r="Z41" s="375" t="e">
        <f>Y41+Y42</f>
        <v>#DIV/0!</v>
      </c>
      <c r="AA41" s="168" t="e">
        <f>X41/X53</f>
        <v>#DIV/0!</v>
      </c>
      <c r="AB41" s="377" t="e">
        <f>AA41+AA42</f>
        <v>#DIV/0!</v>
      </c>
    </row>
    <row r="42" spans="2:30" ht="18.75" customHeight="1">
      <c r="B42" s="227" t="s">
        <v>31</v>
      </c>
      <c r="C42" s="167">
        <f>COUNTIFS('1. All Data'!$AA$3:$AA$134,"Creating a prosperous East Staffordshire",'1. All Data'!$H$3:$H$134,"On Track to be achieved")</f>
        <v>7</v>
      </c>
      <c r="D42" s="168">
        <f>C42/C52</f>
        <v>0.63636363636363635</v>
      </c>
      <c r="E42" s="375"/>
      <c r="F42" s="168">
        <f>C42/C53</f>
        <v>1</v>
      </c>
      <c r="G42" s="377"/>
      <c r="I42" s="227" t="s">
        <v>31</v>
      </c>
      <c r="J42" s="167">
        <f>COUNTIFS('1. All Data'!$AA$3:$AA$134,"Creating a prosperous East Staffordshire",'1. All Data'!$M$3:$M$134,"On Track to be achieved")</f>
        <v>6</v>
      </c>
      <c r="K42" s="168">
        <f>J42/J52</f>
        <v>0.54545454545454541</v>
      </c>
      <c r="L42" s="375"/>
      <c r="M42" s="168">
        <f>J42/J53</f>
        <v>0.6</v>
      </c>
      <c r="N42" s="377"/>
      <c r="P42" s="227" t="s">
        <v>31</v>
      </c>
      <c r="Q42" s="167">
        <f>COUNTIFS('1. All Data'!$AA$3:$AA$134,"Creating a prosperous East Staffordshire",'1. All Data'!$R$3:$R$134,"On Track to be achieved")</f>
        <v>0</v>
      </c>
      <c r="R42" s="168" t="e">
        <f>Q42/Q52</f>
        <v>#DIV/0!</v>
      </c>
      <c r="S42" s="375"/>
      <c r="T42" s="168" t="e">
        <f>Q42/Q53</f>
        <v>#DIV/0!</v>
      </c>
      <c r="U42" s="377"/>
      <c r="W42" s="227" t="s">
        <v>23</v>
      </c>
      <c r="X42" s="167">
        <f>COUNTIFS('1. All Data'!$AA$3:$AA$134,"Creating a prosperous East Staffordshire",'1. All Data'!$V$3:$V$134,"Numerical Outturn Within 5% Tolerance")</f>
        <v>0</v>
      </c>
      <c r="Y42" s="168" t="e">
        <f>X42/X52</f>
        <v>#DIV/0!</v>
      </c>
      <c r="Z42" s="375"/>
      <c r="AA42" s="168" t="e">
        <f>X42/X53</f>
        <v>#DIV/0!</v>
      </c>
      <c r="AB42" s="377"/>
    </row>
    <row r="43" spans="2:30" ht="19.5" customHeight="1">
      <c r="B43" s="385" t="s">
        <v>32</v>
      </c>
      <c r="C43" s="388">
        <f>COUNTIFS('1. All Data'!$AA$3:$AA$134,"Creating a prosperous East Staffordshire",'1. All Data'!$H$3:$H$134,"In Danger of Falling Behind Target")</f>
        <v>0</v>
      </c>
      <c r="D43" s="378">
        <f>C43/C52</f>
        <v>0</v>
      </c>
      <c r="E43" s="378">
        <f>D43</f>
        <v>0</v>
      </c>
      <c r="F43" s="378">
        <f>C43/C53</f>
        <v>0</v>
      </c>
      <c r="G43" s="381">
        <f>F43</f>
        <v>0</v>
      </c>
      <c r="I43" s="385" t="s">
        <v>32</v>
      </c>
      <c r="J43" s="388">
        <f>COUNTIFS('1. All Data'!$AA$3:$AA$134,"Creating a prosperous East Staffordshire",'1. All Data'!$M$3:$M$134,"In Danger of Falling Behind Target")</f>
        <v>0</v>
      </c>
      <c r="K43" s="378">
        <f>J43/J52</f>
        <v>0</v>
      </c>
      <c r="L43" s="378">
        <f>K43</f>
        <v>0</v>
      </c>
      <c r="M43" s="378">
        <f>J43/J53</f>
        <v>0</v>
      </c>
      <c r="N43" s="381">
        <f>M43</f>
        <v>0</v>
      </c>
      <c r="P43" s="385" t="s">
        <v>32</v>
      </c>
      <c r="Q43" s="388">
        <f>COUNTIFS('1. All Data'!$AA$3:$AA$134,"Creating a prosperous East Staffordshire",'1. All Data'!$R$3:$R$134,"In Danger of Falling Behind Target")</f>
        <v>0</v>
      </c>
      <c r="R43" s="378" t="e">
        <f>Q43/Q52</f>
        <v>#DIV/0!</v>
      </c>
      <c r="S43" s="378" t="e">
        <f>R43</f>
        <v>#DIV/0!</v>
      </c>
      <c r="T43" s="378" t="e">
        <f>Q43/Q53</f>
        <v>#DIV/0!</v>
      </c>
      <c r="U43" s="381" t="e">
        <f>T43</f>
        <v>#DIV/0!</v>
      </c>
      <c r="W43" s="169" t="s">
        <v>24</v>
      </c>
      <c r="X43" s="170">
        <f>COUNTIFS('1. All Data'!$AA$3:$AA$134,"Creating a prosperous East Staffordshire",'1. All Data'!$V$3:$V$134,"Numerical Outturn Within 10% Tolerance")</f>
        <v>0</v>
      </c>
      <c r="Y43" s="168" t="e">
        <f>X43/X52</f>
        <v>#DIV/0!</v>
      </c>
      <c r="Z43" s="375" t="e">
        <f>SUM(Y43:Y45)</f>
        <v>#DIV/0!</v>
      </c>
      <c r="AA43" s="168" t="e">
        <f>X43/X53</f>
        <v>#DIV/0!</v>
      </c>
      <c r="AB43" s="384" t="e">
        <f>SUM(AA43:AA45)</f>
        <v>#DIV/0!</v>
      </c>
    </row>
    <row r="44" spans="2:30" ht="19.5" customHeight="1">
      <c r="B44" s="386"/>
      <c r="C44" s="389"/>
      <c r="D44" s="379"/>
      <c r="E44" s="379"/>
      <c r="F44" s="379"/>
      <c r="G44" s="382"/>
      <c r="I44" s="386"/>
      <c r="J44" s="389"/>
      <c r="K44" s="379"/>
      <c r="L44" s="379"/>
      <c r="M44" s="379"/>
      <c r="N44" s="382"/>
      <c r="P44" s="386"/>
      <c r="Q44" s="389"/>
      <c r="R44" s="379"/>
      <c r="S44" s="379"/>
      <c r="T44" s="379"/>
      <c r="U44" s="382"/>
      <c r="W44" s="169" t="s">
        <v>25</v>
      </c>
      <c r="X44" s="170">
        <f>COUNTIFS('1. All Data'!$AA$3:$AA$134,"Creating a prosperous East Staffordshire",'1. All Data'!$V$3:$V$134,"Target Partially Met")</f>
        <v>0</v>
      </c>
      <c r="Y44" s="168" t="e">
        <f>X44/X52</f>
        <v>#DIV/0!</v>
      </c>
      <c r="Z44" s="375"/>
      <c r="AA44" s="168" t="e">
        <f>X44/X53</f>
        <v>#DIV/0!</v>
      </c>
      <c r="AB44" s="384"/>
    </row>
    <row r="45" spans="2:30" ht="19.5" customHeight="1">
      <c r="B45" s="387"/>
      <c r="C45" s="390"/>
      <c r="D45" s="380"/>
      <c r="E45" s="380"/>
      <c r="F45" s="380"/>
      <c r="G45" s="383"/>
      <c r="I45" s="387"/>
      <c r="J45" s="390"/>
      <c r="K45" s="380"/>
      <c r="L45" s="380"/>
      <c r="M45" s="380"/>
      <c r="N45" s="383"/>
      <c r="P45" s="387"/>
      <c r="Q45" s="390"/>
      <c r="R45" s="380"/>
      <c r="S45" s="380"/>
      <c r="T45" s="380"/>
      <c r="U45" s="383"/>
      <c r="W45" s="169" t="s">
        <v>28</v>
      </c>
      <c r="X45" s="170">
        <f>COUNTIFS('1. All Data'!$AA$3:$AA$134,"Creating a prosperous East Staffordshire",'1. All Data'!$V$3:$V$134,"Completion Date Within Reasonable Tolerance")</f>
        <v>0</v>
      </c>
      <c r="Y45" s="168" t="e">
        <f>X45/X52</f>
        <v>#DIV/0!</v>
      </c>
      <c r="Z45" s="375"/>
      <c r="AA45" s="168" t="e">
        <f>X45/X53</f>
        <v>#DIV/0!</v>
      </c>
      <c r="AB45" s="384"/>
    </row>
    <row r="46" spans="2:30" ht="22.5" customHeight="1">
      <c r="B46" s="171" t="s">
        <v>33</v>
      </c>
      <c r="C46" s="167">
        <f>COUNTIFS('1. All Data'!$AA$3:$AA$134,"Creating a prosperous East Staffordshire",'1. All Data'!$H$3:$H$134,"Completed Behind Schedule")</f>
        <v>0</v>
      </c>
      <c r="D46" s="168">
        <f>C46/C52</f>
        <v>0</v>
      </c>
      <c r="E46" s="375">
        <f>D46+D47</f>
        <v>0</v>
      </c>
      <c r="F46" s="168">
        <f>C46/C53</f>
        <v>0</v>
      </c>
      <c r="G46" s="376">
        <f>F46+F47</f>
        <v>0</v>
      </c>
      <c r="I46" s="171" t="s">
        <v>33</v>
      </c>
      <c r="J46" s="167">
        <f>COUNTIFS('1. All Data'!$AA$3:$AA$134,"Creating a prosperous East Staffordshire",'1. All Data'!$M$3:$M$134,"Completed Behind Schedule")</f>
        <v>0</v>
      </c>
      <c r="K46" s="168">
        <f>J46/J52</f>
        <v>0</v>
      </c>
      <c r="L46" s="375">
        <f>K46+K47</f>
        <v>0</v>
      </c>
      <c r="M46" s="168">
        <f>J46/J53</f>
        <v>0</v>
      </c>
      <c r="N46" s="376">
        <f>M46+M47</f>
        <v>0</v>
      </c>
      <c r="P46" s="171" t="s">
        <v>33</v>
      </c>
      <c r="Q46" s="167">
        <f>COUNTIFS('1. All Data'!$AA$3:$AA$134,"Creating a prosperous East Staffordshire",'1. All Data'!$R$3:$R$134,"Completed Behind Schedule")</f>
        <v>0</v>
      </c>
      <c r="R46" s="168" t="e">
        <f>Q46/Q52</f>
        <v>#DIV/0!</v>
      </c>
      <c r="S46" s="375" t="e">
        <f>R46+R47</f>
        <v>#DIV/0!</v>
      </c>
      <c r="T46" s="168" t="e">
        <f>Q46/Q53</f>
        <v>#DIV/0!</v>
      </c>
      <c r="U46" s="376" t="e">
        <f>T46+T47</f>
        <v>#DIV/0!</v>
      </c>
      <c r="W46" s="171" t="s">
        <v>27</v>
      </c>
      <c r="X46" s="167">
        <f>COUNTIFS('1. All Data'!$AA$3:$AA$134,"Creating a prosperous East Staffordshire",'1. All Data'!$V$3:$V$134,"Completed Significantly After Target Deadline")</f>
        <v>0</v>
      </c>
      <c r="Y46" s="168" t="e">
        <f>X46/X52</f>
        <v>#DIV/0!</v>
      </c>
      <c r="Z46" s="375" t="e">
        <f>SUM(Y46:Y47)</f>
        <v>#DIV/0!</v>
      </c>
      <c r="AA46" s="168" t="e">
        <f>X46/X53</f>
        <v>#DIV/0!</v>
      </c>
      <c r="AB46" s="376" t="e">
        <f>AA46+AA47</f>
        <v>#DIV/0!</v>
      </c>
    </row>
    <row r="47" spans="2:30" ht="22.5" customHeight="1">
      <c r="B47" s="171" t="s">
        <v>26</v>
      </c>
      <c r="C47" s="167">
        <f>COUNTIFS('1. All Data'!$AA$3:$AA$134,"Creating a prosperous East Staffordshire",'1. All Data'!$H$3:$H$134,"Off Target")</f>
        <v>0</v>
      </c>
      <c r="D47" s="168">
        <f>C47/C52</f>
        <v>0</v>
      </c>
      <c r="E47" s="375"/>
      <c r="F47" s="168">
        <f>C47/C53</f>
        <v>0</v>
      </c>
      <c r="G47" s="376"/>
      <c r="I47" s="171" t="s">
        <v>26</v>
      </c>
      <c r="J47" s="167">
        <f>COUNTIFS('1. All Data'!$AA$3:$AA$134,"Creating a prosperous East Staffordshire",'1. All Data'!$M$3:$M$134,"Off Target")</f>
        <v>0</v>
      </c>
      <c r="K47" s="168">
        <f>J47/J52</f>
        <v>0</v>
      </c>
      <c r="L47" s="375"/>
      <c r="M47" s="168">
        <f>J47/J53</f>
        <v>0</v>
      </c>
      <c r="N47" s="376"/>
      <c r="P47" s="171" t="s">
        <v>26</v>
      </c>
      <c r="Q47" s="167">
        <f>COUNTIFS('1. All Data'!$AA$3:$AA$134,"Creating a prosperous East Staffordshire",'1. All Data'!$R$3:$R$134,"Off Target")</f>
        <v>0</v>
      </c>
      <c r="R47" s="168" t="e">
        <f>Q47/Q52</f>
        <v>#DIV/0!</v>
      </c>
      <c r="S47" s="375"/>
      <c r="T47" s="168" t="e">
        <f>Q47/Q53</f>
        <v>#DIV/0!</v>
      </c>
      <c r="U47" s="376"/>
      <c r="W47" s="171" t="s">
        <v>26</v>
      </c>
      <c r="X47" s="167">
        <f>COUNTIFS('1. All Data'!$AA$3:$AA$134,"Creating a prosperous East Staffordshire",'1. All Data'!$V$3:$V$134,"Off Target")</f>
        <v>0</v>
      </c>
      <c r="Y47" s="168" t="e">
        <f>X47/X52</f>
        <v>#DIV/0!</v>
      </c>
      <c r="Z47" s="375"/>
      <c r="AA47" s="168" t="e">
        <f>X47/X53</f>
        <v>#DIV/0!</v>
      </c>
      <c r="AB47" s="376"/>
    </row>
    <row r="48" spans="2:30" ht="15.75" customHeight="1">
      <c r="B48" s="172" t="s">
        <v>49</v>
      </c>
      <c r="C48" s="167">
        <f>COUNTIFS('1. All Data'!$AA$3:$AA$134,"Creating a prosperous East Staffordshire",'1. All Data'!$H$3:$H$134,"Not yet due")</f>
        <v>4</v>
      </c>
      <c r="D48" s="173">
        <f>C48/C52</f>
        <v>0.36363636363636365</v>
      </c>
      <c r="E48" s="173">
        <f>D48</f>
        <v>0.36363636363636365</v>
      </c>
      <c r="F48" s="174"/>
      <c r="G48" s="58"/>
      <c r="I48" s="172" t="s">
        <v>49</v>
      </c>
      <c r="J48" s="167">
        <f>COUNTIFS('1. All Data'!$AA$3:$AA$134,"Creating a prosperous East Staffordshire",'1. All Data'!$M$3:$M$134,"Not yet due")</f>
        <v>1</v>
      </c>
      <c r="K48" s="173">
        <f>J48/J52</f>
        <v>9.0909090909090912E-2</v>
      </c>
      <c r="L48" s="173">
        <f>K48</f>
        <v>9.0909090909090912E-2</v>
      </c>
      <c r="M48" s="174"/>
      <c r="N48" s="58"/>
      <c r="P48" s="172" t="s">
        <v>49</v>
      </c>
      <c r="Q48" s="167">
        <f>COUNTIFS('1. All Data'!$AA$3:$AA$134,"Creating a prosperous East Staffordshire",'1. All Data'!$R$3:$R$134,"Not yet due")</f>
        <v>0</v>
      </c>
      <c r="R48" s="173" t="e">
        <f>Q48/Q52</f>
        <v>#DIV/0!</v>
      </c>
      <c r="S48" s="173" t="e">
        <f>R48</f>
        <v>#DIV/0!</v>
      </c>
      <c r="T48" s="174"/>
      <c r="U48" s="58"/>
      <c r="W48" s="172" t="s">
        <v>49</v>
      </c>
      <c r="X48" s="167">
        <f>COUNTIFS('1. All Data'!$AA$3:$AA$134,"Creating a prosperous East Staffordshire",'1. All Data'!$V$3:$V$134,"Not yet due")</f>
        <v>0</v>
      </c>
      <c r="Y48" s="168" t="e">
        <f>X48/X52</f>
        <v>#DIV/0!</v>
      </c>
      <c r="Z48" s="168" t="e">
        <f>Y48</f>
        <v>#DIV/0!</v>
      </c>
      <c r="AA48" s="174"/>
      <c r="AB48" s="58"/>
    </row>
    <row r="49" spans="2:30" ht="15.75" customHeight="1">
      <c r="B49" s="172" t="s">
        <v>21</v>
      </c>
      <c r="C49" s="167">
        <f>COUNTIFS('1. All Data'!$AA$3:$AA$134,"Creating a prosperous East Staffordshire",'1. All Data'!$H$3:$H$134,"update not provided")</f>
        <v>0</v>
      </c>
      <c r="D49" s="173">
        <f>C49/C52</f>
        <v>0</v>
      </c>
      <c r="E49" s="173">
        <f>D49</f>
        <v>0</v>
      </c>
      <c r="F49" s="174"/>
      <c r="G49" s="2"/>
      <c r="I49" s="172" t="s">
        <v>21</v>
      </c>
      <c r="J49" s="167">
        <f>COUNTIFS('1. All Data'!$AA$3:$AA$134,"Creating a prosperous East Staffordshire",'1. All Data'!$M$3:$M$134,"update not provided")</f>
        <v>0</v>
      </c>
      <c r="K49" s="173">
        <f>J49/J52</f>
        <v>0</v>
      </c>
      <c r="L49" s="173">
        <f>K49</f>
        <v>0</v>
      </c>
      <c r="M49" s="174"/>
      <c r="N49" s="2"/>
      <c r="P49" s="172" t="s">
        <v>21</v>
      </c>
      <c r="Q49" s="167">
        <f>COUNTIFS('1. All Data'!$AA$3:$AA$134,"Creating a prosperous East Staffordshire",'1. All Data'!$R$3:$R$134,"update not provided")</f>
        <v>0</v>
      </c>
      <c r="R49" s="173" t="e">
        <f>Q49/Q52</f>
        <v>#DIV/0!</v>
      </c>
      <c r="S49" s="173" t="e">
        <f>R49</f>
        <v>#DIV/0!</v>
      </c>
      <c r="T49" s="174"/>
      <c r="U49" s="2"/>
      <c r="W49" s="172" t="s">
        <v>21</v>
      </c>
      <c r="X49" s="167">
        <f>COUNTIFS('1. All Data'!$AA$3:$AA$134,"Creating a prosperous East Staffordshire",'1. All Data'!$V$3:$V$134,"update not provided")</f>
        <v>0</v>
      </c>
      <c r="Y49" s="168" t="e">
        <f>X49/X52</f>
        <v>#DIV/0!</v>
      </c>
      <c r="Z49" s="168" t="e">
        <f t="shared" ref="Z49:Z51" si="6">Y49</f>
        <v>#DIV/0!</v>
      </c>
      <c r="AA49" s="174"/>
      <c r="AB49" s="2"/>
    </row>
    <row r="50" spans="2:30" ht="15.75" customHeight="1">
      <c r="B50" s="175" t="s">
        <v>29</v>
      </c>
      <c r="C50" s="167">
        <f>COUNTIFS('1. All Data'!$AA$3:$AA$134,"Creating a prosperous East Staffordshire",'1. All Data'!$H$3:$H$134,"Deferred")</f>
        <v>0</v>
      </c>
      <c r="D50" s="176">
        <f>C50/C52</f>
        <v>0</v>
      </c>
      <c r="E50" s="176">
        <f>D50</f>
        <v>0</v>
      </c>
      <c r="F50" s="177"/>
      <c r="G50" s="58"/>
      <c r="I50" s="175" t="s">
        <v>29</v>
      </c>
      <c r="J50" s="167">
        <f>COUNTIFS('1. All Data'!$AA$3:$AA$134,"Creating a prosperous East Staffordshire",'1. All Data'!$M$3:$M$134,"Deferred")</f>
        <v>0</v>
      </c>
      <c r="K50" s="176">
        <f>J50/J52</f>
        <v>0</v>
      </c>
      <c r="L50" s="176">
        <f>K50</f>
        <v>0</v>
      </c>
      <c r="M50" s="177"/>
      <c r="N50" s="58"/>
      <c r="P50" s="175" t="s">
        <v>29</v>
      </c>
      <c r="Q50" s="167">
        <f>COUNTIFS('1. All Data'!$AA$3:$AA$134,"Creating a prosperous East Staffordshire",'1. All Data'!$R$3:$R$134,"Deferred")</f>
        <v>0</v>
      </c>
      <c r="R50" s="176" t="e">
        <f>Q50/Q52</f>
        <v>#DIV/0!</v>
      </c>
      <c r="S50" s="176" t="e">
        <f>R50</f>
        <v>#DIV/0!</v>
      </c>
      <c r="T50" s="177"/>
      <c r="U50" s="58"/>
      <c r="W50" s="175" t="s">
        <v>29</v>
      </c>
      <c r="X50" s="167">
        <f>COUNTIFS('1. All Data'!$AA$3:$AA$134,"Creating a prosperous East Staffordshire",'1. All Data'!$V$3:$V$134,"Deferred")</f>
        <v>0</v>
      </c>
      <c r="Y50" s="168" t="e">
        <f>X50/X52</f>
        <v>#DIV/0!</v>
      </c>
      <c r="Z50" s="168" t="e">
        <f t="shared" si="6"/>
        <v>#DIV/0!</v>
      </c>
      <c r="AA50" s="177"/>
      <c r="AB50" s="58"/>
    </row>
    <row r="51" spans="2:30" ht="15.75" customHeight="1">
      <c r="B51" s="175" t="s">
        <v>30</v>
      </c>
      <c r="C51" s="192">
        <f>COUNTIFS('1. All Data'!$AA$3:$AA$134,"Creating a prosperous East Staffordshire",'1. All Data'!$H$3:$H$134,"Deleted")</f>
        <v>0</v>
      </c>
      <c r="D51" s="176">
        <f>C51/C52</f>
        <v>0</v>
      </c>
      <c r="E51" s="176">
        <f>D51</f>
        <v>0</v>
      </c>
      <c r="F51" s="177"/>
      <c r="G51" s="3"/>
      <c r="I51" s="175" t="s">
        <v>30</v>
      </c>
      <c r="J51" s="192">
        <f>COUNTIFS('1. All Data'!$AA$3:$AA$134,"Creating a prosperous East Staffordshire",'1. All Data'!$M$3:$M$134,"Deleted")</f>
        <v>0</v>
      </c>
      <c r="K51" s="176">
        <f>J51/J52</f>
        <v>0</v>
      </c>
      <c r="L51" s="176">
        <f>K51</f>
        <v>0</v>
      </c>
      <c r="M51" s="177"/>
      <c r="N51" s="3"/>
      <c r="P51" s="175" t="s">
        <v>30</v>
      </c>
      <c r="Q51" s="192">
        <f>COUNTIFS('1. All Data'!$AA$3:$AA$134,"Creating a prosperous East Staffordshire",'1. All Data'!$R$3:$R$134,"Deleted")</f>
        <v>0</v>
      </c>
      <c r="R51" s="176" t="e">
        <f>Q51/Q52</f>
        <v>#DIV/0!</v>
      </c>
      <c r="S51" s="176" t="e">
        <f>R51</f>
        <v>#DIV/0!</v>
      </c>
      <c r="T51" s="177"/>
      <c r="U51" s="3"/>
      <c r="W51" s="175" t="s">
        <v>30</v>
      </c>
      <c r="X51" s="167">
        <f>COUNTIFS('1. All Data'!$AA$3:$AA$134,"Creating a prosperous East Staffordshire",'1. All Data'!$V$3:$V$134,"Deleted")</f>
        <v>0</v>
      </c>
      <c r="Y51" s="168" t="e">
        <f>X51/X52</f>
        <v>#DIV/0!</v>
      </c>
      <c r="Z51" s="168" t="e">
        <f t="shared" si="6"/>
        <v>#DIV/0!</v>
      </c>
      <c r="AA51" s="177"/>
      <c r="AD51" s="3"/>
    </row>
    <row r="52" spans="2:30" ht="15.75" customHeight="1">
      <c r="B52" s="193" t="s">
        <v>51</v>
      </c>
      <c r="C52" s="179">
        <f>SUM(C41:C51)</f>
        <v>11</v>
      </c>
      <c r="D52" s="177"/>
      <c r="E52" s="177"/>
      <c r="F52" s="58"/>
      <c r="G52" s="58"/>
      <c r="I52" s="193" t="s">
        <v>51</v>
      </c>
      <c r="J52" s="179">
        <f>SUM(J41:J51)</f>
        <v>11</v>
      </c>
      <c r="K52" s="177"/>
      <c r="L52" s="177"/>
      <c r="M52" s="58"/>
      <c r="N52" s="58"/>
      <c r="P52" s="193" t="s">
        <v>51</v>
      </c>
      <c r="Q52" s="179">
        <f>SUM(Q41:Q51)</f>
        <v>0</v>
      </c>
      <c r="R52" s="177"/>
      <c r="S52" s="177"/>
      <c r="T52" s="58"/>
      <c r="U52" s="58"/>
      <c r="W52" s="178" t="s">
        <v>51</v>
      </c>
      <c r="X52" s="179">
        <f>SUM(X41:X51)</f>
        <v>0</v>
      </c>
      <c r="Y52" s="177"/>
      <c r="Z52" s="177"/>
      <c r="AA52" s="58"/>
      <c r="AB52" s="58"/>
    </row>
    <row r="53" spans="2:30" ht="15.75" customHeight="1">
      <c r="B53" s="193" t="s">
        <v>52</v>
      </c>
      <c r="C53" s="179">
        <f>C52-C51-C50-C49-C48</f>
        <v>7</v>
      </c>
      <c r="D53" s="58"/>
      <c r="E53" s="58"/>
      <c r="F53" s="58"/>
      <c r="G53" s="58"/>
      <c r="I53" s="193" t="s">
        <v>52</v>
      </c>
      <c r="J53" s="179">
        <f>J52-J51-J50-J49-J48</f>
        <v>10</v>
      </c>
      <c r="K53" s="58"/>
      <c r="L53" s="58"/>
      <c r="M53" s="58"/>
      <c r="N53" s="58"/>
      <c r="P53" s="193" t="s">
        <v>52</v>
      </c>
      <c r="Q53" s="179">
        <f>Q52-Q51-Q50-Q49-Q48</f>
        <v>0</v>
      </c>
      <c r="R53" s="58"/>
      <c r="S53" s="58"/>
      <c r="T53" s="58"/>
      <c r="U53" s="58"/>
      <c r="W53" s="178" t="s">
        <v>52</v>
      </c>
      <c r="X53" s="179">
        <f>X52-X51-X50-X49-X48</f>
        <v>0</v>
      </c>
      <c r="Y53" s="58"/>
      <c r="Z53" s="58"/>
      <c r="AA53" s="58"/>
      <c r="AB53" s="58"/>
    </row>
    <row r="54" spans="2:30" ht="15.75" hidden="1" customHeight="1">
      <c r="X54" s="194"/>
    </row>
    <row r="55" spans="2:30" ht="15.75" hidden="1" customHeight="1">
      <c r="X55" s="194"/>
    </row>
    <row r="56" spans="2:30" ht="15.75" customHeight="1">
      <c r="X56" s="194"/>
    </row>
    <row r="57" spans="2:30" ht="15.75" customHeight="1">
      <c r="B57" s="188" t="s">
        <v>419</v>
      </c>
      <c r="C57" s="189"/>
      <c r="D57" s="189"/>
      <c r="E57" s="189"/>
      <c r="F57" s="190"/>
      <c r="G57" s="191"/>
      <c r="I57" s="188" t="s">
        <v>419</v>
      </c>
      <c r="J57" s="189"/>
      <c r="K57" s="189"/>
      <c r="L57" s="189"/>
      <c r="M57" s="190"/>
      <c r="N57" s="191"/>
      <c r="P57" s="188" t="s">
        <v>419</v>
      </c>
      <c r="Q57" s="189"/>
      <c r="R57" s="189"/>
      <c r="S57" s="189"/>
      <c r="T57" s="190"/>
      <c r="U57" s="191"/>
      <c r="W57" s="188" t="s">
        <v>419</v>
      </c>
      <c r="X57" s="195"/>
      <c r="Y57" s="162"/>
      <c r="Z57" s="162"/>
      <c r="AA57" s="162"/>
      <c r="AB57" s="163"/>
    </row>
    <row r="58" spans="2:30" ht="41.25" customHeight="1">
      <c r="B58" s="164" t="s">
        <v>42</v>
      </c>
      <c r="C58" s="164" t="s">
        <v>43</v>
      </c>
      <c r="D58" s="164" t="s">
        <v>44</v>
      </c>
      <c r="E58" s="164" t="s">
        <v>45</v>
      </c>
      <c r="F58" s="164" t="s">
        <v>46</v>
      </c>
      <c r="G58" s="164" t="s">
        <v>47</v>
      </c>
      <c r="I58" s="164" t="s">
        <v>42</v>
      </c>
      <c r="J58" s="164" t="s">
        <v>43</v>
      </c>
      <c r="K58" s="164" t="s">
        <v>44</v>
      </c>
      <c r="L58" s="164" t="s">
        <v>45</v>
      </c>
      <c r="M58" s="164" t="s">
        <v>46</v>
      </c>
      <c r="N58" s="164" t="s">
        <v>47</v>
      </c>
      <c r="P58" s="164" t="s">
        <v>42</v>
      </c>
      <c r="Q58" s="164" t="s">
        <v>43</v>
      </c>
      <c r="R58" s="164" t="s">
        <v>44</v>
      </c>
      <c r="S58" s="164" t="s">
        <v>45</v>
      </c>
      <c r="T58" s="164" t="s">
        <v>46</v>
      </c>
      <c r="U58" s="164" t="s">
        <v>47</v>
      </c>
      <c r="W58" s="164" t="s">
        <v>42</v>
      </c>
      <c r="X58" s="164" t="s">
        <v>43</v>
      </c>
      <c r="Y58" s="164" t="s">
        <v>44</v>
      </c>
      <c r="Z58" s="164" t="s">
        <v>45</v>
      </c>
      <c r="AA58" s="164" t="s">
        <v>46</v>
      </c>
      <c r="AB58" s="164" t="s">
        <v>47</v>
      </c>
    </row>
    <row r="59" spans="2:30" ht="27.75" customHeight="1">
      <c r="B59" s="227" t="s">
        <v>48</v>
      </c>
      <c r="C59" s="167">
        <f>COUNTIFS('1. All Data'!$AA$3:$AA$134,"Developing a Green New Deal for East Staffordshire",'1. All Data'!$H$3:$H$134,"Fully Achieved")</f>
        <v>0</v>
      </c>
      <c r="D59" s="168">
        <f>C59/C70</f>
        <v>0</v>
      </c>
      <c r="E59" s="375">
        <f>D59+D60</f>
        <v>0.54545454545454541</v>
      </c>
      <c r="F59" s="168">
        <f>C59/C71</f>
        <v>0</v>
      </c>
      <c r="G59" s="377">
        <f>F59+F60</f>
        <v>0.8571428571428571</v>
      </c>
      <c r="I59" s="227" t="s">
        <v>48</v>
      </c>
      <c r="J59" s="167">
        <f>COUNTIFS('1. All Data'!$AA$3:$AA$134,"Developing a Green New Deal for East Staffordshire",'1. All Data'!$M$3:$M$134,"Fully Achieved")</f>
        <v>0</v>
      </c>
      <c r="K59" s="168">
        <f>J59/J70</f>
        <v>0</v>
      </c>
      <c r="L59" s="375">
        <f>K59+K60</f>
        <v>0.90909090909090906</v>
      </c>
      <c r="M59" s="168">
        <f>J59/J71</f>
        <v>0</v>
      </c>
      <c r="N59" s="377">
        <f>M59+M60</f>
        <v>1</v>
      </c>
      <c r="P59" s="227" t="s">
        <v>48</v>
      </c>
      <c r="Q59" s="167">
        <f>COUNTIFS('1. All Data'!$AA$3:$AA$134,"Developing a Green New Deal for East Staffordshire",'1. All Data'!$R$3:$R$134,"Fully Achieved")</f>
        <v>0</v>
      </c>
      <c r="R59" s="168" t="e">
        <f>Q59/Q70</f>
        <v>#DIV/0!</v>
      </c>
      <c r="S59" s="375" t="e">
        <f>R59+R60</f>
        <v>#DIV/0!</v>
      </c>
      <c r="T59" s="168" t="e">
        <f>Q59/Q71</f>
        <v>#DIV/0!</v>
      </c>
      <c r="U59" s="377" t="e">
        <f>T59+T60</f>
        <v>#DIV/0!</v>
      </c>
      <c r="W59" s="227" t="s">
        <v>48</v>
      </c>
      <c r="X59" s="167">
        <f>COUNTIFS('1. All Data'!$AA$3:$AA$134,"Developing a Green New Deal for East Staffordshire",'1. All Data'!$V$3:$V$134,"Fully Achieved")</f>
        <v>0</v>
      </c>
      <c r="Y59" s="168" t="e">
        <f>X59/X70</f>
        <v>#DIV/0!</v>
      </c>
      <c r="Z59" s="375" t="e">
        <f>Y59+Y60</f>
        <v>#DIV/0!</v>
      </c>
      <c r="AA59" s="168" t="e">
        <f>X59/X71</f>
        <v>#DIV/0!</v>
      </c>
      <c r="AB59" s="377" t="e">
        <f>AA59+AA60</f>
        <v>#DIV/0!</v>
      </c>
    </row>
    <row r="60" spans="2:30" ht="27.75" customHeight="1">
      <c r="B60" s="227" t="s">
        <v>31</v>
      </c>
      <c r="C60" s="167">
        <f>COUNTIFS('1. All Data'!$AA$3:$AA$134,"Developing a Green New Deal for East Staffordshire",'1. All Data'!$H$3:$H$134,"On Track to be achieved")</f>
        <v>6</v>
      </c>
      <c r="D60" s="168">
        <f>C60/C70</f>
        <v>0.54545454545454541</v>
      </c>
      <c r="E60" s="375"/>
      <c r="F60" s="168">
        <f>C60/C71</f>
        <v>0.8571428571428571</v>
      </c>
      <c r="G60" s="377"/>
      <c r="I60" s="227" t="s">
        <v>31</v>
      </c>
      <c r="J60" s="167">
        <f>COUNTIFS('1. All Data'!$AA$3:$AA$134,"Developing a Green New Deal for East Staffordshire",'1. All Data'!$M$3:$M$134,"On Track to be achieved")</f>
        <v>10</v>
      </c>
      <c r="K60" s="168">
        <f>J60/J70</f>
        <v>0.90909090909090906</v>
      </c>
      <c r="L60" s="375"/>
      <c r="M60" s="168">
        <f>J60/J71</f>
        <v>1</v>
      </c>
      <c r="N60" s="377"/>
      <c r="P60" s="227" t="s">
        <v>31</v>
      </c>
      <c r="Q60" s="167">
        <f>COUNTIFS('1. All Data'!$AA$3:$AA$134,"Developing a Green New Deal for East Staffordshire",'1. All Data'!$R$3:$R$134,"On Track to be achieved")</f>
        <v>0</v>
      </c>
      <c r="R60" s="168" t="e">
        <f>Q60/Q70</f>
        <v>#DIV/0!</v>
      </c>
      <c r="S60" s="375"/>
      <c r="T60" s="168" t="e">
        <f>Q60/Q71</f>
        <v>#DIV/0!</v>
      </c>
      <c r="U60" s="377"/>
      <c r="W60" s="227" t="s">
        <v>23</v>
      </c>
      <c r="X60" s="167">
        <f>COUNTIFS('1. All Data'!$AA$3:$AA$134,"Developing a Green New Deal for East Staffordshire",'1. All Data'!$V$3:$V$134,"Numerical Outturn Within 5% Tolerance")</f>
        <v>0</v>
      </c>
      <c r="Y60" s="168" t="e">
        <f>X60/X70</f>
        <v>#DIV/0!</v>
      </c>
      <c r="Z60" s="375"/>
      <c r="AA60" s="168" t="e">
        <f>X60/X71</f>
        <v>#DIV/0!</v>
      </c>
      <c r="AB60" s="377"/>
    </row>
    <row r="61" spans="2:30" ht="18.75" customHeight="1">
      <c r="B61" s="385" t="s">
        <v>32</v>
      </c>
      <c r="C61" s="388">
        <f>COUNTIFS('1. All Data'!$AA$3:$AA$134,"Developing a Green New Deal for East Staffordshire",'1. All Data'!$H$3:$H$134,"In Danger of Falling Behind Target")</f>
        <v>1</v>
      </c>
      <c r="D61" s="378">
        <f>C61/C70</f>
        <v>9.0909090909090912E-2</v>
      </c>
      <c r="E61" s="378">
        <f>D61</f>
        <v>9.0909090909090912E-2</v>
      </c>
      <c r="F61" s="378">
        <f>C61/C71</f>
        <v>0.14285714285714285</v>
      </c>
      <c r="G61" s="381">
        <f>F61</f>
        <v>0.14285714285714285</v>
      </c>
      <c r="I61" s="385" t="s">
        <v>32</v>
      </c>
      <c r="J61" s="388">
        <f>COUNTIFS('1. All Data'!$AA$3:$AA$134,"Developing a Green New Deal for East Staffordshire",'1. All Data'!$M$3:$M$134,"In Danger of Falling Behind Target")</f>
        <v>0</v>
      </c>
      <c r="K61" s="378">
        <f>J61/J70</f>
        <v>0</v>
      </c>
      <c r="L61" s="378">
        <f>K61</f>
        <v>0</v>
      </c>
      <c r="M61" s="378">
        <f>J61/J71</f>
        <v>0</v>
      </c>
      <c r="N61" s="381">
        <f>M61</f>
        <v>0</v>
      </c>
      <c r="P61" s="385" t="s">
        <v>32</v>
      </c>
      <c r="Q61" s="388">
        <f>COUNTIFS('1. All Data'!$AA$3:$AA$134,"Developing a Green New Deal for East Staffordshire",'1. All Data'!$R$3:$R$134,"In Danger of Falling Behind Target")</f>
        <v>0</v>
      </c>
      <c r="R61" s="378" t="e">
        <f>Q61/Q70</f>
        <v>#DIV/0!</v>
      </c>
      <c r="S61" s="378" t="e">
        <f>R61</f>
        <v>#DIV/0!</v>
      </c>
      <c r="T61" s="378" t="e">
        <f>Q61/Q71</f>
        <v>#DIV/0!</v>
      </c>
      <c r="U61" s="381" t="e">
        <f>T61</f>
        <v>#DIV/0!</v>
      </c>
      <c r="W61" s="169" t="s">
        <v>24</v>
      </c>
      <c r="X61" s="170">
        <f>COUNTIFS('1. All Data'!$AA$3:$AA$134,"Developing a Green New Deal for East Staffordshire",'1. All Data'!$V$3:$V$134,"Numerical Outturn Within 10% Tolerance")</f>
        <v>0</v>
      </c>
      <c r="Y61" s="168" t="e">
        <f>X61/$X$34</f>
        <v>#DIV/0!</v>
      </c>
      <c r="Z61" s="375" t="e">
        <f>SUM(Y61:Y63)</f>
        <v>#DIV/0!</v>
      </c>
      <c r="AA61" s="168" t="e">
        <f>X61/X71</f>
        <v>#DIV/0!</v>
      </c>
      <c r="AB61" s="384" t="e">
        <f>SUM(AA61:AA63)</f>
        <v>#DIV/0!</v>
      </c>
    </row>
    <row r="62" spans="2:30" ht="18.75" customHeight="1">
      <c r="B62" s="386"/>
      <c r="C62" s="389"/>
      <c r="D62" s="379"/>
      <c r="E62" s="379"/>
      <c r="F62" s="379"/>
      <c r="G62" s="382"/>
      <c r="I62" s="386"/>
      <c r="J62" s="389"/>
      <c r="K62" s="379"/>
      <c r="L62" s="379"/>
      <c r="M62" s="379"/>
      <c r="N62" s="382"/>
      <c r="P62" s="386"/>
      <c r="Q62" s="389"/>
      <c r="R62" s="379"/>
      <c r="S62" s="379"/>
      <c r="T62" s="379"/>
      <c r="U62" s="382"/>
      <c r="W62" s="169" t="s">
        <v>25</v>
      </c>
      <c r="X62" s="170">
        <f>COUNTIFS('1. All Data'!$AA$3:$AA$134,"Developing a Green New Deal for East Staffordshire",'1. All Data'!$V$3:$V$134,"Target Partially Met")</f>
        <v>0</v>
      </c>
      <c r="Y62" s="168" t="e">
        <f>X62/$X$34</f>
        <v>#DIV/0!</v>
      </c>
      <c r="Z62" s="375"/>
      <c r="AA62" s="168" t="e">
        <f>X62/X71</f>
        <v>#DIV/0!</v>
      </c>
      <c r="AB62" s="384"/>
    </row>
    <row r="63" spans="2:30" ht="18.75" customHeight="1">
      <c r="B63" s="387"/>
      <c r="C63" s="390"/>
      <c r="D63" s="380"/>
      <c r="E63" s="380"/>
      <c r="F63" s="380"/>
      <c r="G63" s="383"/>
      <c r="I63" s="387"/>
      <c r="J63" s="390"/>
      <c r="K63" s="380"/>
      <c r="L63" s="380"/>
      <c r="M63" s="380"/>
      <c r="N63" s="383"/>
      <c r="P63" s="387"/>
      <c r="Q63" s="390"/>
      <c r="R63" s="380"/>
      <c r="S63" s="380"/>
      <c r="T63" s="380"/>
      <c r="U63" s="383"/>
      <c r="W63" s="169" t="s">
        <v>28</v>
      </c>
      <c r="X63" s="170">
        <f>COUNTIFS('1. All Data'!$AA$3:$AA$134,"Developing a Green New Deal for East Staffordshire",'1. All Data'!$V$3:$V$134,"Completion Date Within Reasonable Tolerance")</f>
        <v>0</v>
      </c>
      <c r="Y63" s="168" t="e">
        <f>X63/$X$34</f>
        <v>#DIV/0!</v>
      </c>
      <c r="Z63" s="375"/>
      <c r="AA63" s="168" t="e">
        <f>X63/X71</f>
        <v>#DIV/0!</v>
      </c>
      <c r="AB63" s="384"/>
    </row>
    <row r="64" spans="2:30" ht="30" customHeight="1">
      <c r="B64" s="171" t="s">
        <v>33</v>
      </c>
      <c r="C64" s="167">
        <f>COUNTIFS('1. All Data'!$AA$3:$AA$134,"Developing a Green New Deal for East Staffordshire",'1. All Data'!$H$3:$H$134,"Completed Behind Schedule")</f>
        <v>0</v>
      </c>
      <c r="D64" s="168">
        <f>C64/C70</f>
        <v>0</v>
      </c>
      <c r="E64" s="375">
        <f>D64+D65</f>
        <v>0</v>
      </c>
      <c r="F64" s="168">
        <f>C64/C71</f>
        <v>0</v>
      </c>
      <c r="G64" s="376">
        <f>F64+F65</f>
        <v>0</v>
      </c>
      <c r="I64" s="171" t="s">
        <v>33</v>
      </c>
      <c r="J64" s="167">
        <f>COUNTIFS('1. All Data'!$AA$3:$AA$134,"Developing a Green New Deal for East Staffordshire",'1. All Data'!$M$3:$M$134,"Completed Behind Schedule")</f>
        <v>0</v>
      </c>
      <c r="K64" s="168">
        <f>J64/J70</f>
        <v>0</v>
      </c>
      <c r="L64" s="375">
        <f>K64+K65</f>
        <v>0</v>
      </c>
      <c r="M64" s="168">
        <f>J64/J71</f>
        <v>0</v>
      </c>
      <c r="N64" s="376">
        <f>M64+M65</f>
        <v>0</v>
      </c>
      <c r="P64" s="171" t="s">
        <v>33</v>
      </c>
      <c r="Q64" s="167">
        <f>COUNTIFS('1. All Data'!$AA$3:$AA$134,"Developing a Green New Deal for East Staffordshire",'1. All Data'!$R$3:$R$134,"Completed Behind Schedule")</f>
        <v>0</v>
      </c>
      <c r="R64" s="168" t="e">
        <f>Q64/Q70</f>
        <v>#DIV/0!</v>
      </c>
      <c r="S64" s="375" t="e">
        <f>R64+R65</f>
        <v>#DIV/0!</v>
      </c>
      <c r="T64" s="168" t="e">
        <f>Q64/Q71</f>
        <v>#DIV/0!</v>
      </c>
      <c r="U64" s="376" t="e">
        <f>T64+T65</f>
        <v>#DIV/0!</v>
      </c>
      <c r="W64" s="171" t="s">
        <v>27</v>
      </c>
      <c r="X64" s="167">
        <f>COUNTIFS('1. All Data'!$AA$3:$AA$134,"Developing a Green New Deal for East Staffordshire",'1. All Data'!$V$3:$V$134,"Completed Significantly After Target Deadline")</f>
        <v>0</v>
      </c>
      <c r="Y64" s="168" t="e">
        <f>X64/$X$34</f>
        <v>#DIV/0!</v>
      </c>
      <c r="Z64" s="375" t="e">
        <f>SUM(Y64:Y65)</f>
        <v>#DIV/0!</v>
      </c>
      <c r="AA64" s="168" t="e">
        <f>X64/X71</f>
        <v>#DIV/0!</v>
      </c>
      <c r="AB64" s="376" t="e">
        <f>AA64+AA65</f>
        <v>#DIV/0!</v>
      </c>
    </row>
    <row r="65" spans="2:30" ht="30" customHeight="1">
      <c r="B65" s="171" t="s">
        <v>26</v>
      </c>
      <c r="C65" s="167">
        <f>COUNTIFS('1. All Data'!$AA$3:$AA$134,"Developing a Green New Deal for East Staffordshire",'1. All Data'!$H$3:$H$134,"Off Target")</f>
        <v>0</v>
      </c>
      <c r="D65" s="168">
        <f>C65/C70</f>
        <v>0</v>
      </c>
      <c r="E65" s="375"/>
      <c r="F65" s="168">
        <f>C65/C71</f>
        <v>0</v>
      </c>
      <c r="G65" s="376"/>
      <c r="I65" s="171" t="s">
        <v>26</v>
      </c>
      <c r="J65" s="167">
        <f>COUNTIFS('1. All Data'!$AA$3:$AA$134,"Developing a Green New Deal for East Staffordshire",'1. All Data'!$M$3:$M$134,"Off Target")</f>
        <v>0</v>
      </c>
      <c r="K65" s="168">
        <f>J65/J70</f>
        <v>0</v>
      </c>
      <c r="L65" s="375"/>
      <c r="M65" s="168">
        <f>J65/J71</f>
        <v>0</v>
      </c>
      <c r="N65" s="376"/>
      <c r="P65" s="171" t="s">
        <v>26</v>
      </c>
      <c r="Q65" s="167">
        <f>COUNTIFS('1. All Data'!$AA$3:$AA$134,"Developing a Green New Deal for East Staffordshire",'1. All Data'!$R$3:$R$134,"Off Target")</f>
        <v>0</v>
      </c>
      <c r="R65" s="168" t="e">
        <f>Q65/Q70</f>
        <v>#DIV/0!</v>
      </c>
      <c r="S65" s="375"/>
      <c r="T65" s="168" t="e">
        <f>Q65/Q71</f>
        <v>#DIV/0!</v>
      </c>
      <c r="U65" s="376"/>
      <c r="W65" s="171" t="s">
        <v>26</v>
      </c>
      <c r="X65" s="167">
        <f>COUNTIFS('1. All Data'!$AA$3:$AA$134,"Developing a Green New Deal for East Staffordshire",'1. All Data'!$V$3:$V$134,"Off Target")</f>
        <v>0</v>
      </c>
      <c r="Y65" s="168" t="e">
        <f>X65/$X$34</f>
        <v>#DIV/0!</v>
      </c>
      <c r="Z65" s="375"/>
      <c r="AA65" s="168" t="e">
        <f>X65/X71</f>
        <v>#DIV/0!</v>
      </c>
      <c r="AB65" s="376"/>
    </row>
    <row r="66" spans="2:30" ht="15.75" customHeight="1">
      <c r="B66" s="172" t="s">
        <v>49</v>
      </c>
      <c r="C66" s="167">
        <f>COUNTIFS('1. All Data'!$AA$3:$AA$134,"Developing a Green New Deal for East Staffordshire",'1. All Data'!$H$3:$H$134,"Not yet due")</f>
        <v>4</v>
      </c>
      <c r="D66" s="173">
        <f>C66/C70</f>
        <v>0.36363636363636365</v>
      </c>
      <c r="E66" s="173">
        <f>D66</f>
        <v>0.36363636363636365</v>
      </c>
      <c r="F66" s="174"/>
      <c r="G66" s="58"/>
      <c r="I66" s="172" t="s">
        <v>49</v>
      </c>
      <c r="J66" s="167">
        <f>COUNTIFS('1. All Data'!$AA$3:$AA$134,"Developing a Green New Deal for East Staffordshire",'1. All Data'!$M$3:$M$134,"Not yet due")</f>
        <v>1</v>
      </c>
      <c r="K66" s="173">
        <f>J66/J70</f>
        <v>9.0909090909090912E-2</v>
      </c>
      <c r="L66" s="173">
        <f>K66</f>
        <v>9.0909090909090912E-2</v>
      </c>
      <c r="M66" s="174"/>
      <c r="N66" s="58"/>
      <c r="P66" s="172" t="s">
        <v>49</v>
      </c>
      <c r="Q66" s="167">
        <f>COUNTIFS('1. All Data'!$AA$3:$AA$134,"Developing a Green New Deal for East Staffordshire",'1. All Data'!$R$3:$R$134,"Not yet due")</f>
        <v>0</v>
      </c>
      <c r="R66" s="173" t="e">
        <f>Q66/Q70</f>
        <v>#DIV/0!</v>
      </c>
      <c r="S66" s="173" t="e">
        <f>R66</f>
        <v>#DIV/0!</v>
      </c>
      <c r="T66" s="174"/>
      <c r="U66" s="58"/>
      <c r="W66" s="172" t="s">
        <v>49</v>
      </c>
      <c r="X66" s="167">
        <f>COUNTIFS('1. All Data'!$AA$3:$AA$134,"Developing a Green New Deal for East Staffordshire",'1. All Data'!$V$3:$V$134,"Not yet due")</f>
        <v>0</v>
      </c>
      <c r="Y66" s="168" t="e">
        <f t="shared" ref="Y66:Y69" si="7">X66/$X$34</f>
        <v>#DIV/0!</v>
      </c>
      <c r="Z66" s="168" t="e">
        <f>Y66</f>
        <v>#DIV/0!</v>
      </c>
      <c r="AA66" s="174"/>
      <c r="AB66" s="58"/>
    </row>
    <row r="67" spans="2:30" ht="15.75" customHeight="1">
      <c r="B67" s="172" t="s">
        <v>21</v>
      </c>
      <c r="C67" s="167">
        <f>COUNTIFS('1. All Data'!$AA$3:$AA$134,"Developing a Green New Deal for East Staffordshire",'1. All Data'!$H$3:$H$134,"update not provided")</f>
        <v>0</v>
      </c>
      <c r="D67" s="173">
        <f>C67/C70</f>
        <v>0</v>
      </c>
      <c r="E67" s="173">
        <f>D67</f>
        <v>0</v>
      </c>
      <c r="F67" s="174"/>
      <c r="G67" s="2"/>
      <c r="I67" s="172" t="s">
        <v>21</v>
      </c>
      <c r="J67" s="167">
        <f>COUNTIFS('1. All Data'!$AA$3:$AA$134,"Developing a Green New Deal for East Staffordshire",'1. All Data'!$M$3:$M$134,"update not provided")</f>
        <v>0</v>
      </c>
      <c r="K67" s="173">
        <f>J67/J70</f>
        <v>0</v>
      </c>
      <c r="L67" s="173">
        <f>K67</f>
        <v>0</v>
      </c>
      <c r="M67" s="174"/>
      <c r="N67" s="2"/>
      <c r="P67" s="172" t="s">
        <v>21</v>
      </c>
      <c r="Q67" s="167">
        <f>COUNTIFS('1. All Data'!$AA$3:$AA$134,"Developing a Green New Deal for East Staffordshire",'1. All Data'!$R$3:$R$134,"update not provided")</f>
        <v>0</v>
      </c>
      <c r="R67" s="173" t="e">
        <f>Q67/Q70</f>
        <v>#DIV/0!</v>
      </c>
      <c r="S67" s="173" t="e">
        <f>R67</f>
        <v>#DIV/0!</v>
      </c>
      <c r="T67" s="174"/>
      <c r="U67" s="2"/>
      <c r="W67" s="172" t="s">
        <v>21</v>
      </c>
      <c r="X67" s="167">
        <f>COUNTIFS('1. All Data'!$AA$3:$AA$134,"Developing a Green New Deal for East Staffordshire",'1. All Data'!$V$3:$V$134,"update not provided")</f>
        <v>0</v>
      </c>
      <c r="Y67" s="168" t="e">
        <f t="shared" si="7"/>
        <v>#DIV/0!</v>
      </c>
      <c r="Z67" s="168" t="e">
        <f>Y67</f>
        <v>#DIV/0!</v>
      </c>
      <c r="AA67" s="174"/>
      <c r="AB67" s="2"/>
    </row>
    <row r="68" spans="2:30" ht="15.75" customHeight="1">
      <c r="B68" s="175" t="s">
        <v>29</v>
      </c>
      <c r="C68" s="167">
        <f>COUNTIFS('1. All Data'!$AA$3:$AA$134,"Developing a Green New Deal for East Staffordshire",'1. All Data'!$H$3:$H$134,"Deferred")</f>
        <v>0</v>
      </c>
      <c r="D68" s="176">
        <f>C68/C70</f>
        <v>0</v>
      </c>
      <c r="E68" s="176">
        <f>D68</f>
        <v>0</v>
      </c>
      <c r="F68" s="177"/>
      <c r="G68" s="58"/>
      <c r="I68" s="175" t="s">
        <v>29</v>
      </c>
      <c r="J68" s="167">
        <f>COUNTIFS('1. All Data'!$AA$3:$AA$134,"Developing a Green New Deal for East Staffordshire",'1. All Data'!$M$3:$M$134,"Deferred")</f>
        <v>0</v>
      </c>
      <c r="K68" s="176">
        <f>J68/J70</f>
        <v>0</v>
      </c>
      <c r="L68" s="176">
        <f>K68</f>
        <v>0</v>
      </c>
      <c r="M68" s="177"/>
      <c r="N68" s="58"/>
      <c r="P68" s="175" t="s">
        <v>29</v>
      </c>
      <c r="Q68" s="167">
        <f>COUNTIFS('1. All Data'!$AA$3:$AA$134,"Developing a Green New Deal for East Staffordshire",'1. All Data'!$R$3:$R$134,"Deferred")</f>
        <v>0</v>
      </c>
      <c r="R68" s="176" t="e">
        <f>Q68/Q70</f>
        <v>#DIV/0!</v>
      </c>
      <c r="S68" s="176" t="e">
        <f>R68</f>
        <v>#DIV/0!</v>
      </c>
      <c r="T68" s="177"/>
      <c r="U68" s="58"/>
      <c r="W68" s="175" t="s">
        <v>29</v>
      </c>
      <c r="X68" s="167">
        <f>COUNTIFS('1. All Data'!$AA$3:$AA$134,"Developing a Green New Deal for East Staffordshire",'1. All Data'!$V$3:$V$134,"Deferred")</f>
        <v>0</v>
      </c>
      <c r="Y68" s="168" t="e">
        <f t="shared" si="7"/>
        <v>#DIV/0!</v>
      </c>
      <c r="Z68" s="168" t="e">
        <f t="shared" ref="Z68:Z69" si="8">Y68</f>
        <v>#DIV/0!</v>
      </c>
      <c r="AA68" s="177"/>
      <c r="AB68" s="58"/>
    </row>
    <row r="69" spans="2:30" ht="15.75" customHeight="1">
      <c r="B69" s="175" t="s">
        <v>30</v>
      </c>
      <c r="C69" s="167">
        <f>COUNTIFS('1. All Data'!$AA$3:$AA$134,"Developing a Green New Deal for East Staffordshire",'1. All Data'!$H$3:$H$134,"Deleted")</f>
        <v>0</v>
      </c>
      <c r="D69" s="176">
        <f>C69/C70</f>
        <v>0</v>
      </c>
      <c r="E69" s="176">
        <f>D69</f>
        <v>0</v>
      </c>
      <c r="F69" s="177"/>
      <c r="G69" s="3"/>
      <c r="I69" s="175" t="s">
        <v>30</v>
      </c>
      <c r="J69" s="167">
        <f>COUNTIFS('1. All Data'!$AA$3:$AA$134,"Developing a Green New Deal for East Staffordshire",'1. All Data'!$M$3:$M$134,"Deleted")</f>
        <v>0</v>
      </c>
      <c r="K69" s="176">
        <f>J69/J70</f>
        <v>0</v>
      </c>
      <c r="L69" s="176">
        <f>K69</f>
        <v>0</v>
      </c>
      <c r="M69" s="177"/>
      <c r="N69" s="3"/>
      <c r="P69" s="175" t="s">
        <v>30</v>
      </c>
      <c r="Q69" s="167">
        <f>COUNTIFS('1. All Data'!$AA$3:$AA$134,"Developing a Green New Deal for East Staffordshire",'1. All Data'!$R$3:$R$134,"Deleted")</f>
        <v>0</v>
      </c>
      <c r="R69" s="176" t="e">
        <f>Q69/Q70</f>
        <v>#DIV/0!</v>
      </c>
      <c r="S69" s="176" t="e">
        <f>R69</f>
        <v>#DIV/0!</v>
      </c>
      <c r="T69" s="177"/>
      <c r="U69" s="3"/>
      <c r="W69" s="175" t="s">
        <v>30</v>
      </c>
      <c r="X69" s="167">
        <f>COUNTIFS('1. All Data'!$AA$3:$AA$134,"Developing a Green New Deal for East Staffordshire",'1. All Data'!$V$3:$V$134,"Deleted")</f>
        <v>0</v>
      </c>
      <c r="Y69" s="168" t="e">
        <f t="shared" si="7"/>
        <v>#DIV/0!</v>
      </c>
      <c r="Z69" s="168" t="e">
        <f t="shared" si="8"/>
        <v>#DIV/0!</v>
      </c>
      <c r="AA69" s="177"/>
      <c r="AD69" s="3"/>
    </row>
    <row r="70" spans="2:30" ht="15.75" customHeight="1">
      <c r="B70" s="193" t="s">
        <v>51</v>
      </c>
      <c r="C70" s="179">
        <f>SUM(C59:C69)</f>
        <v>11</v>
      </c>
      <c r="D70" s="177"/>
      <c r="E70" s="177"/>
      <c r="F70" s="58"/>
      <c r="G70" s="58"/>
      <c r="I70" s="193" t="s">
        <v>51</v>
      </c>
      <c r="J70" s="179">
        <f>SUM(J59:J69)</f>
        <v>11</v>
      </c>
      <c r="K70" s="177"/>
      <c r="L70" s="177"/>
      <c r="M70" s="58"/>
      <c r="N70" s="58"/>
      <c r="P70" s="193" t="s">
        <v>51</v>
      </c>
      <c r="Q70" s="179">
        <f>SUM(Q59:Q69)</f>
        <v>0</v>
      </c>
      <c r="R70" s="177"/>
      <c r="S70" s="177"/>
      <c r="T70" s="58"/>
      <c r="U70" s="58"/>
      <c r="W70" s="178" t="s">
        <v>51</v>
      </c>
      <c r="X70" s="179">
        <f>SUM(X59:X69)</f>
        <v>0</v>
      </c>
      <c r="Y70" s="177"/>
      <c r="Z70" s="177"/>
      <c r="AA70" s="58"/>
      <c r="AB70" s="58"/>
    </row>
    <row r="71" spans="2:30" ht="15.75" customHeight="1">
      <c r="B71" s="193" t="s">
        <v>52</v>
      </c>
      <c r="C71" s="179">
        <f>C70-C69-C68-C67-C66</f>
        <v>7</v>
      </c>
      <c r="D71" s="58"/>
      <c r="E71" s="58"/>
      <c r="F71" s="58"/>
      <c r="G71" s="58"/>
      <c r="I71" s="193" t="s">
        <v>52</v>
      </c>
      <c r="J71" s="179">
        <f>J70-J69-J68-J67-J66</f>
        <v>10</v>
      </c>
      <c r="K71" s="58"/>
      <c r="L71" s="58"/>
      <c r="M71" s="58"/>
      <c r="N71" s="58"/>
      <c r="P71" s="193" t="s">
        <v>52</v>
      </c>
      <c r="Q71" s="179">
        <f>Q70-Q69-Q68-Q67-Q66</f>
        <v>0</v>
      </c>
      <c r="R71" s="58"/>
      <c r="S71" s="58"/>
      <c r="T71" s="58"/>
      <c r="U71" s="58"/>
      <c r="W71" s="178" t="s">
        <v>52</v>
      </c>
      <c r="X71" s="179">
        <f>X70-X69-X68-X67-X66</f>
        <v>0</v>
      </c>
      <c r="Y71" s="58"/>
      <c r="Z71" s="58"/>
      <c r="AA71" s="58"/>
      <c r="AB71" s="58"/>
    </row>
    <row r="72" spans="2:30" ht="15.6" hidden="1" customHeight="1">
      <c r="AB72" s="186"/>
    </row>
    <row r="73" spans="2:30" ht="15.75" hidden="1" customHeight="1">
      <c r="AB73" s="186"/>
    </row>
    <row r="75" spans="2:30" ht="15.75">
      <c r="B75" s="188" t="s">
        <v>420</v>
      </c>
      <c r="C75" s="189"/>
      <c r="D75" s="189"/>
      <c r="E75" s="189"/>
      <c r="F75" s="190"/>
      <c r="G75" s="191"/>
      <c r="I75" s="188" t="s">
        <v>420</v>
      </c>
      <c r="J75" s="189"/>
      <c r="K75" s="189"/>
      <c r="L75" s="189"/>
      <c r="M75" s="190"/>
      <c r="N75" s="191"/>
      <c r="P75" s="188" t="s">
        <v>420</v>
      </c>
      <c r="Q75" s="189"/>
      <c r="R75" s="189"/>
      <c r="S75" s="189"/>
      <c r="T75" s="190"/>
      <c r="U75" s="191"/>
      <c r="W75" s="188" t="s">
        <v>420</v>
      </c>
      <c r="X75" s="195"/>
      <c r="Y75" s="162"/>
      <c r="Z75" s="162"/>
      <c r="AA75" s="162"/>
      <c r="AB75" s="163"/>
    </row>
    <row r="76" spans="2:30" ht="31.5">
      <c r="B76" s="164" t="s">
        <v>42</v>
      </c>
      <c r="C76" s="164" t="s">
        <v>43</v>
      </c>
      <c r="D76" s="164" t="s">
        <v>44</v>
      </c>
      <c r="E76" s="164" t="s">
        <v>45</v>
      </c>
      <c r="F76" s="164" t="s">
        <v>46</v>
      </c>
      <c r="G76" s="164" t="s">
        <v>47</v>
      </c>
      <c r="I76" s="164" t="s">
        <v>42</v>
      </c>
      <c r="J76" s="164" t="s">
        <v>43</v>
      </c>
      <c r="K76" s="164" t="s">
        <v>44</v>
      </c>
      <c r="L76" s="164" t="s">
        <v>45</v>
      </c>
      <c r="M76" s="164" t="s">
        <v>46</v>
      </c>
      <c r="N76" s="164" t="s">
        <v>47</v>
      </c>
      <c r="P76" s="164" t="s">
        <v>42</v>
      </c>
      <c r="Q76" s="164" t="s">
        <v>43</v>
      </c>
      <c r="R76" s="164" t="s">
        <v>44</v>
      </c>
      <c r="S76" s="164" t="s">
        <v>45</v>
      </c>
      <c r="T76" s="164" t="s">
        <v>46</v>
      </c>
      <c r="U76" s="164" t="s">
        <v>47</v>
      </c>
      <c r="W76" s="164" t="s">
        <v>42</v>
      </c>
      <c r="X76" s="164" t="s">
        <v>43</v>
      </c>
      <c r="Y76" s="164" t="s">
        <v>44</v>
      </c>
      <c r="Z76" s="164" t="s">
        <v>45</v>
      </c>
      <c r="AA76" s="164" t="s">
        <v>46</v>
      </c>
      <c r="AB76" s="164" t="s">
        <v>47</v>
      </c>
    </row>
    <row r="77" spans="2:30" ht="15.75">
      <c r="B77" s="227" t="s">
        <v>48</v>
      </c>
      <c r="C77" s="167">
        <f>COUNTIFS('1. All Data'!$AA$3:$AA$134,"Protecting our heritage",'1. All Data'!$H$3:$H$134,"Fully Achieved")</f>
        <v>1</v>
      </c>
      <c r="D77" s="253">
        <f>C77/C88</f>
        <v>0.2</v>
      </c>
      <c r="E77" s="375">
        <f>D77+D78</f>
        <v>0.60000000000000009</v>
      </c>
      <c r="F77" s="253">
        <f>C77/C89</f>
        <v>0.33333333333333331</v>
      </c>
      <c r="G77" s="377">
        <f>F77+F78</f>
        <v>1</v>
      </c>
      <c r="I77" s="227" t="s">
        <v>48</v>
      </c>
      <c r="J77" s="167">
        <f>COUNTIFS('1. All Data'!$AA$3:$AA$134,"Protecting our heritage",'1. All Data'!$M$3:$M$134,"Fully Achieved")</f>
        <v>4</v>
      </c>
      <c r="K77" s="253">
        <f>J77/J88</f>
        <v>0.8</v>
      </c>
      <c r="L77" s="375">
        <f>K77+K78</f>
        <v>0.8</v>
      </c>
      <c r="M77" s="253">
        <f>J77/J89</f>
        <v>1</v>
      </c>
      <c r="N77" s="377">
        <f>M77+M78</f>
        <v>1</v>
      </c>
      <c r="P77" s="227" t="s">
        <v>48</v>
      </c>
      <c r="Q77" s="167">
        <f>COUNTIFS('1. All Data'!$AA$3:$AA$134,"Protecting our heritage",'1. All Data'!$R$3:$R$134,"Fully Achieved")</f>
        <v>0</v>
      </c>
      <c r="R77" s="253" t="e">
        <f>Q77/Q88</f>
        <v>#DIV/0!</v>
      </c>
      <c r="S77" s="375" t="e">
        <f>R77+R78</f>
        <v>#DIV/0!</v>
      </c>
      <c r="T77" s="253" t="e">
        <f>Q77/Q89</f>
        <v>#DIV/0!</v>
      </c>
      <c r="U77" s="377" t="e">
        <f>T77+T78</f>
        <v>#DIV/0!</v>
      </c>
      <c r="W77" s="227" t="s">
        <v>48</v>
      </c>
      <c r="X77" s="167">
        <f>COUNTIFS('1. All Data'!$AA$3:$AA$134,"Protecting our heritage",'1. All Data'!$V$3:$V$134,"Fully Achieved")</f>
        <v>0</v>
      </c>
      <c r="Y77" s="253" t="e">
        <f>X77/X88</f>
        <v>#DIV/0!</v>
      </c>
      <c r="Z77" s="375" t="e">
        <f>Y77+Y78</f>
        <v>#DIV/0!</v>
      </c>
      <c r="AA77" s="253" t="e">
        <f>X77/X89</f>
        <v>#DIV/0!</v>
      </c>
      <c r="AB77" s="377" t="e">
        <f>AA77+AA78</f>
        <v>#DIV/0!</v>
      </c>
    </row>
    <row r="78" spans="2:30" ht="15.75">
      <c r="B78" s="227" t="s">
        <v>31</v>
      </c>
      <c r="C78" s="167">
        <f>COUNTIFS('1. All Data'!$AA$3:$AA$134,"Protecting our heritage",'1. All Data'!$H$3:$H$134,"On Track to be achieved")</f>
        <v>2</v>
      </c>
      <c r="D78" s="253">
        <f>C78/C88</f>
        <v>0.4</v>
      </c>
      <c r="E78" s="375"/>
      <c r="F78" s="253">
        <f>C78/C89</f>
        <v>0.66666666666666663</v>
      </c>
      <c r="G78" s="377"/>
      <c r="I78" s="227" t="s">
        <v>31</v>
      </c>
      <c r="J78" s="167">
        <f>COUNTIFS('1. All Data'!$AA$3:$AA$134,"Protecting our heritage",'1. All Data'!$M$3:$M$134,"On Track to be achieved")</f>
        <v>0</v>
      </c>
      <c r="K78" s="253">
        <f>J78/J88</f>
        <v>0</v>
      </c>
      <c r="L78" s="375"/>
      <c r="M78" s="253">
        <f>J78/J89</f>
        <v>0</v>
      </c>
      <c r="N78" s="377"/>
      <c r="P78" s="227" t="s">
        <v>31</v>
      </c>
      <c r="Q78" s="167">
        <f>COUNTIFS('1. All Data'!$AA$3:$AA$134,"Protecting our heritage",'1. All Data'!$R$3:$R$134,"On Track to be achieved")</f>
        <v>0</v>
      </c>
      <c r="R78" s="253" t="e">
        <f>Q78/Q88</f>
        <v>#DIV/0!</v>
      </c>
      <c r="S78" s="375"/>
      <c r="T78" s="253" t="e">
        <f>Q78/Q89</f>
        <v>#DIV/0!</v>
      </c>
      <c r="U78" s="377"/>
      <c r="W78" s="227" t="s">
        <v>23</v>
      </c>
      <c r="X78" s="167">
        <f>COUNTIFS('1. All Data'!$AA$3:$AA$134,"Protecting our heritage",'1. All Data'!$V$3:$V$134,"Numerical Outturn Within 5% Tolerance")</f>
        <v>0</v>
      </c>
      <c r="Y78" s="253" t="e">
        <f>X78/X88</f>
        <v>#DIV/0!</v>
      </c>
      <c r="Z78" s="375"/>
      <c r="AA78" s="253" t="e">
        <f>X78/X89</f>
        <v>#DIV/0!</v>
      </c>
      <c r="AB78" s="377"/>
    </row>
    <row r="79" spans="2:30" ht="15.75">
      <c r="B79" s="385" t="s">
        <v>32</v>
      </c>
      <c r="C79" s="388">
        <f>COUNTIFS('1. All Data'!$AA$3:$AA$134,"Protecting our heritage",'1. All Data'!$H$3:$H$134,"In Danger of Falling Behind Target")</f>
        <v>0</v>
      </c>
      <c r="D79" s="378">
        <f>C79/C88</f>
        <v>0</v>
      </c>
      <c r="E79" s="378">
        <f>D79</f>
        <v>0</v>
      </c>
      <c r="F79" s="378">
        <f>C79/C89</f>
        <v>0</v>
      </c>
      <c r="G79" s="381">
        <f>F79</f>
        <v>0</v>
      </c>
      <c r="I79" s="385" t="s">
        <v>32</v>
      </c>
      <c r="J79" s="388">
        <f>COUNTIFS('1. All Data'!$AA$3:$AA$134,"Protecting our heritage",'1. All Data'!$M$3:$M$134,"In Danger of Falling Behind Target")</f>
        <v>0</v>
      </c>
      <c r="K79" s="378">
        <f>J79/J88</f>
        <v>0</v>
      </c>
      <c r="L79" s="378">
        <f>K79</f>
        <v>0</v>
      </c>
      <c r="M79" s="378">
        <f>J79/J89</f>
        <v>0</v>
      </c>
      <c r="N79" s="381">
        <f>M79</f>
        <v>0</v>
      </c>
      <c r="P79" s="385" t="s">
        <v>32</v>
      </c>
      <c r="Q79" s="388">
        <f>COUNTIFS('1. All Data'!$AA$3:$AA$134,"Protecting our heritage",'1. All Data'!$R$3:$R$134,"In Danger of Falling Behind Target")</f>
        <v>0</v>
      </c>
      <c r="R79" s="378" t="e">
        <f>Q79/Q88</f>
        <v>#DIV/0!</v>
      </c>
      <c r="S79" s="378" t="e">
        <f>R79</f>
        <v>#DIV/0!</v>
      </c>
      <c r="T79" s="378" t="e">
        <f>Q79/Q89</f>
        <v>#DIV/0!</v>
      </c>
      <c r="U79" s="381" t="e">
        <f>T79</f>
        <v>#DIV/0!</v>
      </c>
      <c r="W79" s="169" t="s">
        <v>24</v>
      </c>
      <c r="X79" s="170">
        <f>COUNTIFS('1. All Data'!$AA$3:$AA$134,"Protecting our heritage",'1. All Data'!$V$3:$V$134,"Numerical Outturn Within 10% Tolerance")</f>
        <v>0</v>
      </c>
      <c r="Y79" s="253" t="e">
        <f>X79/$X$34</f>
        <v>#DIV/0!</v>
      </c>
      <c r="Z79" s="375" t="e">
        <f>SUM(Y79:Y81)</f>
        <v>#DIV/0!</v>
      </c>
      <c r="AA79" s="253" t="e">
        <f>X79/X89</f>
        <v>#DIV/0!</v>
      </c>
      <c r="AB79" s="384" t="e">
        <f>SUM(AA79:AA81)</f>
        <v>#DIV/0!</v>
      </c>
    </row>
    <row r="80" spans="2:30" ht="15.75">
      <c r="B80" s="386"/>
      <c r="C80" s="389"/>
      <c r="D80" s="379"/>
      <c r="E80" s="379"/>
      <c r="F80" s="379"/>
      <c r="G80" s="382"/>
      <c r="I80" s="386"/>
      <c r="J80" s="389"/>
      <c r="K80" s="379"/>
      <c r="L80" s="379"/>
      <c r="M80" s="379"/>
      <c r="N80" s="382"/>
      <c r="P80" s="386"/>
      <c r="Q80" s="389"/>
      <c r="R80" s="379"/>
      <c r="S80" s="379"/>
      <c r="T80" s="379"/>
      <c r="U80" s="382"/>
      <c r="W80" s="169" t="s">
        <v>25</v>
      </c>
      <c r="X80" s="170">
        <f>COUNTIFS('1. All Data'!$AA$3:$AA$134,"Protecting our heritage",'1. All Data'!$V$3:$V$134,"Target Partially Met")</f>
        <v>0</v>
      </c>
      <c r="Y80" s="253" t="e">
        <f>X80/$X$34</f>
        <v>#DIV/0!</v>
      </c>
      <c r="Z80" s="375"/>
      <c r="AA80" s="253" t="e">
        <f>X80/X89</f>
        <v>#DIV/0!</v>
      </c>
      <c r="AB80" s="384"/>
    </row>
    <row r="81" spans="2:28" ht="15.75">
      <c r="B81" s="387"/>
      <c r="C81" s="390"/>
      <c r="D81" s="380"/>
      <c r="E81" s="380"/>
      <c r="F81" s="380"/>
      <c r="G81" s="383"/>
      <c r="I81" s="387"/>
      <c r="J81" s="390"/>
      <c r="K81" s="380"/>
      <c r="L81" s="380"/>
      <c r="M81" s="380"/>
      <c r="N81" s="383"/>
      <c r="P81" s="387"/>
      <c r="Q81" s="390"/>
      <c r="R81" s="380"/>
      <c r="S81" s="380"/>
      <c r="T81" s="380"/>
      <c r="U81" s="383"/>
      <c r="W81" s="169" t="s">
        <v>28</v>
      </c>
      <c r="X81" s="170">
        <f>COUNTIFS('1. All Data'!$AA$3:$AA$134,"Protecting our heritage",'1. All Data'!$V$3:$V$134,"Completion Date Within Reasonable Tolerance")</f>
        <v>0</v>
      </c>
      <c r="Y81" s="253" t="e">
        <f>X81/$X$34</f>
        <v>#DIV/0!</v>
      </c>
      <c r="Z81" s="375"/>
      <c r="AA81" s="253" t="e">
        <f>X81/X89</f>
        <v>#DIV/0!</v>
      </c>
      <c r="AB81" s="384"/>
    </row>
    <row r="82" spans="2:28" ht="15.75">
      <c r="B82" s="171" t="s">
        <v>33</v>
      </c>
      <c r="C82" s="167">
        <f>COUNTIFS('1. All Data'!$AA$3:$AA$134,"Protecting our heritage",'1. All Data'!$H$3:$H$134,"Completed Behind Schedule")</f>
        <v>0</v>
      </c>
      <c r="D82" s="253">
        <f>C82/C88</f>
        <v>0</v>
      </c>
      <c r="E82" s="375">
        <f>D82+D83</f>
        <v>0</v>
      </c>
      <c r="F82" s="253">
        <f>C82/C89</f>
        <v>0</v>
      </c>
      <c r="G82" s="376">
        <f>F82+F83</f>
        <v>0</v>
      </c>
      <c r="I82" s="171" t="s">
        <v>33</v>
      </c>
      <c r="J82" s="167">
        <f>COUNTIFS('1. All Data'!$AA$3:$AA$134,"Protecting our heritage",'1. All Data'!$M$3:$M$134,"Completed Behind Schedule")</f>
        <v>0</v>
      </c>
      <c r="K82" s="253">
        <f>J82/J88</f>
        <v>0</v>
      </c>
      <c r="L82" s="375">
        <f>K82+K83</f>
        <v>0</v>
      </c>
      <c r="M82" s="253">
        <f>J82/J89</f>
        <v>0</v>
      </c>
      <c r="N82" s="376">
        <f>M82+M83</f>
        <v>0</v>
      </c>
      <c r="P82" s="171" t="s">
        <v>33</v>
      </c>
      <c r="Q82" s="167">
        <f>COUNTIFS('1. All Data'!$AA$3:$AA$134,"Protecting our heritage",'1. All Data'!$R$3:$R$134,"Completed Behind Schedule")</f>
        <v>0</v>
      </c>
      <c r="R82" s="253" t="e">
        <f>Q82/Q88</f>
        <v>#DIV/0!</v>
      </c>
      <c r="S82" s="375" t="e">
        <f>R82+R83</f>
        <v>#DIV/0!</v>
      </c>
      <c r="T82" s="253" t="e">
        <f>Q82/Q89</f>
        <v>#DIV/0!</v>
      </c>
      <c r="U82" s="376" t="e">
        <f>T82+T83</f>
        <v>#DIV/0!</v>
      </c>
      <c r="W82" s="171" t="s">
        <v>27</v>
      </c>
      <c r="X82" s="167">
        <f>COUNTIFS('1. All Data'!$AA$3:$AA$134,"Protecting our heritage",'1. All Data'!$V$3:$V$134,"Completed Significantly After Target Deadline")</f>
        <v>0</v>
      </c>
      <c r="Y82" s="253" t="e">
        <f>X82/$X$34</f>
        <v>#DIV/0!</v>
      </c>
      <c r="Z82" s="375" t="e">
        <f>SUM(Y82:Y83)</f>
        <v>#DIV/0!</v>
      </c>
      <c r="AA82" s="253" t="e">
        <f>X82/X89</f>
        <v>#DIV/0!</v>
      </c>
      <c r="AB82" s="376" t="e">
        <f>AA82+AA83</f>
        <v>#DIV/0!</v>
      </c>
    </row>
    <row r="83" spans="2:28" ht="15.75">
      <c r="B83" s="171" t="s">
        <v>26</v>
      </c>
      <c r="C83" s="167">
        <f>COUNTIFS('1. All Data'!$AA$3:$AA$134,"Protecting our heritage",'1. All Data'!$H$3:$H$134,"Off Target")</f>
        <v>0</v>
      </c>
      <c r="D83" s="253">
        <f>C83/C88</f>
        <v>0</v>
      </c>
      <c r="E83" s="375"/>
      <c r="F83" s="253">
        <f>C83/C89</f>
        <v>0</v>
      </c>
      <c r="G83" s="376"/>
      <c r="I83" s="171" t="s">
        <v>26</v>
      </c>
      <c r="J83" s="167">
        <f>COUNTIFS('1. All Data'!$AA$3:$AA$134,"Protecting our heritage",'1. All Data'!$M$3:$M$134,"Off Target")</f>
        <v>0</v>
      </c>
      <c r="K83" s="253">
        <f>J83/J88</f>
        <v>0</v>
      </c>
      <c r="L83" s="375"/>
      <c r="M83" s="253">
        <f>J83/J89</f>
        <v>0</v>
      </c>
      <c r="N83" s="376"/>
      <c r="P83" s="171" t="s">
        <v>26</v>
      </c>
      <c r="Q83" s="167">
        <f>COUNTIFS('1. All Data'!$AA$3:$AA$134,"Protecting our heritage",'1. All Data'!$R$3:$R$134,"Off Target")</f>
        <v>0</v>
      </c>
      <c r="R83" s="253" t="e">
        <f>Q83/Q88</f>
        <v>#DIV/0!</v>
      </c>
      <c r="S83" s="375"/>
      <c r="T83" s="253" t="e">
        <f>Q83/Q89</f>
        <v>#DIV/0!</v>
      </c>
      <c r="U83" s="376"/>
      <c r="W83" s="171" t="s">
        <v>26</v>
      </c>
      <c r="X83" s="167">
        <f>COUNTIFS('1. All Data'!$AA$3:$AA$134,"Protecting our heritage",'1. All Data'!$V$3:$V$134,"Off Target")</f>
        <v>0</v>
      </c>
      <c r="Y83" s="253" t="e">
        <f>X83/$X$34</f>
        <v>#DIV/0!</v>
      </c>
      <c r="Z83" s="375"/>
      <c r="AA83" s="253" t="e">
        <f>X83/X89</f>
        <v>#DIV/0!</v>
      </c>
      <c r="AB83" s="376"/>
    </row>
    <row r="84" spans="2:28" ht="15.75">
      <c r="B84" s="172" t="s">
        <v>49</v>
      </c>
      <c r="C84" s="167">
        <f>COUNTIFS('1. All Data'!$AA$3:$AA$134,"Protecting our heritage",'1. All Data'!$H$3:$H$134,"Not yet due")</f>
        <v>2</v>
      </c>
      <c r="D84" s="173">
        <f>C84/C88</f>
        <v>0.4</v>
      </c>
      <c r="E84" s="173">
        <f>D84</f>
        <v>0.4</v>
      </c>
      <c r="F84" s="174"/>
      <c r="G84" s="58"/>
      <c r="I84" s="172" t="s">
        <v>49</v>
      </c>
      <c r="J84" s="167">
        <f>COUNTIFS('1. All Data'!$AA$3:$AA$134,"Protecting our heritage",'1. All Data'!$M$3:$M$134,"Not yet due")</f>
        <v>0</v>
      </c>
      <c r="K84" s="173">
        <f>J84/J88</f>
        <v>0</v>
      </c>
      <c r="L84" s="173">
        <f>K84</f>
        <v>0</v>
      </c>
      <c r="M84" s="174"/>
      <c r="N84" s="58"/>
      <c r="P84" s="172" t="s">
        <v>49</v>
      </c>
      <c r="Q84" s="167">
        <f>COUNTIFS('1. All Data'!$AA$3:$AA$134,"Protecting our heritage",'1. All Data'!$R$3:$R$134,"Not yet due")</f>
        <v>0</v>
      </c>
      <c r="R84" s="173" t="e">
        <f>Q84/Q88</f>
        <v>#DIV/0!</v>
      </c>
      <c r="S84" s="173" t="e">
        <f>R84</f>
        <v>#DIV/0!</v>
      </c>
      <c r="T84" s="174"/>
      <c r="U84" s="58"/>
      <c r="W84" s="172" t="s">
        <v>49</v>
      </c>
      <c r="X84" s="167">
        <f>COUNTIFS('1. All Data'!$AA$3:$AA$134,"Protecting our heritage",'1. All Data'!$V$3:$V$134,"Not yet due")</f>
        <v>0</v>
      </c>
      <c r="Y84" s="253" t="e">
        <f t="shared" ref="Y84:Y87" si="9">X84/$X$34</f>
        <v>#DIV/0!</v>
      </c>
      <c r="Z84" s="253" t="e">
        <f>Y84</f>
        <v>#DIV/0!</v>
      </c>
      <c r="AA84" s="174"/>
      <c r="AB84" s="58"/>
    </row>
    <row r="85" spans="2:28" ht="15.75">
      <c r="B85" s="172" t="s">
        <v>21</v>
      </c>
      <c r="C85" s="167">
        <f>COUNTIFS('1. All Data'!$AA$3:$AA$134,"Protecting our heritage",'1. All Data'!$H$3:$H$134,"update not provided")</f>
        <v>0</v>
      </c>
      <c r="D85" s="173">
        <f>C85/C88</f>
        <v>0</v>
      </c>
      <c r="E85" s="173">
        <f>D85</f>
        <v>0</v>
      </c>
      <c r="F85" s="174"/>
      <c r="G85" s="2"/>
      <c r="I85" s="172" t="s">
        <v>21</v>
      </c>
      <c r="J85" s="167">
        <f>COUNTIFS('1. All Data'!$AA$3:$AA$134,"Protecting our heritage",'1. All Data'!$M$3:$M$134,"update not provided")</f>
        <v>0</v>
      </c>
      <c r="K85" s="173">
        <f>J85/J88</f>
        <v>0</v>
      </c>
      <c r="L85" s="173">
        <f>K85</f>
        <v>0</v>
      </c>
      <c r="M85" s="174"/>
      <c r="N85" s="2"/>
      <c r="P85" s="172" t="s">
        <v>21</v>
      </c>
      <c r="Q85" s="167">
        <f>COUNTIFS('1. All Data'!$AA$3:$AA$134,"Protecting our heritage",'1. All Data'!$R$3:$R$134,"update not provided")</f>
        <v>0</v>
      </c>
      <c r="R85" s="173" t="e">
        <f>Q85/Q88</f>
        <v>#DIV/0!</v>
      </c>
      <c r="S85" s="173" t="e">
        <f>R85</f>
        <v>#DIV/0!</v>
      </c>
      <c r="T85" s="174"/>
      <c r="U85" s="2"/>
      <c r="W85" s="172" t="s">
        <v>21</v>
      </c>
      <c r="X85" s="167">
        <f>COUNTIFS('1. All Data'!$AA$3:$AA$134,"Protecting our heritage",'1. All Data'!$V$3:$V$134,"update not provided")</f>
        <v>0</v>
      </c>
      <c r="Y85" s="253" t="e">
        <f t="shared" si="9"/>
        <v>#DIV/0!</v>
      </c>
      <c r="Z85" s="253" t="e">
        <f>Y85</f>
        <v>#DIV/0!</v>
      </c>
      <c r="AA85" s="174"/>
      <c r="AB85" s="2"/>
    </row>
    <row r="86" spans="2:28" ht="15.75">
      <c r="B86" s="175" t="s">
        <v>29</v>
      </c>
      <c r="C86" s="167">
        <f>COUNTIFS('1. All Data'!$AA$3:$AA$134,"Protecting our heritage",'1. All Data'!$H$3:$H$134,"Deferred")</f>
        <v>0</v>
      </c>
      <c r="D86" s="176">
        <f>C86/C88</f>
        <v>0</v>
      </c>
      <c r="E86" s="176">
        <f>D86</f>
        <v>0</v>
      </c>
      <c r="F86" s="177"/>
      <c r="G86" s="58"/>
      <c r="I86" s="175" t="s">
        <v>29</v>
      </c>
      <c r="J86" s="167">
        <f>COUNTIFS('1. All Data'!$AA$3:$AA$134,"Protecting our heritage",'1. All Data'!$M$3:$M$134,"Deferred")</f>
        <v>0</v>
      </c>
      <c r="K86" s="176">
        <f>J86/J88</f>
        <v>0</v>
      </c>
      <c r="L86" s="176">
        <f>K86</f>
        <v>0</v>
      </c>
      <c r="M86" s="177"/>
      <c r="N86" s="58"/>
      <c r="P86" s="175" t="s">
        <v>29</v>
      </c>
      <c r="Q86" s="167">
        <f>COUNTIFS('1. All Data'!$AA$3:$AA$134,"Protecting our heritage",'1. All Data'!$R$3:$R$134,"Deferred")</f>
        <v>0</v>
      </c>
      <c r="R86" s="176" t="e">
        <f>Q86/Q88</f>
        <v>#DIV/0!</v>
      </c>
      <c r="S86" s="176" t="e">
        <f>R86</f>
        <v>#DIV/0!</v>
      </c>
      <c r="T86" s="177"/>
      <c r="U86" s="58"/>
      <c r="W86" s="175" t="s">
        <v>29</v>
      </c>
      <c r="X86" s="167">
        <f>COUNTIFS('1. All Data'!$AA$3:$AA$134,"Protecting our heritage",'1. All Data'!$V$3:$V$134,"Deferred")</f>
        <v>0</v>
      </c>
      <c r="Y86" s="253" t="e">
        <f t="shared" si="9"/>
        <v>#DIV/0!</v>
      </c>
      <c r="Z86" s="253" t="e">
        <f t="shared" ref="Z86:Z87" si="10">Y86</f>
        <v>#DIV/0!</v>
      </c>
      <c r="AA86" s="177"/>
      <c r="AB86" s="58"/>
    </row>
    <row r="87" spans="2:28" ht="15.75">
      <c r="B87" s="175" t="s">
        <v>30</v>
      </c>
      <c r="C87" s="167">
        <f>COUNTIFS('1. All Data'!$AA$3:$AA$134,"Protecting our heritage",'1. All Data'!$H$3:$H$134,"Deleted")</f>
        <v>0</v>
      </c>
      <c r="D87" s="176">
        <f>C87/C88</f>
        <v>0</v>
      </c>
      <c r="E87" s="176">
        <f>D87</f>
        <v>0</v>
      </c>
      <c r="F87" s="177"/>
      <c r="G87" s="3"/>
      <c r="I87" s="175" t="s">
        <v>30</v>
      </c>
      <c r="J87" s="167">
        <f>COUNTIFS('1. All Data'!$AA$3:$AA$134,"Protecting our heritage",'1. All Data'!$M$3:$M$134,"Deleted")</f>
        <v>1</v>
      </c>
      <c r="K87" s="176">
        <f>J87/J88</f>
        <v>0.2</v>
      </c>
      <c r="L87" s="176">
        <f>K87</f>
        <v>0.2</v>
      </c>
      <c r="M87" s="177"/>
      <c r="N87" s="3"/>
      <c r="P87" s="175" t="s">
        <v>30</v>
      </c>
      <c r="Q87" s="167">
        <f>COUNTIFS('1. All Data'!$AA$3:$AA$134,"Protecting our heritage",'1. All Data'!$R$3:$R$134,"Deleted")</f>
        <v>0</v>
      </c>
      <c r="R87" s="176" t="e">
        <f>Q87/Q88</f>
        <v>#DIV/0!</v>
      </c>
      <c r="S87" s="176" t="e">
        <f>R87</f>
        <v>#DIV/0!</v>
      </c>
      <c r="T87" s="177"/>
      <c r="U87" s="3"/>
      <c r="W87" s="175" t="s">
        <v>30</v>
      </c>
      <c r="X87" s="167">
        <f>COUNTIFS('1. All Data'!$AA$3:$AA$134,"Protecting our heritage",'1. All Data'!$V$3:$V$134,"Deleted")</f>
        <v>0</v>
      </c>
      <c r="Y87" s="253" t="e">
        <f t="shared" si="9"/>
        <v>#DIV/0!</v>
      </c>
      <c r="Z87" s="253" t="e">
        <f t="shared" si="10"/>
        <v>#DIV/0!</v>
      </c>
      <c r="AA87" s="177"/>
    </row>
    <row r="88" spans="2:28" ht="15.75">
      <c r="B88" s="193" t="s">
        <v>51</v>
      </c>
      <c r="C88" s="179">
        <f>SUM(C77:C87)</f>
        <v>5</v>
      </c>
      <c r="D88" s="177"/>
      <c r="E88" s="177"/>
      <c r="F88" s="58"/>
      <c r="G88" s="58"/>
      <c r="I88" s="193" t="s">
        <v>51</v>
      </c>
      <c r="J88" s="179">
        <f>SUM(J77:J87)</f>
        <v>5</v>
      </c>
      <c r="K88" s="177"/>
      <c r="L88" s="177"/>
      <c r="M88" s="58"/>
      <c r="N88" s="58"/>
      <c r="P88" s="193" t="s">
        <v>51</v>
      </c>
      <c r="Q88" s="179">
        <f>SUM(Q77:Q87)</f>
        <v>0</v>
      </c>
      <c r="R88" s="177"/>
      <c r="S88" s="177"/>
      <c r="T88" s="58"/>
      <c r="U88" s="58"/>
      <c r="W88" s="178" t="s">
        <v>51</v>
      </c>
      <c r="X88" s="179">
        <f>SUM(X77:X87)</f>
        <v>0</v>
      </c>
      <c r="Y88" s="177"/>
      <c r="Z88" s="177"/>
      <c r="AA88" s="58"/>
      <c r="AB88" s="58"/>
    </row>
    <row r="89" spans="2:28" ht="15.75">
      <c r="B89" s="193" t="s">
        <v>52</v>
      </c>
      <c r="C89" s="179">
        <f>C88-C87-C86-C85-C84</f>
        <v>3</v>
      </c>
      <c r="D89" s="58"/>
      <c r="E89" s="58"/>
      <c r="F89" s="58"/>
      <c r="G89" s="58"/>
      <c r="I89" s="193" t="s">
        <v>52</v>
      </c>
      <c r="J89" s="179">
        <f>J88-J87-J86-J85-J84</f>
        <v>4</v>
      </c>
      <c r="K89" s="58"/>
      <c r="L89" s="58"/>
      <c r="M89" s="58"/>
      <c r="N89" s="58"/>
      <c r="P89" s="193" t="s">
        <v>52</v>
      </c>
      <c r="Q89" s="179">
        <f>Q88-Q87-Q86-Q85-Q84</f>
        <v>0</v>
      </c>
      <c r="R89" s="58"/>
      <c r="S89" s="58"/>
      <c r="T89" s="58"/>
      <c r="U89" s="58"/>
      <c r="W89" s="178" t="s">
        <v>52</v>
      </c>
      <c r="X89" s="179">
        <f>X88-X87-X86-X85-X84</f>
        <v>0</v>
      </c>
      <c r="Y89" s="58"/>
      <c r="Z89" s="58"/>
      <c r="AA89" s="58"/>
      <c r="AB89" s="58"/>
    </row>
    <row r="91" spans="2:28" hidden="1"/>
    <row r="92" spans="2:28" hidden="1"/>
    <row r="93" spans="2:28" ht="15.75">
      <c r="B93" s="188" t="s">
        <v>421</v>
      </c>
      <c r="C93" s="189"/>
      <c r="D93" s="189"/>
      <c r="E93" s="189"/>
      <c r="F93" s="190"/>
      <c r="G93" s="191"/>
      <c r="I93" s="188" t="s">
        <v>421</v>
      </c>
      <c r="J93" s="189"/>
      <c r="K93" s="189"/>
      <c r="L93" s="189"/>
      <c r="M93" s="190"/>
      <c r="N93" s="191"/>
      <c r="P93" s="188" t="s">
        <v>421</v>
      </c>
      <c r="Q93" s="189"/>
      <c r="R93" s="189"/>
      <c r="S93" s="189"/>
      <c r="T93" s="190"/>
      <c r="U93" s="191"/>
      <c r="W93" s="188" t="s">
        <v>421</v>
      </c>
      <c r="X93" s="195"/>
      <c r="Y93" s="162"/>
      <c r="Z93" s="162"/>
      <c r="AA93" s="162"/>
      <c r="AB93" s="163"/>
    </row>
    <row r="94" spans="2:28" ht="31.5">
      <c r="B94" s="164" t="s">
        <v>42</v>
      </c>
      <c r="C94" s="164" t="s">
        <v>43</v>
      </c>
      <c r="D94" s="164" t="s">
        <v>44</v>
      </c>
      <c r="E94" s="164" t="s">
        <v>45</v>
      </c>
      <c r="F94" s="164" t="s">
        <v>46</v>
      </c>
      <c r="G94" s="164" t="s">
        <v>47</v>
      </c>
      <c r="I94" s="164" t="s">
        <v>42</v>
      </c>
      <c r="J94" s="164" t="s">
        <v>43</v>
      </c>
      <c r="K94" s="164" t="s">
        <v>44</v>
      </c>
      <c r="L94" s="164" t="s">
        <v>45</v>
      </c>
      <c r="M94" s="164" t="s">
        <v>46</v>
      </c>
      <c r="N94" s="164" t="s">
        <v>47</v>
      </c>
      <c r="P94" s="164" t="s">
        <v>42</v>
      </c>
      <c r="Q94" s="164" t="s">
        <v>43</v>
      </c>
      <c r="R94" s="164" t="s">
        <v>44</v>
      </c>
      <c r="S94" s="164" t="s">
        <v>45</v>
      </c>
      <c r="T94" s="164" t="s">
        <v>46</v>
      </c>
      <c r="U94" s="164" t="s">
        <v>47</v>
      </c>
      <c r="W94" s="164" t="s">
        <v>42</v>
      </c>
      <c r="X94" s="164" t="s">
        <v>43</v>
      </c>
      <c r="Y94" s="164" t="s">
        <v>44</v>
      </c>
      <c r="Z94" s="164" t="s">
        <v>45</v>
      </c>
      <c r="AA94" s="164" t="s">
        <v>46</v>
      </c>
      <c r="AB94" s="164" t="s">
        <v>47</v>
      </c>
    </row>
    <row r="95" spans="2:28" ht="15.75">
      <c r="B95" s="227" t="s">
        <v>48</v>
      </c>
      <c r="C95" s="167">
        <f>COUNTIFS('1. All Data'!$AA$3:$AA$134,"Standing up for our communities",'1. All Data'!$H$3:$H$134,"Fully Achieved")</f>
        <v>1</v>
      </c>
      <c r="D95" s="253">
        <f>C95/C106</f>
        <v>0.2</v>
      </c>
      <c r="E95" s="375">
        <f>D95+D96</f>
        <v>0.60000000000000009</v>
      </c>
      <c r="F95" s="253">
        <f>C95/C107</f>
        <v>0.33333333333333331</v>
      </c>
      <c r="G95" s="377">
        <f>F95+F96</f>
        <v>1</v>
      </c>
      <c r="I95" s="227" t="s">
        <v>48</v>
      </c>
      <c r="J95" s="167">
        <f>COUNTIFS('1. All Data'!$AA$3:$AA$134,"Standing up for our communities",'1. All Data'!$M$3:$M$134,"Fully Achieved")</f>
        <v>3</v>
      </c>
      <c r="K95" s="253">
        <f>J95/J106</f>
        <v>0.6</v>
      </c>
      <c r="L95" s="375">
        <f>K95+K96</f>
        <v>1</v>
      </c>
      <c r="M95" s="253">
        <f>J95/J107</f>
        <v>0.6</v>
      </c>
      <c r="N95" s="377">
        <f>M95+M96</f>
        <v>1</v>
      </c>
      <c r="P95" s="227" t="s">
        <v>48</v>
      </c>
      <c r="Q95" s="167">
        <f>COUNTIFS('1. All Data'!$AA$3:$AA$134,"Standing up for our communities",'1. All Data'!$R$3:$R$134,"Fully Achieved")</f>
        <v>0</v>
      </c>
      <c r="R95" s="253" t="e">
        <f>Q95/Q106</f>
        <v>#DIV/0!</v>
      </c>
      <c r="S95" s="375" t="e">
        <f>R95+R96</f>
        <v>#DIV/0!</v>
      </c>
      <c r="T95" s="253" t="e">
        <f>Q95/Q107</f>
        <v>#DIV/0!</v>
      </c>
      <c r="U95" s="377" t="e">
        <f>T95+T96</f>
        <v>#DIV/0!</v>
      </c>
      <c r="W95" s="227" t="s">
        <v>48</v>
      </c>
      <c r="X95" s="167">
        <f>COUNTIFS('1. All Data'!$AA$3:$AA$134,"Standing up for our communities",'1. All Data'!$V$3:$V$134,"Fully Achieved")</f>
        <v>0</v>
      </c>
      <c r="Y95" s="253" t="e">
        <f>X95/X106</f>
        <v>#DIV/0!</v>
      </c>
      <c r="Z95" s="375" t="e">
        <f>Y95+Y96</f>
        <v>#DIV/0!</v>
      </c>
      <c r="AA95" s="253" t="e">
        <f>X95/X107</f>
        <v>#DIV/0!</v>
      </c>
      <c r="AB95" s="377" t="e">
        <f>AA95+AA96</f>
        <v>#DIV/0!</v>
      </c>
    </row>
    <row r="96" spans="2:28" ht="15.75">
      <c r="B96" s="227" t="s">
        <v>31</v>
      </c>
      <c r="C96" s="167">
        <f>COUNTIFS('1. All Data'!$AA$3:$AA$134,"Standing up for our communities",'1. All Data'!$H$3:$H$134,"On Track to be achieved")</f>
        <v>2</v>
      </c>
      <c r="D96" s="253">
        <f>C96/C106</f>
        <v>0.4</v>
      </c>
      <c r="E96" s="375"/>
      <c r="F96" s="253">
        <f>C96/C107</f>
        <v>0.66666666666666663</v>
      </c>
      <c r="G96" s="377"/>
      <c r="I96" s="227" t="s">
        <v>31</v>
      </c>
      <c r="J96" s="167">
        <f>COUNTIFS('1. All Data'!$AA$3:$AA$134,"Standing up for our communities",'1. All Data'!$M$3:$M$134,"On Track to be achieved")</f>
        <v>2</v>
      </c>
      <c r="K96" s="253">
        <f>J96/J106</f>
        <v>0.4</v>
      </c>
      <c r="L96" s="375"/>
      <c r="M96" s="253">
        <f>J96/J107</f>
        <v>0.4</v>
      </c>
      <c r="N96" s="377"/>
      <c r="P96" s="227" t="s">
        <v>31</v>
      </c>
      <c r="Q96" s="167">
        <f>COUNTIFS('1. All Data'!$AA$3:$AA$134,"Standing up for our communities",'1. All Data'!$R$3:$R$134,"On Track to be achieved")</f>
        <v>0</v>
      </c>
      <c r="R96" s="253" t="e">
        <f>Q96/Q106</f>
        <v>#DIV/0!</v>
      </c>
      <c r="S96" s="375"/>
      <c r="T96" s="253" t="e">
        <f>Q96/Q107</f>
        <v>#DIV/0!</v>
      </c>
      <c r="U96" s="377"/>
      <c r="W96" s="227" t="s">
        <v>23</v>
      </c>
      <c r="X96" s="167">
        <f>COUNTIFS('1. All Data'!$AA$3:$AA$134,"Standing up for our communities",'1. All Data'!$V$3:$V$134,"Numerical Outturn Within 5% Tolerance")</f>
        <v>0</v>
      </c>
      <c r="Y96" s="253" t="e">
        <f>X96/X106</f>
        <v>#DIV/0!</v>
      </c>
      <c r="Z96" s="375"/>
      <c r="AA96" s="253" t="e">
        <f>X96/X107</f>
        <v>#DIV/0!</v>
      </c>
      <c r="AB96" s="377"/>
    </row>
    <row r="97" spans="2:28" ht="15.75">
      <c r="B97" s="385" t="s">
        <v>32</v>
      </c>
      <c r="C97" s="388">
        <f>COUNTIFS('1. All Data'!$AA$3:$AA$134,"Standing up for our communities",'1. All Data'!$H$3:$H$134,"In Danger of Falling Behind Target")</f>
        <v>0</v>
      </c>
      <c r="D97" s="378">
        <f>C97/C106</f>
        <v>0</v>
      </c>
      <c r="E97" s="378">
        <f>D97</f>
        <v>0</v>
      </c>
      <c r="F97" s="378">
        <f>C97/C107</f>
        <v>0</v>
      </c>
      <c r="G97" s="381">
        <f>F97</f>
        <v>0</v>
      </c>
      <c r="I97" s="385" t="s">
        <v>32</v>
      </c>
      <c r="J97" s="388">
        <f>COUNTIFS('1. All Data'!$AA$3:$AA$134,"Standing up for our communities",'1. All Data'!$M$3:$M$134,"In Danger of Falling Behind Target")</f>
        <v>0</v>
      </c>
      <c r="K97" s="378">
        <f>J97/J106</f>
        <v>0</v>
      </c>
      <c r="L97" s="378">
        <f>K97</f>
        <v>0</v>
      </c>
      <c r="M97" s="378">
        <f>J97/J107</f>
        <v>0</v>
      </c>
      <c r="N97" s="381">
        <f>M97</f>
        <v>0</v>
      </c>
      <c r="P97" s="385" t="s">
        <v>32</v>
      </c>
      <c r="Q97" s="388">
        <f>COUNTIFS('1. All Data'!$AA$3:$AA$134,"Standing up for our communities",'1. All Data'!$R$3:$R$134,"In Danger of Falling Behind Target")</f>
        <v>0</v>
      </c>
      <c r="R97" s="378" t="e">
        <f>Q97/Q106</f>
        <v>#DIV/0!</v>
      </c>
      <c r="S97" s="378" t="e">
        <f>R97</f>
        <v>#DIV/0!</v>
      </c>
      <c r="T97" s="378" t="e">
        <f>Q97/Q107</f>
        <v>#DIV/0!</v>
      </c>
      <c r="U97" s="381" t="e">
        <f>T97</f>
        <v>#DIV/0!</v>
      </c>
      <c r="W97" s="169" t="s">
        <v>24</v>
      </c>
      <c r="X97" s="170">
        <f>COUNTIFS('1. All Data'!$AA$3:$AA$134,"Standing up for our communities",'1. All Data'!$V$3:$V$134,"Numerical Outturn Within 10% Tolerance")</f>
        <v>0</v>
      </c>
      <c r="Y97" s="253" t="e">
        <f>X97/$X$34</f>
        <v>#DIV/0!</v>
      </c>
      <c r="Z97" s="375" t="e">
        <f>SUM(Y97:Y99)</f>
        <v>#DIV/0!</v>
      </c>
      <c r="AA97" s="253" t="e">
        <f>X97/X107</f>
        <v>#DIV/0!</v>
      </c>
      <c r="AB97" s="384" t="e">
        <f>SUM(AA97:AA99)</f>
        <v>#DIV/0!</v>
      </c>
    </row>
    <row r="98" spans="2:28" ht="15.75">
      <c r="B98" s="386"/>
      <c r="C98" s="389"/>
      <c r="D98" s="379"/>
      <c r="E98" s="379"/>
      <c r="F98" s="379"/>
      <c r="G98" s="382"/>
      <c r="I98" s="386"/>
      <c r="J98" s="389"/>
      <c r="K98" s="379"/>
      <c r="L98" s="379"/>
      <c r="M98" s="379"/>
      <c r="N98" s="382"/>
      <c r="P98" s="386"/>
      <c r="Q98" s="389"/>
      <c r="R98" s="379"/>
      <c r="S98" s="379"/>
      <c r="T98" s="379"/>
      <c r="U98" s="382"/>
      <c r="W98" s="169" t="s">
        <v>25</v>
      </c>
      <c r="X98" s="170">
        <f>COUNTIFS('1. All Data'!$AA$3:$AA$134,"Standing up for our communities",'1. All Data'!$V$3:$V$134,"Target Partially Met")</f>
        <v>0</v>
      </c>
      <c r="Y98" s="253" t="e">
        <f>X98/$X$34</f>
        <v>#DIV/0!</v>
      </c>
      <c r="Z98" s="375"/>
      <c r="AA98" s="253" t="e">
        <f>X98/X107</f>
        <v>#DIV/0!</v>
      </c>
      <c r="AB98" s="384"/>
    </row>
    <row r="99" spans="2:28" ht="15.75">
      <c r="B99" s="387"/>
      <c r="C99" s="390"/>
      <c r="D99" s="380"/>
      <c r="E99" s="380"/>
      <c r="F99" s="380"/>
      <c r="G99" s="383"/>
      <c r="I99" s="387"/>
      <c r="J99" s="390"/>
      <c r="K99" s="380"/>
      <c r="L99" s="380"/>
      <c r="M99" s="380"/>
      <c r="N99" s="383"/>
      <c r="P99" s="387"/>
      <c r="Q99" s="390"/>
      <c r="R99" s="380"/>
      <c r="S99" s="380"/>
      <c r="T99" s="380"/>
      <c r="U99" s="383"/>
      <c r="W99" s="169" t="s">
        <v>28</v>
      </c>
      <c r="X99" s="170">
        <f>COUNTIFS('1. All Data'!$AA$3:$AA$134,"Standing up for our communities",'1. All Data'!$V$3:$V$134,"Completion Date Within Reasonable Tolerance")</f>
        <v>0</v>
      </c>
      <c r="Y99" s="253" t="e">
        <f>X99/$X$34</f>
        <v>#DIV/0!</v>
      </c>
      <c r="Z99" s="375"/>
      <c r="AA99" s="253" t="e">
        <f>X99/X107</f>
        <v>#DIV/0!</v>
      </c>
      <c r="AB99" s="384"/>
    </row>
    <row r="100" spans="2:28" ht="15.75">
      <c r="B100" s="171" t="s">
        <v>33</v>
      </c>
      <c r="C100" s="167">
        <f>COUNTIFS('1. All Data'!$AA$3:$AA$134,"Standing up for our communities",'1. All Data'!$H$3:$H$134,"Completed Behind Schedule")</f>
        <v>0</v>
      </c>
      <c r="D100" s="253">
        <f>C100/C106</f>
        <v>0</v>
      </c>
      <c r="E100" s="375">
        <f>D100+D101</f>
        <v>0</v>
      </c>
      <c r="F100" s="253">
        <f>C100/C107</f>
        <v>0</v>
      </c>
      <c r="G100" s="376">
        <f>F100+F101</f>
        <v>0</v>
      </c>
      <c r="I100" s="171" t="s">
        <v>33</v>
      </c>
      <c r="J100" s="167">
        <f>COUNTIFS('1. All Data'!$AA$3:$AA$134,"Standing up for our communities",'1. All Data'!$M$3:$M$134,"Completed Behind Schedule")</f>
        <v>0</v>
      </c>
      <c r="K100" s="253">
        <f>J100/J106</f>
        <v>0</v>
      </c>
      <c r="L100" s="375">
        <f>K100+K101</f>
        <v>0</v>
      </c>
      <c r="M100" s="253">
        <f>J100/J107</f>
        <v>0</v>
      </c>
      <c r="N100" s="376">
        <f>M100+M101</f>
        <v>0</v>
      </c>
      <c r="P100" s="171" t="s">
        <v>33</v>
      </c>
      <c r="Q100" s="167">
        <f>COUNTIFS('1. All Data'!$AA$3:$AA$134,"Standing up for our communities",'1. All Data'!$R$3:$R$134,"Completed Behind Schedule")</f>
        <v>0</v>
      </c>
      <c r="R100" s="253" t="e">
        <f>Q100/Q106</f>
        <v>#DIV/0!</v>
      </c>
      <c r="S100" s="375" t="e">
        <f>R100+R101</f>
        <v>#DIV/0!</v>
      </c>
      <c r="T100" s="253" t="e">
        <f>Q100/Q107</f>
        <v>#DIV/0!</v>
      </c>
      <c r="U100" s="376" t="e">
        <f>T100+T101</f>
        <v>#DIV/0!</v>
      </c>
      <c r="W100" s="171" t="s">
        <v>27</v>
      </c>
      <c r="X100" s="167">
        <f>COUNTIFS('1. All Data'!$AA$3:$AA$134,"Standing up for our communities",'1. All Data'!$V$3:$V$134,"Completed Significantly After Target Deadline")</f>
        <v>0</v>
      </c>
      <c r="Y100" s="253" t="e">
        <f>X100/$X$34</f>
        <v>#DIV/0!</v>
      </c>
      <c r="Z100" s="375" t="e">
        <f>SUM(Y100:Y101)</f>
        <v>#DIV/0!</v>
      </c>
      <c r="AA100" s="253" t="e">
        <f>X100/X107</f>
        <v>#DIV/0!</v>
      </c>
      <c r="AB100" s="376" t="e">
        <f>AA100+AA101</f>
        <v>#DIV/0!</v>
      </c>
    </row>
    <row r="101" spans="2:28" ht="15.75">
      <c r="B101" s="171" t="s">
        <v>26</v>
      </c>
      <c r="C101" s="167">
        <f>COUNTIFS('1. All Data'!$AA$3:$AA$134,"Standing up for our communities",'1. All Data'!$H$3:$H$134,"Off Target")</f>
        <v>0</v>
      </c>
      <c r="D101" s="253">
        <f>C101/C106</f>
        <v>0</v>
      </c>
      <c r="E101" s="375"/>
      <c r="F101" s="253">
        <f>C101/C107</f>
        <v>0</v>
      </c>
      <c r="G101" s="376"/>
      <c r="I101" s="171" t="s">
        <v>26</v>
      </c>
      <c r="J101" s="167">
        <f>COUNTIFS('1. All Data'!$AA$3:$AA$134,"Standing up for our communities",'1. All Data'!$M$3:$M$134,"Off Target")</f>
        <v>0</v>
      </c>
      <c r="K101" s="253">
        <f>J101/J106</f>
        <v>0</v>
      </c>
      <c r="L101" s="375"/>
      <c r="M101" s="253">
        <f>J101/J107</f>
        <v>0</v>
      </c>
      <c r="N101" s="376"/>
      <c r="P101" s="171" t="s">
        <v>26</v>
      </c>
      <c r="Q101" s="167">
        <f>COUNTIFS('1. All Data'!$AA$3:$AA$134,"Standing up for our communities",'1. All Data'!$R$3:$R$134,"Off Target")</f>
        <v>0</v>
      </c>
      <c r="R101" s="253" t="e">
        <f>Q101/Q106</f>
        <v>#DIV/0!</v>
      </c>
      <c r="S101" s="375"/>
      <c r="T101" s="253" t="e">
        <f>Q101/Q107</f>
        <v>#DIV/0!</v>
      </c>
      <c r="U101" s="376"/>
      <c r="W101" s="171" t="s">
        <v>26</v>
      </c>
      <c r="X101" s="167">
        <f>COUNTIFS('1. All Data'!$AA$3:$AA$134,"Standing up for our communities",'1. All Data'!$V$3:$V$134,"Off Target")</f>
        <v>0</v>
      </c>
      <c r="Y101" s="253" t="e">
        <f>X101/$X$34</f>
        <v>#DIV/0!</v>
      </c>
      <c r="Z101" s="375"/>
      <c r="AA101" s="253" t="e">
        <f>X101/X107</f>
        <v>#DIV/0!</v>
      </c>
      <c r="AB101" s="376"/>
    </row>
    <row r="102" spans="2:28" ht="15.75">
      <c r="B102" s="172" t="s">
        <v>49</v>
      </c>
      <c r="C102" s="167">
        <f>COUNTIFS('1. All Data'!$AA$3:$AA$134,"Standing up for our communities",'1. All Data'!$H$3:$H$134,"Not yet due")</f>
        <v>2</v>
      </c>
      <c r="D102" s="173">
        <f>C102/C106</f>
        <v>0.4</v>
      </c>
      <c r="E102" s="173">
        <f>D102</f>
        <v>0.4</v>
      </c>
      <c r="F102" s="174"/>
      <c r="G102" s="58"/>
      <c r="I102" s="172" t="s">
        <v>49</v>
      </c>
      <c r="J102" s="167">
        <f>COUNTIFS('1. All Data'!$AA$3:$AA$134,"Standing up for our communities",'1. All Data'!$M$3:$M$134,"Not yet due")</f>
        <v>0</v>
      </c>
      <c r="K102" s="173">
        <f>J102/J106</f>
        <v>0</v>
      </c>
      <c r="L102" s="173">
        <f>K102</f>
        <v>0</v>
      </c>
      <c r="M102" s="174"/>
      <c r="N102" s="58"/>
      <c r="P102" s="172" t="s">
        <v>49</v>
      </c>
      <c r="Q102" s="167">
        <f>COUNTIFS('1. All Data'!$AA$3:$AA$134,"Standing up for our communities",'1. All Data'!$R$3:$R$134,"Not yet due")</f>
        <v>0</v>
      </c>
      <c r="R102" s="173" t="e">
        <f>Q102/Q106</f>
        <v>#DIV/0!</v>
      </c>
      <c r="S102" s="173" t="e">
        <f>R102</f>
        <v>#DIV/0!</v>
      </c>
      <c r="T102" s="174"/>
      <c r="U102" s="58"/>
      <c r="W102" s="172" t="s">
        <v>49</v>
      </c>
      <c r="X102" s="167">
        <f>COUNTIFS('1. All Data'!$AA$3:$AA$134,"Standing up for our communities",'1. All Data'!$V$3:$V$134,"Not yet due")</f>
        <v>0</v>
      </c>
      <c r="Y102" s="253" t="e">
        <f t="shared" ref="Y102:Y105" si="11">X102/$X$34</f>
        <v>#DIV/0!</v>
      </c>
      <c r="Z102" s="253" t="e">
        <f>Y102</f>
        <v>#DIV/0!</v>
      </c>
      <c r="AA102" s="174"/>
      <c r="AB102" s="58"/>
    </row>
    <row r="103" spans="2:28" ht="15.75">
      <c r="B103" s="172" t="s">
        <v>21</v>
      </c>
      <c r="C103" s="167">
        <f>COUNTIFS('1. All Data'!$AA$3:$AA$134,"Standing up for our communities",'1. All Data'!$H$3:$H$134,"update not provided")</f>
        <v>0</v>
      </c>
      <c r="D103" s="173">
        <f>C103/C106</f>
        <v>0</v>
      </c>
      <c r="E103" s="173">
        <f>D103</f>
        <v>0</v>
      </c>
      <c r="F103" s="174"/>
      <c r="G103" s="2"/>
      <c r="I103" s="172" t="s">
        <v>21</v>
      </c>
      <c r="J103" s="167">
        <f>COUNTIFS('1. All Data'!$AA$3:$AA$134,"Standing up for our communities",'1. All Data'!$M$3:$M$134,"update not provided")</f>
        <v>0</v>
      </c>
      <c r="K103" s="173">
        <f>J103/J106</f>
        <v>0</v>
      </c>
      <c r="L103" s="173">
        <f>K103</f>
        <v>0</v>
      </c>
      <c r="M103" s="174"/>
      <c r="N103" s="2"/>
      <c r="P103" s="172" t="s">
        <v>21</v>
      </c>
      <c r="Q103" s="167">
        <f>COUNTIFS('1. All Data'!$AA$3:$AA$134,"Standing up for our communities",'1. All Data'!$R$3:$R$134,"update not provided")</f>
        <v>0</v>
      </c>
      <c r="R103" s="173" t="e">
        <f>Q103/Q106</f>
        <v>#DIV/0!</v>
      </c>
      <c r="S103" s="173" t="e">
        <f>R103</f>
        <v>#DIV/0!</v>
      </c>
      <c r="T103" s="174"/>
      <c r="U103" s="2"/>
      <c r="W103" s="172" t="s">
        <v>21</v>
      </c>
      <c r="X103" s="167">
        <f>COUNTIFS('1. All Data'!$AA$3:$AA$134,"Standing up for our communities",'1. All Data'!$V$3:$V$134,"update not provided")</f>
        <v>0</v>
      </c>
      <c r="Y103" s="253" t="e">
        <f t="shared" si="11"/>
        <v>#DIV/0!</v>
      </c>
      <c r="Z103" s="253" t="e">
        <f>Y103</f>
        <v>#DIV/0!</v>
      </c>
      <c r="AA103" s="174"/>
      <c r="AB103" s="2"/>
    </row>
    <row r="104" spans="2:28" ht="15.75">
      <c r="B104" s="175" t="s">
        <v>29</v>
      </c>
      <c r="C104" s="167">
        <f>COUNTIFS('1. All Data'!$AA$3:$AA$134,"Standing up for our communities",'1. All Data'!$H$3:$H$134,"Deferred")</f>
        <v>0</v>
      </c>
      <c r="D104" s="176">
        <f>C104/C106</f>
        <v>0</v>
      </c>
      <c r="E104" s="176">
        <f>D104</f>
        <v>0</v>
      </c>
      <c r="F104" s="177"/>
      <c r="G104" s="58"/>
      <c r="I104" s="175" t="s">
        <v>29</v>
      </c>
      <c r="J104" s="167">
        <f>COUNTIFS('1. All Data'!$AA$3:$AA$134,"Standing up for our communities",'1. All Data'!$M$3:$M$134,"Deferred")</f>
        <v>0</v>
      </c>
      <c r="K104" s="176">
        <f>J104/J106</f>
        <v>0</v>
      </c>
      <c r="L104" s="176">
        <f>K104</f>
        <v>0</v>
      </c>
      <c r="M104" s="177"/>
      <c r="N104" s="58"/>
      <c r="P104" s="175" t="s">
        <v>29</v>
      </c>
      <c r="Q104" s="167">
        <f>COUNTIFS('1. All Data'!$AA$3:$AA$134,"Standing up for our communities",'1. All Data'!$R$3:$R$134,"Deferred")</f>
        <v>0</v>
      </c>
      <c r="R104" s="176" t="e">
        <f>Q104/Q106</f>
        <v>#DIV/0!</v>
      </c>
      <c r="S104" s="176" t="e">
        <f>R104</f>
        <v>#DIV/0!</v>
      </c>
      <c r="T104" s="177"/>
      <c r="U104" s="58"/>
      <c r="W104" s="175" t="s">
        <v>29</v>
      </c>
      <c r="X104" s="167">
        <f>COUNTIFS('1. All Data'!$AA$3:$AA$134,"Standing up for our communities",'1. All Data'!$V$3:$V$134,"Deferred")</f>
        <v>0</v>
      </c>
      <c r="Y104" s="253" t="e">
        <f t="shared" si="11"/>
        <v>#DIV/0!</v>
      </c>
      <c r="Z104" s="253" t="e">
        <f t="shared" ref="Z104:Z105" si="12">Y104</f>
        <v>#DIV/0!</v>
      </c>
      <c r="AA104" s="177"/>
      <c r="AB104" s="58"/>
    </row>
    <row r="105" spans="2:28" ht="15.75">
      <c r="B105" s="175" t="s">
        <v>30</v>
      </c>
      <c r="C105" s="167">
        <f>COUNTIFS('1. All Data'!$AA$3:$AA$134,"Standing up for our communities",'1. All Data'!$H$3:$H$134,"Deleted")</f>
        <v>0</v>
      </c>
      <c r="D105" s="176">
        <f>C105/C106</f>
        <v>0</v>
      </c>
      <c r="E105" s="176">
        <f>D105</f>
        <v>0</v>
      </c>
      <c r="F105" s="177"/>
      <c r="G105" s="3"/>
      <c r="I105" s="175" t="s">
        <v>30</v>
      </c>
      <c r="J105" s="167">
        <f>COUNTIFS('1. All Data'!$AA$3:$AA$134,"Standing up for our communities",'1. All Data'!$M$3:$M$134,"Deleted")</f>
        <v>0</v>
      </c>
      <c r="K105" s="176">
        <f>J105/J106</f>
        <v>0</v>
      </c>
      <c r="L105" s="176">
        <f>K105</f>
        <v>0</v>
      </c>
      <c r="M105" s="177"/>
      <c r="N105" s="3"/>
      <c r="P105" s="175" t="s">
        <v>30</v>
      </c>
      <c r="Q105" s="167">
        <f>COUNTIFS('1. All Data'!$AA$3:$AA$134,"Standing up for our communities",'1. All Data'!$R$3:$R$134,"Deleted")</f>
        <v>0</v>
      </c>
      <c r="R105" s="176" t="e">
        <f>Q105/Q106</f>
        <v>#DIV/0!</v>
      </c>
      <c r="S105" s="176" t="e">
        <f>R105</f>
        <v>#DIV/0!</v>
      </c>
      <c r="T105" s="177"/>
      <c r="U105" s="3"/>
      <c r="W105" s="175" t="s">
        <v>30</v>
      </c>
      <c r="X105" s="167">
        <f>COUNTIFS('1. All Data'!$AA$3:$AA$134,"Standing up for our communities",'1. All Data'!$V$3:$V$134,"Deleted")</f>
        <v>0</v>
      </c>
      <c r="Y105" s="253" t="e">
        <f t="shared" si="11"/>
        <v>#DIV/0!</v>
      </c>
      <c r="Z105" s="253" t="e">
        <f t="shared" si="12"/>
        <v>#DIV/0!</v>
      </c>
      <c r="AA105" s="177"/>
    </row>
    <row r="106" spans="2:28" ht="15.75">
      <c r="B106" s="193" t="s">
        <v>51</v>
      </c>
      <c r="C106" s="179">
        <f>SUM(C95:C105)</f>
        <v>5</v>
      </c>
      <c r="D106" s="177"/>
      <c r="E106" s="177"/>
      <c r="F106" s="58"/>
      <c r="G106" s="58"/>
      <c r="I106" s="193" t="s">
        <v>51</v>
      </c>
      <c r="J106" s="179">
        <f>SUM(J95:J105)</f>
        <v>5</v>
      </c>
      <c r="K106" s="177"/>
      <c r="L106" s="177"/>
      <c r="M106" s="58"/>
      <c r="N106" s="58"/>
      <c r="P106" s="193" t="s">
        <v>51</v>
      </c>
      <c r="Q106" s="179">
        <f>SUM(Q95:Q105)</f>
        <v>0</v>
      </c>
      <c r="R106" s="177"/>
      <c r="S106" s="177"/>
      <c r="T106" s="58"/>
      <c r="U106" s="58"/>
      <c r="W106" s="178" t="s">
        <v>51</v>
      </c>
      <c r="X106" s="179">
        <f>SUM(X95:X105)</f>
        <v>0</v>
      </c>
      <c r="Y106" s="177"/>
      <c r="Z106" s="177"/>
      <c r="AA106" s="58"/>
      <c r="AB106" s="58"/>
    </row>
    <row r="107" spans="2:28" ht="15.75">
      <c r="B107" s="193" t="s">
        <v>52</v>
      </c>
      <c r="C107" s="179">
        <f>C106-C105-C104-C103-C102</f>
        <v>3</v>
      </c>
      <c r="D107" s="58"/>
      <c r="E107" s="58"/>
      <c r="F107" s="58"/>
      <c r="G107" s="58"/>
      <c r="I107" s="193" t="s">
        <v>52</v>
      </c>
      <c r="J107" s="179">
        <f>J106-J105-J104-J103-J102</f>
        <v>5</v>
      </c>
      <c r="K107" s="58"/>
      <c r="L107" s="58"/>
      <c r="M107" s="58"/>
      <c r="N107" s="58"/>
      <c r="P107" s="193" t="s">
        <v>52</v>
      </c>
      <c r="Q107" s="179">
        <f>Q106-Q105-Q104-Q103-Q102</f>
        <v>0</v>
      </c>
      <c r="R107" s="58"/>
      <c r="S107" s="58"/>
      <c r="T107" s="58"/>
      <c r="U107" s="58"/>
      <c r="W107" s="178" t="s">
        <v>52</v>
      </c>
      <c r="X107" s="179">
        <f>X106-X105-X104-X103-X102</f>
        <v>0</v>
      </c>
      <c r="Y107" s="58"/>
      <c r="Z107" s="58"/>
      <c r="AA107" s="58"/>
      <c r="AB107" s="58"/>
    </row>
    <row r="109" spans="2:28" hidden="1"/>
    <row r="110" spans="2:28" hidden="1"/>
    <row r="111" spans="2:28" ht="15.75">
      <c r="B111" s="188" t="s">
        <v>427</v>
      </c>
      <c r="C111" s="189"/>
      <c r="D111" s="189"/>
      <c r="E111" s="189"/>
      <c r="F111" s="190"/>
      <c r="G111" s="191"/>
      <c r="I111" s="188" t="s">
        <v>427</v>
      </c>
      <c r="J111" s="189"/>
      <c r="K111" s="189"/>
      <c r="L111" s="189"/>
      <c r="M111" s="190"/>
      <c r="N111" s="191"/>
      <c r="P111" s="188" t="s">
        <v>427</v>
      </c>
      <c r="Q111" s="189"/>
      <c r="R111" s="189"/>
      <c r="S111" s="189"/>
      <c r="T111" s="190"/>
      <c r="U111" s="191"/>
      <c r="W111" s="188" t="s">
        <v>427</v>
      </c>
      <c r="X111" s="195"/>
      <c r="Y111" s="162"/>
      <c r="Z111" s="162"/>
      <c r="AA111" s="162"/>
      <c r="AB111" s="163"/>
    </row>
    <row r="112" spans="2:28" ht="31.5">
      <c r="B112" s="164" t="s">
        <v>42</v>
      </c>
      <c r="C112" s="164" t="s">
        <v>43</v>
      </c>
      <c r="D112" s="164" t="s">
        <v>44</v>
      </c>
      <c r="E112" s="164" t="s">
        <v>45</v>
      </c>
      <c r="F112" s="164" t="s">
        <v>46</v>
      </c>
      <c r="G112" s="164" t="s">
        <v>47</v>
      </c>
      <c r="I112" s="164" t="s">
        <v>42</v>
      </c>
      <c r="J112" s="164" t="s">
        <v>43</v>
      </c>
      <c r="K112" s="164" t="s">
        <v>44</v>
      </c>
      <c r="L112" s="164" t="s">
        <v>45</v>
      </c>
      <c r="M112" s="164" t="s">
        <v>46</v>
      </c>
      <c r="N112" s="164" t="s">
        <v>47</v>
      </c>
      <c r="P112" s="164" t="s">
        <v>42</v>
      </c>
      <c r="Q112" s="164" t="s">
        <v>43</v>
      </c>
      <c r="R112" s="164" t="s">
        <v>44</v>
      </c>
      <c r="S112" s="164" t="s">
        <v>45</v>
      </c>
      <c r="T112" s="164" t="s">
        <v>46</v>
      </c>
      <c r="U112" s="164" t="s">
        <v>47</v>
      </c>
      <c r="W112" s="164" t="s">
        <v>42</v>
      </c>
      <c r="X112" s="164" t="s">
        <v>43</v>
      </c>
      <c r="Y112" s="164" t="s">
        <v>44</v>
      </c>
      <c r="Z112" s="164" t="s">
        <v>45</v>
      </c>
      <c r="AA112" s="164" t="s">
        <v>46</v>
      </c>
      <c r="AB112" s="164" t="s">
        <v>47</v>
      </c>
    </row>
    <row r="113" spans="2:28" ht="15.75">
      <c r="B113" s="227" t="s">
        <v>48</v>
      </c>
      <c r="C113" s="167">
        <f>COUNTIFS('1. All Data'!$AA$3:$AA$134,"",'1. All Data'!$H$3:$H$134,"Fully Achieved")</f>
        <v>7</v>
      </c>
      <c r="D113" s="253">
        <f>C113/C124</f>
        <v>7.4468085106382975E-2</v>
      </c>
      <c r="E113" s="375">
        <f>D113+D114</f>
        <v>0.64893617021276606</v>
      </c>
      <c r="F113" s="253">
        <f>C113/C125</f>
        <v>0.10606060606060606</v>
      </c>
      <c r="G113" s="377">
        <f>F113+F114</f>
        <v>0.92424242424242431</v>
      </c>
      <c r="I113" s="227" t="s">
        <v>48</v>
      </c>
      <c r="J113" s="167">
        <f>COUNTIFS('1. All Data'!$AA$3:$AA$134,"",'1. All Data'!$M$3:$M$134,"Fully Achieved")</f>
        <v>22</v>
      </c>
      <c r="K113" s="253">
        <f>J113/J124</f>
        <v>0.23404255319148937</v>
      </c>
      <c r="L113" s="375">
        <f>K113+K114</f>
        <v>0.84042553191489366</v>
      </c>
      <c r="M113" s="253">
        <f>J113/J125</f>
        <v>0.2558139534883721</v>
      </c>
      <c r="N113" s="377">
        <f>M113+M114</f>
        <v>0.91860465116279066</v>
      </c>
      <c r="P113" s="227" t="s">
        <v>48</v>
      </c>
      <c r="Q113" s="167">
        <f>COUNTIFS('1. All Data'!$AA$3:$AA$134,"",'1. All Data'!$R$3:$R$134,"Fully Achieved")</f>
        <v>0</v>
      </c>
      <c r="R113" s="253" t="e">
        <f>Q113/Q124</f>
        <v>#DIV/0!</v>
      </c>
      <c r="S113" s="375" t="e">
        <f>R113+R114</f>
        <v>#DIV/0!</v>
      </c>
      <c r="T113" s="253" t="e">
        <f>Q113/Q125</f>
        <v>#DIV/0!</v>
      </c>
      <c r="U113" s="377" t="e">
        <f>T113+T114</f>
        <v>#DIV/0!</v>
      </c>
      <c r="W113" s="227" t="s">
        <v>48</v>
      </c>
      <c r="X113" s="167">
        <f>COUNTIFS('1. All Data'!$AA$3:$AA$134,"",'1. All Data'!$V$3:$V$134,"Fully Achieved")</f>
        <v>0</v>
      </c>
      <c r="Y113" s="253" t="e">
        <f>X113/X124</f>
        <v>#DIV/0!</v>
      </c>
      <c r="Z113" s="375" t="e">
        <f>Y113+Y114</f>
        <v>#DIV/0!</v>
      </c>
      <c r="AA113" s="253" t="e">
        <f>X113/X125</f>
        <v>#DIV/0!</v>
      </c>
      <c r="AB113" s="377" t="e">
        <f>AA113+AA114</f>
        <v>#DIV/0!</v>
      </c>
    </row>
    <row r="114" spans="2:28" ht="15.75">
      <c r="B114" s="227" t="s">
        <v>31</v>
      </c>
      <c r="C114" s="167">
        <f>COUNTIFS('1. All Data'!$AA$3:$AA$134,"",'1. All Data'!$H$3:$H$134,"On Track to be achieved")</f>
        <v>54</v>
      </c>
      <c r="D114" s="253">
        <f>C114/C124</f>
        <v>0.57446808510638303</v>
      </c>
      <c r="E114" s="375"/>
      <c r="F114" s="253">
        <f>C114/C125</f>
        <v>0.81818181818181823</v>
      </c>
      <c r="G114" s="377"/>
      <c r="I114" s="227" t="s">
        <v>31</v>
      </c>
      <c r="J114" s="167">
        <f>COUNTIFS('1. All Data'!$AA$3:$AA$134,"",'1. All Data'!$M$3:$M$134,"On Track to be achieved")</f>
        <v>57</v>
      </c>
      <c r="K114" s="253">
        <f>J114/J124</f>
        <v>0.6063829787234043</v>
      </c>
      <c r="L114" s="375"/>
      <c r="M114" s="253">
        <f>J114/J125</f>
        <v>0.66279069767441856</v>
      </c>
      <c r="N114" s="377"/>
      <c r="P114" s="227" t="s">
        <v>31</v>
      </c>
      <c r="Q114" s="167">
        <f>COUNTIFS('1. All Data'!$AA$3:$AA$134,"",'1. All Data'!$R$3:$R$134,"On Track to be achieved")</f>
        <v>0</v>
      </c>
      <c r="R114" s="253" t="e">
        <f>Q114/Q124</f>
        <v>#DIV/0!</v>
      </c>
      <c r="S114" s="375"/>
      <c r="T114" s="253" t="e">
        <f>Q114/Q125</f>
        <v>#DIV/0!</v>
      </c>
      <c r="U114" s="377"/>
      <c r="W114" s="227" t="s">
        <v>23</v>
      </c>
      <c r="X114" s="167">
        <f>COUNTIFS('1. All Data'!$AA$3:$AA$134,"",'1. All Data'!$V$3:$V$134,"Numerical Outturn Within 5% Tolerance")</f>
        <v>0</v>
      </c>
      <c r="Y114" s="253" t="e">
        <f>X114/X124</f>
        <v>#DIV/0!</v>
      </c>
      <c r="Z114" s="375"/>
      <c r="AA114" s="253" t="e">
        <f>X114/X125</f>
        <v>#DIV/0!</v>
      </c>
      <c r="AB114" s="377"/>
    </row>
    <row r="115" spans="2:28" ht="15.75">
      <c r="B115" s="385" t="s">
        <v>32</v>
      </c>
      <c r="C115" s="388">
        <f>COUNTIFS('1. All Data'!$AA$3:$AA$134,"",'1. All Data'!$H$3:$H$134,"In Danger of Falling Behind Target")</f>
        <v>5</v>
      </c>
      <c r="D115" s="378">
        <f>C115/C124</f>
        <v>5.3191489361702128E-2</v>
      </c>
      <c r="E115" s="378">
        <f>D115</f>
        <v>5.3191489361702128E-2</v>
      </c>
      <c r="F115" s="378">
        <f>C115/C125</f>
        <v>7.575757575757576E-2</v>
      </c>
      <c r="G115" s="381">
        <f>F115</f>
        <v>7.575757575757576E-2</v>
      </c>
      <c r="I115" s="385" t="s">
        <v>32</v>
      </c>
      <c r="J115" s="388">
        <f>COUNTIFS('1. All Data'!$AA$3:$AA$134,"",'1. All Data'!$M$3:$M$134,"In Danger of Falling Behind Target")</f>
        <v>2</v>
      </c>
      <c r="K115" s="378">
        <f>J115/J124</f>
        <v>2.1276595744680851E-2</v>
      </c>
      <c r="L115" s="378">
        <f>K115</f>
        <v>2.1276595744680851E-2</v>
      </c>
      <c r="M115" s="378">
        <f>J115/J125</f>
        <v>2.3255813953488372E-2</v>
      </c>
      <c r="N115" s="381">
        <f>M115</f>
        <v>2.3255813953488372E-2</v>
      </c>
      <c r="P115" s="385" t="s">
        <v>32</v>
      </c>
      <c r="Q115" s="388">
        <f>COUNTIFS('1. All Data'!$AA$3:$AA$134,"",'1. All Data'!$R$3:$R$134,"In Danger of Falling Behind Target")</f>
        <v>0</v>
      </c>
      <c r="R115" s="378" t="e">
        <f>Q115/Q124</f>
        <v>#DIV/0!</v>
      </c>
      <c r="S115" s="378" t="e">
        <f>R115</f>
        <v>#DIV/0!</v>
      </c>
      <c r="T115" s="378" t="e">
        <f>Q115/Q125</f>
        <v>#DIV/0!</v>
      </c>
      <c r="U115" s="381" t="e">
        <f>T115</f>
        <v>#DIV/0!</v>
      </c>
      <c r="W115" s="169" t="s">
        <v>24</v>
      </c>
      <c r="X115" s="170">
        <f>COUNTIFS('1. All Data'!$AA$3:$AA$134,"",'1. All Data'!$V$3:$V$134,"Numerical Outturn Within 10% Tolerance")</f>
        <v>0</v>
      </c>
      <c r="Y115" s="253" t="e">
        <f>X115/$X$34</f>
        <v>#DIV/0!</v>
      </c>
      <c r="Z115" s="375" t="e">
        <f>SUM(Y115:Y117)</f>
        <v>#DIV/0!</v>
      </c>
      <c r="AA115" s="253" t="e">
        <f>X115/X125</f>
        <v>#DIV/0!</v>
      </c>
      <c r="AB115" s="384" t="e">
        <f>SUM(AA115:AA117)</f>
        <v>#DIV/0!</v>
      </c>
    </row>
    <row r="116" spans="2:28" ht="15.75">
      <c r="B116" s="386"/>
      <c r="C116" s="389"/>
      <c r="D116" s="379"/>
      <c r="E116" s="379"/>
      <c r="F116" s="379"/>
      <c r="G116" s="382"/>
      <c r="I116" s="386"/>
      <c r="J116" s="389"/>
      <c r="K116" s="379"/>
      <c r="L116" s="379"/>
      <c r="M116" s="379"/>
      <c r="N116" s="382"/>
      <c r="P116" s="386"/>
      <c r="Q116" s="389"/>
      <c r="R116" s="379"/>
      <c r="S116" s="379"/>
      <c r="T116" s="379"/>
      <c r="U116" s="382"/>
      <c r="W116" s="169" t="s">
        <v>25</v>
      </c>
      <c r="X116" s="170">
        <f>COUNTIFS('1. All Data'!$AA$3:$AA$134,"",'1. All Data'!$V$3:$V$134,"Target Partially Met")</f>
        <v>0</v>
      </c>
      <c r="Y116" s="253" t="e">
        <f>X116/$X$34</f>
        <v>#DIV/0!</v>
      </c>
      <c r="Z116" s="375"/>
      <c r="AA116" s="253" t="e">
        <f>X116/X125</f>
        <v>#DIV/0!</v>
      </c>
      <c r="AB116" s="384"/>
    </row>
    <row r="117" spans="2:28" ht="15.75">
      <c r="B117" s="387"/>
      <c r="C117" s="390"/>
      <c r="D117" s="380"/>
      <c r="E117" s="380"/>
      <c r="F117" s="380"/>
      <c r="G117" s="383"/>
      <c r="I117" s="387"/>
      <c r="J117" s="390"/>
      <c r="K117" s="380"/>
      <c r="L117" s="380"/>
      <c r="M117" s="380"/>
      <c r="N117" s="383"/>
      <c r="P117" s="387"/>
      <c r="Q117" s="390"/>
      <c r="R117" s="380"/>
      <c r="S117" s="380"/>
      <c r="T117" s="380"/>
      <c r="U117" s="383"/>
      <c r="W117" s="169" t="s">
        <v>28</v>
      </c>
      <c r="X117" s="170">
        <f>COUNTIFS('1. All Data'!$AA$3:$AA$134,"",'1. All Data'!$V$3:$V$134,"Completion Date Within Reasonable Tolerance")</f>
        <v>0</v>
      </c>
      <c r="Y117" s="253" t="e">
        <f>X117/$X$34</f>
        <v>#DIV/0!</v>
      </c>
      <c r="Z117" s="375"/>
      <c r="AA117" s="253" t="e">
        <f>X117/X125</f>
        <v>#DIV/0!</v>
      </c>
      <c r="AB117" s="384"/>
    </row>
    <row r="118" spans="2:28" ht="15.75">
      <c r="B118" s="171" t="s">
        <v>33</v>
      </c>
      <c r="C118" s="167">
        <f>COUNTIFS('1. All Data'!$AA$3:$AA$134,"",'1. All Data'!$H$3:$H$134,"Completed Behind Schedule")</f>
        <v>0</v>
      </c>
      <c r="D118" s="253">
        <f>C118/C124</f>
        <v>0</v>
      </c>
      <c r="E118" s="375">
        <f>D118+D119</f>
        <v>0</v>
      </c>
      <c r="F118" s="253">
        <f>C118/C125</f>
        <v>0</v>
      </c>
      <c r="G118" s="376">
        <f>F118+F119</f>
        <v>0</v>
      </c>
      <c r="I118" s="171" t="s">
        <v>33</v>
      </c>
      <c r="J118" s="167">
        <f>COUNTIFS('1. All Data'!$AA$3:$AA$134,"",'1. All Data'!$M$3:$M$134,"Completed Behind Schedule")</f>
        <v>0</v>
      </c>
      <c r="K118" s="253">
        <f>J118/J124</f>
        <v>0</v>
      </c>
      <c r="L118" s="375">
        <f>K118+K119</f>
        <v>5.3191489361702128E-2</v>
      </c>
      <c r="M118" s="253">
        <f>J118/J125</f>
        <v>0</v>
      </c>
      <c r="N118" s="376">
        <f>M118+M119</f>
        <v>5.8139534883720929E-2</v>
      </c>
      <c r="P118" s="171" t="s">
        <v>33</v>
      </c>
      <c r="Q118" s="167">
        <f>COUNTIFS('1. All Data'!$AA$3:$AA$134,"",'1. All Data'!$R$3:$R$134,"Completed Behind Schedule")</f>
        <v>0</v>
      </c>
      <c r="R118" s="253" t="e">
        <f>Q118/Q124</f>
        <v>#DIV/0!</v>
      </c>
      <c r="S118" s="375" t="e">
        <f>R118+R119</f>
        <v>#DIV/0!</v>
      </c>
      <c r="T118" s="253" t="e">
        <f>Q118/Q125</f>
        <v>#DIV/0!</v>
      </c>
      <c r="U118" s="376" t="e">
        <f>T118+T119</f>
        <v>#DIV/0!</v>
      </c>
      <c r="W118" s="171" t="s">
        <v>27</v>
      </c>
      <c r="X118" s="167">
        <f>COUNTIFS('1. All Data'!$AA$3:$AA$134,"",'1. All Data'!$V$3:$V$134,"Completed Significantly After Target Deadline")</f>
        <v>0</v>
      </c>
      <c r="Y118" s="253" t="e">
        <f>X118/$X$34</f>
        <v>#DIV/0!</v>
      </c>
      <c r="Z118" s="375" t="e">
        <f>SUM(Y118:Y119)</f>
        <v>#DIV/0!</v>
      </c>
      <c r="AA118" s="253" t="e">
        <f>X118/X125</f>
        <v>#DIV/0!</v>
      </c>
      <c r="AB118" s="376" t="e">
        <f>AA118+AA119</f>
        <v>#DIV/0!</v>
      </c>
    </row>
    <row r="119" spans="2:28" ht="15.75">
      <c r="B119" s="171" t="s">
        <v>26</v>
      </c>
      <c r="C119" s="167">
        <f>COUNTIFS('1. All Data'!$AA$3:$AA$134,"",'1. All Data'!$H$3:$H$134,"Off Target")</f>
        <v>0</v>
      </c>
      <c r="D119" s="253">
        <f>C119/C124</f>
        <v>0</v>
      </c>
      <c r="E119" s="375"/>
      <c r="F119" s="253">
        <f>C119/C125</f>
        <v>0</v>
      </c>
      <c r="G119" s="376"/>
      <c r="I119" s="171" t="s">
        <v>26</v>
      </c>
      <c r="J119" s="167">
        <f>COUNTIFS('1. All Data'!$AA$3:$AA$134,"",'1. All Data'!$M$3:$M$134,"Off Target")</f>
        <v>5</v>
      </c>
      <c r="K119" s="253">
        <f>J119/J124</f>
        <v>5.3191489361702128E-2</v>
      </c>
      <c r="L119" s="375"/>
      <c r="M119" s="253">
        <f>J119/J125</f>
        <v>5.8139534883720929E-2</v>
      </c>
      <c r="N119" s="376"/>
      <c r="P119" s="171" t="s">
        <v>26</v>
      </c>
      <c r="Q119" s="167">
        <f>COUNTIFS('1. All Data'!$AA$3:$AA$134,"",'1. All Data'!$R$3:$R$134,"Off Target")</f>
        <v>0</v>
      </c>
      <c r="R119" s="253" t="e">
        <f>Q119/Q124</f>
        <v>#DIV/0!</v>
      </c>
      <c r="S119" s="375"/>
      <c r="T119" s="253" t="e">
        <f>Q119/Q125</f>
        <v>#DIV/0!</v>
      </c>
      <c r="U119" s="376"/>
      <c r="W119" s="171" t="s">
        <v>26</v>
      </c>
      <c r="X119" s="167">
        <f>COUNTIFS('1. All Data'!$AA$3:$AA$134,"",'1. All Data'!$V$3:$V$134,"Off Target")</f>
        <v>0</v>
      </c>
      <c r="Y119" s="253" t="e">
        <f>X119/$X$34</f>
        <v>#DIV/0!</v>
      </c>
      <c r="Z119" s="375"/>
      <c r="AA119" s="253" t="e">
        <f>X119/X125</f>
        <v>#DIV/0!</v>
      </c>
      <c r="AB119" s="376"/>
    </row>
    <row r="120" spans="2:28" ht="15.75">
      <c r="B120" s="172" t="s">
        <v>49</v>
      </c>
      <c r="C120" s="167">
        <f>COUNTIFS('1. All Data'!$AA$3:$AA$134,"",'1. All Data'!$H$3:$H$134,"Not yet due")</f>
        <v>28</v>
      </c>
      <c r="D120" s="173">
        <f>C120/C124</f>
        <v>0.2978723404255319</v>
      </c>
      <c r="E120" s="173">
        <f>D120</f>
        <v>0.2978723404255319</v>
      </c>
      <c r="F120" s="174"/>
      <c r="G120" s="58"/>
      <c r="I120" s="172" t="s">
        <v>49</v>
      </c>
      <c r="J120" s="167">
        <f>COUNTIFS('1. All Data'!$AA$3:$AA$134,"",'1. All Data'!$M$3:$M$134,"Not yet due")</f>
        <v>7</v>
      </c>
      <c r="K120" s="173">
        <f>J120/J124</f>
        <v>7.4468085106382975E-2</v>
      </c>
      <c r="L120" s="173">
        <f>K120</f>
        <v>7.4468085106382975E-2</v>
      </c>
      <c r="M120" s="174"/>
      <c r="N120" s="58"/>
      <c r="P120" s="172" t="s">
        <v>49</v>
      </c>
      <c r="Q120" s="167">
        <f>COUNTIFS('1. All Data'!$AA$3:$AA$134,"",'1. All Data'!$R$3:$R$134,"Not yet due")</f>
        <v>0</v>
      </c>
      <c r="R120" s="173" t="e">
        <f>Q120/Q124</f>
        <v>#DIV/0!</v>
      </c>
      <c r="S120" s="173" t="e">
        <f>R120</f>
        <v>#DIV/0!</v>
      </c>
      <c r="T120" s="174"/>
      <c r="U120" s="58"/>
      <c r="W120" s="172" t="s">
        <v>49</v>
      </c>
      <c r="X120" s="167">
        <f>COUNTIFS('1. All Data'!$AA$3:$AA$134,"",'1. All Data'!$V$3:$V$134,"Not yet due")</f>
        <v>0</v>
      </c>
      <c r="Y120" s="253" t="e">
        <f t="shared" ref="Y120:Y123" si="13">X120/$X$34</f>
        <v>#DIV/0!</v>
      </c>
      <c r="Z120" s="253" t="e">
        <f>Y120</f>
        <v>#DIV/0!</v>
      </c>
      <c r="AA120" s="174"/>
      <c r="AB120" s="58"/>
    </row>
    <row r="121" spans="2:28" ht="15.75">
      <c r="B121" s="172" t="s">
        <v>21</v>
      </c>
      <c r="C121" s="167">
        <f>COUNTIFS('1. All Data'!$AA$3:$AA$134,"",'1. All Data'!$H$3:$H$134,"update not provided")</f>
        <v>0</v>
      </c>
      <c r="D121" s="173">
        <f>C121/C124</f>
        <v>0</v>
      </c>
      <c r="E121" s="173">
        <f>D121</f>
        <v>0</v>
      </c>
      <c r="F121" s="174"/>
      <c r="G121" s="2"/>
      <c r="I121" s="172" t="s">
        <v>21</v>
      </c>
      <c r="J121" s="167">
        <f>COUNTIFS('1. All Data'!$AA$3:$AA$134,"",'1. All Data'!$M$3:$M$134,"update not provided")</f>
        <v>0</v>
      </c>
      <c r="K121" s="173">
        <f>J121/J124</f>
        <v>0</v>
      </c>
      <c r="L121" s="173">
        <f>K121</f>
        <v>0</v>
      </c>
      <c r="M121" s="174"/>
      <c r="N121" s="2"/>
      <c r="P121" s="172" t="s">
        <v>21</v>
      </c>
      <c r="Q121" s="167">
        <f>COUNTIFS('1. All Data'!$AA$3:$AA$134,"",'1. All Data'!$R$3:$R$134,"update not provided")</f>
        <v>0</v>
      </c>
      <c r="R121" s="173" t="e">
        <f>Q121/Q124</f>
        <v>#DIV/0!</v>
      </c>
      <c r="S121" s="173" t="e">
        <f>R121</f>
        <v>#DIV/0!</v>
      </c>
      <c r="T121" s="174"/>
      <c r="U121" s="2"/>
      <c r="W121" s="172" t="s">
        <v>21</v>
      </c>
      <c r="X121" s="167">
        <f>COUNTIFS('1. All Data'!$AA$3:$AA$134,"",'1. All Data'!$V$3:$V$134,"update not provided")</f>
        <v>0</v>
      </c>
      <c r="Y121" s="253" t="e">
        <f t="shared" si="13"/>
        <v>#DIV/0!</v>
      </c>
      <c r="Z121" s="253" t="e">
        <f>Y121</f>
        <v>#DIV/0!</v>
      </c>
      <c r="AA121" s="174"/>
      <c r="AB121" s="2"/>
    </row>
    <row r="122" spans="2:28" ht="15.75">
      <c r="B122" s="175" t="s">
        <v>29</v>
      </c>
      <c r="C122" s="167">
        <f>COUNTIFS('1. All Data'!$AA$3:$AA$134,"",'1. All Data'!$H$3:$H$134,"Deferred")</f>
        <v>0</v>
      </c>
      <c r="D122" s="176">
        <f>C122/C124</f>
        <v>0</v>
      </c>
      <c r="E122" s="176">
        <f>D122</f>
        <v>0</v>
      </c>
      <c r="F122" s="177"/>
      <c r="G122" s="58"/>
      <c r="I122" s="175" t="s">
        <v>29</v>
      </c>
      <c r="J122" s="167">
        <f>COUNTIFS('1. All Data'!$AA$3:$AA$134,"",'1. All Data'!$M$3:$M$134,"Deferred")</f>
        <v>0</v>
      </c>
      <c r="K122" s="176">
        <f>J122/J124</f>
        <v>0</v>
      </c>
      <c r="L122" s="176">
        <f>K122</f>
        <v>0</v>
      </c>
      <c r="M122" s="177"/>
      <c r="N122" s="58"/>
      <c r="P122" s="175" t="s">
        <v>29</v>
      </c>
      <c r="Q122" s="167">
        <f>COUNTIFS('1. All Data'!$AA$3:$AA$134,"",'1. All Data'!$R$3:$R$134,"Deferred")</f>
        <v>0</v>
      </c>
      <c r="R122" s="176" t="e">
        <f>Q122/Q124</f>
        <v>#DIV/0!</v>
      </c>
      <c r="S122" s="176" t="e">
        <f>R122</f>
        <v>#DIV/0!</v>
      </c>
      <c r="T122" s="177"/>
      <c r="U122" s="58"/>
      <c r="W122" s="175" t="s">
        <v>29</v>
      </c>
      <c r="X122" s="167">
        <f>COUNTIFS('1. All Data'!$AA$3:$AA$134,"",'1. All Data'!$V$3:$V$134,"Deferred")</f>
        <v>0</v>
      </c>
      <c r="Y122" s="253" t="e">
        <f t="shared" si="13"/>
        <v>#DIV/0!</v>
      </c>
      <c r="Z122" s="253" t="e">
        <f t="shared" ref="Z122:Z123" si="14">Y122</f>
        <v>#DIV/0!</v>
      </c>
      <c r="AA122" s="177"/>
      <c r="AB122" s="58"/>
    </row>
    <row r="123" spans="2:28" ht="15.75">
      <c r="B123" s="175" t="s">
        <v>30</v>
      </c>
      <c r="C123" s="167">
        <f>COUNTIFS('1. All Data'!$AA$3:$AA$134,"",'1. All Data'!$H$3:$H$134,"Deleted")</f>
        <v>0</v>
      </c>
      <c r="D123" s="176">
        <f>C123/C124</f>
        <v>0</v>
      </c>
      <c r="E123" s="176">
        <f>D123</f>
        <v>0</v>
      </c>
      <c r="F123" s="177"/>
      <c r="G123" s="3"/>
      <c r="I123" s="175" t="s">
        <v>30</v>
      </c>
      <c r="J123" s="167">
        <f>COUNTIFS('1. All Data'!$AA$3:$AA$134,"",'1. All Data'!$M$3:$M$134,"Deleted")</f>
        <v>1</v>
      </c>
      <c r="K123" s="176">
        <f>J123/J124</f>
        <v>1.0638297872340425E-2</v>
      </c>
      <c r="L123" s="176">
        <f>K123</f>
        <v>1.0638297872340425E-2</v>
      </c>
      <c r="M123" s="177"/>
      <c r="N123" s="3"/>
      <c r="P123" s="175" t="s">
        <v>30</v>
      </c>
      <c r="Q123" s="167">
        <f>COUNTIFS('1. All Data'!$AA$3:$AA$134,"",'1. All Data'!$R$3:$R$134,"Deleted")</f>
        <v>0</v>
      </c>
      <c r="R123" s="176" t="e">
        <f>Q123/Q124</f>
        <v>#DIV/0!</v>
      </c>
      <c r="S123" s="176" t="e">
        <f>R123</f>
        <v>#DIV/0!</v>
      </c>
      <c r="T123" s="177"/>
      <c r="U123" s="3"/>
      <c r="W123" s="175" t="s">
        <v>30</v>
      </c>
      <c r="X123" s="167">
        <f>COUNTIFS('1. All Data'!$AA$3:$AA$134,"",'1. All Data'!$V$3:$V$134,"Deleted")</f>
        <v>0</v>
      </c>
      <c r="Y123" s="253" t="e">
        <f t="shared" si="13"/>
        <v>#DIV/0!</v>
      </c>
      <c r="Z123" s="253" t="e">
        <f t="shared" si="14"/>
        <v>#DIV/0!</v>
      </c>
      <c r="AA123" s="177"/>
    </row>
    <row r="124" spans="2:28" ht="15.75">
      <c r="B124" s="193" t="s">
        <v>51</v>
      </c>
      <c r="C124" s="179">
        <f>SUM(C113:C123)</f>
        <v>94</v>
      </c>
      <c r="D124" s="177"/>
      <c r="E124" s="177"/>
      <c r="F124" s="58"/>
      <c r="G124" s="58"/>
      <c r="I124" s="193" t="s">
        <v>51</v>
      </c>
      <c r="J124" s="179">
        <f>SUM(J113:J123)</f>
        <v>94</v>
      </c>
      <c r="K124" s="177"/>
      <c r="L124" s="177"/>
      <c r="M124" s="58"/>
      <c r="N124" s="58"/>
      <c r="P124" s="193" t="s">
        <v>51</v>
      </c>
      <c r="Q124" s="179">
        <f>SUM(Q113:Q123)</f>
        <v>0</v>
      </c>
      <c r="R124" s="177"/>
      <c r="S124" s="177"/>
      <c r="T124" s="58"/>
      <c r="U124" s="58"/>
      <c r="W124" s="178" t="s">
        <v>51</v>
      </c>
      <c r="X124" s="179">
        <f>SUM(X113:X123)</f>
        <v>0</v>
      </c>
      <c r="Y124" s="177"/>
      <c r="Z124" s="177"/>
      <c r="AA124" s="58"/>
      <c r="AB124" s="58"/>
    </row>
    <row r="125" spans="2:28" ht="15.75">
      <c r="B125" s="193" t="s">
        <v>52</v>
      </c>
      <c r="C125" s="179">
        <f>C124-C123-C122-C121-C120</f>
        <v>66</v>
      </c>
      <c r="D125" s="58"/>
      <c r="E125" s="58"/>
      <c r="F125" s="58"/>
      <c r="G125" s="58"/>
      <c r="I125" s="193" t="s">
        <v>52</v>
      </c>
      <c r="J125" s="179">
        <f>J124-J123-J122-J121-J120</f>
        <v>86</v>
      </c>
      <c r="K125" s="58"/>
      <c r="L125" s="58"/>
      <c r="M125" s="58"/>
      <c r="N125" s="58"/>
      <c r="P125" s="193" t="s">
        <v>52</v>
      </c>
      <c r="Q125" s="179">
        <f>Q124-Q123-Q122-Q121-Q120</f>
        <v>0</v>
      </c>
      <c r="R125" s="58"/>
      <c r="S125" s="58"/>
      <c r="T125" s="58"/>
      <c r="U125" s="58"/>
      <c r="W125" s="178" t="s">
        <v>52</v>
      </c>
      <c r="X125" s="179">
        <f>X124-X123-X122-X121-X120</f>
        <v>0</v>
      </c>
      <c r="Y125" s="58"/>
      <c r="Z125" s="58"/>
      <c r="AA125" s="58"/>
      <c r="AB125" s="58"/>
    </row>
  </sheetData>
  <sheetProtection algorithmName="SHA-512" hashValue="dQoZRmBlbhMNoDe9DZCiQe4nUUa+694i83NoJBdpEavUUmF0cp/OoA5Dq4RvaHfhhqai9vJcGU0IHmMqw1jOww==" saltValue="p7e3Yve7/G0NRIeSNbo6ag==" spinCount="100000" sheet="1" objects="1" scenarios="1"/>
  <mergeCells count="254">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M43:M45"/>
    <mergeCell ref="N43:N45"/>
    <mergeCell ref="P43:P45"/>
    <mergeCell ref="Q43:Q45"/>
    <mergeCell ref="B61:B63"/>
    <mergeCell ref="C61:C63"/>
    <mergeCell ref="D61:D63"/>
    <mergeCell ref="E61:E63"/>
    <mergeCell ref="F61:F63"/>
    <mergeCell ref="G61:G63"/>
    <mergeCell ref="M61:M63"/>
    <mergeCell ref="N61:N63"/>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K7:K9"/>
    <mergeCell ref="L7:L9"/>
    <mergeCell ref="M7:M9"/>
    <mergeCell ref="N7:N9"/>
    <mergeCell ref="P7:P9"/>
    <mergeCell ref="Q7:Q9"/>
    <mergeCell ref="B25:B27"/>
    <mergeCell ref="C25:C27"/>
    <mergeCell ref="D25:D27"/>
    <mergeCell ref="E25:E27"/>
    <mergeCell ref="F25:F27"/>
    <mergeCell ref="G25:G27"/>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E77:E78"/>
    <mergeCell ref="G77:G78"/>
    <mergeCell ref="B79:B81"/>
    <mergeCell ref="C79:C81"/>
    <mergeCell ref="D79:D81"/>
    <mergeCell ref="E79:E81"/>
    <mergeCell ref="F79:F81"/>
    <mergeCell ref="G79:G81"/>
    <mergeCell ref="E82:E83"/>
    <mergeCell ref="G82:G83"/>
    <mergeCell ref="E95:E96"/>
    <mergeCell ref="G95:G96"/>
    <mergeCell ref="B97:B99"/>
    <mergeCell ref="C97:C99"/>
    <mergeCell ref="D97:D99"/>
    <mergeCell ref="E97:E99"/>
    <mergeCell ref="F97:F99"/>
    <mergeCell ref="G97:G99"/>
    <mergeCell ref="E100:E101"/>
    <mergeCell ref="G100:G101"/>
    <mergeCell ref="E113:E114"/>
    <mergeCell ref="G113:G114"/>
    <mergeCell ref="B115:B117"/>
    <mergeCell ref="C115:C117"/>
    <mergeCell ref="D115:D117"/>
    <mergeCell ref="E115:E117"/>
    <mergeCell ref="F115:F117"/>
    <mergeCell ref="G115:G117"/>
    <mergeCell ref="E118:E119"/>
    <mergeCell ref="G118:G119"/>
    <mergeCell ref="L77:L78"/>
    <mergeCell ref="N77:N78"/>
    <mergeCell ref="S77:S78"/>
    <mergeCell ref="U77:U78"/>
    <mergeCell ref="Z77:Z78"/>
    <mergeCell ref="AB77:AB78"/>
    <mergeCell ref="I79:I81"/>
    <mergeCell ref="J79:J81"/>
    <mergeCell ref="K79:K81"/>
    <mergeCell ref="L79:L81"/>
    <mergeCell ref="M79:M81"/>
    <mergeCell ref="N79:N81"/>
    <mergeCell ref="P79:P81"/>
    <mergeCell ref="Q79:Q81"/>
    <mergeCell ref="R79:R81"/>
    <mergeCell ref="S79:S81"/>
    <mergeCell ref="T79:T81"/>
    <mergeCell ref="U79:U81"/>
    <mergeCell ref="Z79:Z81"/>
    <mergeCell ref="AB79:AB81"/>
    <mergeCell ref="L82:L83"/>
    <mergeCell ref="N82:N83"/>
    <mergeCell ref="S82:S83"/>
    <mergeCell ref="U82:U83"/>
    <mergeCell ref="Z82:Z83"/>
    <mergeCell ref="AB82:AB83"/>
    <mergeCell ref="L95:L96"/>
    <mergeCell ref="N95:N96"/>
    <mergeCell ref="S95:S96"/>
    <mergeCell ref="U95:U96"/>
    <mergeCell ref="Z95:Z96"/>
    <mergeCell ref="AB95:AB96"/>
    <mergeCell ref="I97:I99"/>
    <mergeCell ref="J97:J99"/>
    <mergeCell ref="K97:K99"/>
    <mergeCell ref="L97:L99"/>
    <mergeCell ref="M97:M99"/>
    <mergeCell ref="N97:N99"/>
    <mergeCell ref="P97:P99"/>
    <mergeCell ref="Q97:Q99"/>
    <mergeCell ref="R97:R99"/>
    <mergeCell ref="S97:S99"/>
    <mergeCell ref="T97:T99"/>
    <mergeCell ref="U97:U99"/>
    <mergeCell ref="Z97:Z99"/>
    <mergeCell ref="AB97:AB99"/>
    <mergeCell ref="L100:L101"/>
    <mergeCell ref="N100:N101"/>
    <mergeCell ref="S100:S101"/>
    <mergeCell ref="U100:U101"/>
    <mergeCell ref="Z100:Z101"/>
    <mergeCell ref="AB100:AB101"/>
    <mergeCell ref="I115:I117"/>
    <mergeCell ref="J115:J117"/>
    <mergeCell ref="K115:K117"/>
    <mergeCell ref="L115:L117"/>
    <mergeCell ref="M115:M117"/>
    <mergeCell ref="N115:N117"/>
    <mergeCell ref="P115:P117"/>
    <mergeCell ref="Q115:Q117"/>
    <mergeCell ref="R115:R117"/>
    <mergeCell ref="L118:L119"/>
    <mergeCell ref="N118:N119"/>
    <mergeCell ref="S118:S119"/>
    <mergeCell ref="U118:U119"/>
    <mergeCell ref="Z118:Z119"/>
    <mergeCell ref="AB118:AB119"/>
    <mergeCell ref="L113:L114"/>
    <mergeCell ref="N113:N114"/>
    <mergeCell ref="S113:S114"/>
    <mergeCell ref="U113:U114"/>
    <mergeCell ref="Z113:Z114"/>
    <mergeCell ref="AB113:AB114"/>
    <mergeCell ref="S115:S117"/>
    <mergeCell ref="T115:T117"/>
    <mergeCell ref="U115:U117"/>
    <mergeCell ref="Z115:Z117"/>
    <mergeCell ref="AB115:AB117"/>
  </mergeCells>
  <pageMargins left="0.25" right="0.25" top="0.75" bottom="0.75" header="0.3" footer="0.3"/>
  <pageSetup paperSize="8" fitToHeight="0" orientation="portrait" verticalDpi="0" r:id="rId1"/>
  <rowBreaks count="2" manualBreakCount="2">
    <brk id="53" max="6" man="1"/>
    <brk id="108" max="6"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L88"/>
  <sheetViews>
    <sheetView workbookViewId="0">
      <selection activeCell="K20" sqref="K20"/>
    </sheetView>
  </sheetViews>
  <sheetFormatPr defaultColWidth="9.28515625" defaultRowHeight="15"/>
  <cols>
    <col min="1" max="1" width="3.42578125" style="8" customWidth="1"/>
    <col min="2" max="9" width="9.28515625" style="8"/>
    <col min="10" max="10" width="3.42578125" style="8" customWidth="1"/>
    <col min="11" max="11" width="9.28515625" style="9"/>
    <col min="12" max="18" width="9.28515625" style="8"/>
    <col min="19" max="19" width="3.42578125" style="8" customWidth="1"/>
    <col min="20" max="27" width="9.28515625" style="8" customWidth="1"/>
    <col min="28" max="28" width="3.42578125" style="8" customWidth="1"/>
    <col min="29" max="36" width="9.28515625" style="8" customWidth="1"/>
    <col min="37" max="37" width="3.42578125" style="8" customWidth="1"/>
    <col min="38" max="47" width="9.28515625" style="8" customWidth="1"/>
    <col min="48" max="50" width="0" style="8" hidden="1" customWidth="1"/>
    <col min="51" max="51" width="9.28515625" style="8"/>
    <col min="52" max="55" width="10" style="11" customWidth="1"/>
    <col min="56" max="16384" width="9.28515625" style="8"/>
  </cols>
  <sheetData>
    <row r="1" spans="2:64" s="6" customFormat="1" ht="35.25">
      <c r="B1" s="5" t="s">
        <v>53</v>
      </c>
      <c r="M1" s="395"/>
      <c r="N1" s="395"/>
      <c r="O1" s="395"/>
      <c r="P1" s="395"/>
      <c r="Q1" s="395"/>
      <c r="R1" s="395"/>
      <c r="S1" s="395"/>
      <c r="T1" s="395"/>
      <c r="U1" s="395"/>
      <c r="V1" s="395"/>
      <c r="W1" s="395"/>
      <c r="X1" s="395"/>
      <c r="Y1" s="395"/>
      <c r="Z1" s="395"/>
      <c r="AY1" s="395"/>
      <c r="AZ1" s="395"/>
      <c r="BA1" s="395"/>
      <c r="BB1" s="395"/>
      <c r="BC1" s="395"/>
      <c r="BD1" s="395"/>
      <c r="BE1" s="395"/>
      <c r="BF1" s="395"/>
      <c r="BG1" s="395"/>
      <c r="BH1" s="395"/>
      <c r="BI1" s="395"/>
      <c r="BJ1" s="395"/>
      <c r="BK1" s="395"/>
      <c r="BL1" s="395"/>
    </row>
    <row r="2" spans="2:64" s="6" customFormat="1" ht="35.25" hidden="1">
      <c r="B2" s="7"/>
      <c r="M2" s="395"/>
      <c r="N2" s="395"/>
      <c r="O2" s="395"/>
      <c r="P2" s="395"/>
      <c r="Q2" s="395"/>
      <c r="R2" s="395"/>
      <c r="S2" s="395"/>
      <c r="T2" s="395"/>
      <c r="U2" s="395"/>
      <c r="V2" s="395"/>
      <c r="W2" s="395"/>
      <c r="X2" s="395"/>
      <c r="Y2" s="395"/>
      <c r="Z2" s="395"/>
      <c r="AY2" s="395"/>
      <c r="AZ2" s="395"/>
      <c r="BA2" s="395"/>
      <c r="BB2" s="395"/>
      <c r="BC2" s="395"/>
      <c r="BD2" s="395"/>
      <c r="BE2" s="395"/>
      <c r="BF2" s="395"/>
      <c r="BG2" s="395"/>
      <c r="BH2" s="395"/>
      <c r="BI2" s="395"/>
      <c r="BJ2" s="395"/>
      <c r="BK2" s="395"/>
      <c r="BL2" s="395"/>
    </row>
    <row r="3" spans="2:64" s="6" customFormat="1" ht="35.25" hidden="1">
      <c r="M3" s="395"/>
      <c r="N3" s="395"/>
      <c r="O3" s="395"/>
      <c r="P3" s="395"/>
      <c r="Q3" s="395"/>
      <c r="R3" s="395"/>
      <c r="S3" s="395"/>
      <c r="T3" s="395"/>
      <c r="U3" s="395"/>
      <c r="V3" s="395"/>
      <c r="W3" s="395"/>
      <c r="X3" s="395"/>
      <c r="Y3" s="395"/>
      <c r="Z3" s="395"/>
      <c r="AY3" s="395"/>
      <c r="AZ3" s="395"/>
      <c r="BA3" s="395"/>
      <c r="BB3" s="395"/>
      <c r="BC3" s="395"/>
      <c r="BD3" s="395"/>
      <c r="BE3" s="395"/>
      <c r="BF3" s="395"/>
      <c r="BG3" s="395"/>
      <c r="BH3" s="395"/>
      <c r="BI3" s="395"/>
      <c r="BJ3" s="395"/>
      <c r="BK3" s="395"/>
      <c r="BL3" s="395"/>
    </row>
    <row r="4" spans="2:64">
      <c r="N4" s="10"/>
      <c r="W4" s="10"/>
      <c r="AF4" s="10"/>
      <c r="AO4" s="10"/>
    </row>
    <row r="5" spans="2:64">
      <c r="AY5" s="16" t="s">
        <v>54</v>
      </c>
      <c r="AZ5" s="17"/>
      <c r="BA5" s="17"/>
      <c r="BB5" s="17"/>
      <c r="BC5" s="17"/>
      <c r="BD5" s="9"/>
    </row>
    <row r="6" spans="2:64">
      <c r="AY6" s="18"/>
      <c r="AZ6" s="19" t="s">
        <v>13</v>
      </c>
      <c r="BA6" s="19" t="s">
        <v>14</v>
      </c>
      <c r="BB6" s="19" t="s">
        <v>15</v>
      </c>
      <c r="BC6" s="19" t="s">
        <v>12</v>
      </c>
      <c r="BD6" s="9"/>
    </row>
    <row r="7" spans="2:64">
      <c r="AY7" s="20" t="s">
        <v>55</v>
      </c>
      <c r="AZ7" s="21">
        <f>'2a. % By Priority'!G5</f>
        <v>0.93258426966292141</v>
      </c>
      <c r="BA7" s="21">
        <f>'2a. % By Priority'!N5</f>
        <v>0.94214876033057848</v>
      </c>
      <c r="BB7" s="21" t="e">
        <f>'2a. % By Priority'!U5</f>
        <v>#DIV/0!</v>
      </c>
      <c r="BC7" s="21" t="e">
        <f>'2a. % By Priority'!AB5</f>
        <v>#DIV/0!</v>
      </c>
      <c r="BD7" s="9"/>
    </row>
    <row r="8" spans="2:64">
      <c r="L8" s="13"/>
      <c r="M8" s="13"/>
      <c r="AY8" s="20" t="s">
        <v>56</v>
      </c>
      <c r="AZ8" s="21">
        <f>'2a. % By Priority'!G7</f>
        <v>6.741573033707865E-2</v>
      </c>
      <c r="BA8" s="21">
        <f>'2a. % By Priority'!N7</f>
        <v>1.6528925619834711E-2</v>
      </c>
      <c r="BB8" s="21" t="e">
        <f>'2a. % By Priority'!U7</f>
        <v>#DIV/0!</v>
      </c>
      <c r="BC8" s="21" t="e">
        <f>'2a. % By Priority'!AB7</f>
        <v>#DIV/0!</v>
      </c>
      <c r="BD8" s="9"/>
    </row>
    <row r="9" spans="2:64">
      <c r="L9" s="13"/>
      <c r="M9" s="13"/>
      <c r="AY9" s="20" t="s">
        <v>57</v>
      </c>
      <c r="AZ9" s="21">
        <f>'2a. % By Priority'!G10</f>
        <v>0</v>
      </c>
      <c r="BA9" s="21">
        <f>'2a. % By Priority'!N10</f>
        <v>4.1322314049586778E-2</v>
      </c>
      <c r="BB9" s="21" t="e">
        <f>'2a. % By Priority'!U10</f>
        <v>#DIV/0!</v>
      </c>
      <c r="BC9" s="21" t="e">
        <f>'2a. % By Priority'!AB10</f>
        <v>#DIV/0!</v>
      </c>
      <c r="BD9" s="9"/>
    </row>
    <row r="10" spans="2:64">
      <c r="L10" s="13"/>
      <c r="M10" s="13"/>
      <c r="AY10" s="18"/>
      <c r="AZ10" s="22"/>
      <c r="BA10" s="22"/>
      <c r="BB10" s="22"/>
      <c r="BC10" s="22"/>
      <c r="BD10" s="9"/>
    </row>
    <row r="11" spans="2:64">
      <c r="AY11" s="23"/>
      <c r="AZ11" s="24"/>
      <c r="BA11" s="24"/>
      <c r="BB11" s="25"/>
      <c r="BC11" s="25"/>
      <c r="BD11" s="9"/>
    </row>
    <row r="12" spans="2:64">
      <c r="AY12" s="23"/>
      <c r="AZ12" s="24"/>
      <c r="BA12" s="24"/>
      <c r="BB12" s="25"/>
      <c r="BC12" s="25"/>
      <c r="BD12" s="9"/>
    </row>
    <row r="13" spans="2:64">
      <c r="AY13" s="23"/>
      <c r="AZ13" s="24"/>
      <c r="BA13" s="24"/>
      <c r="BB13" s="25"/>
      <c r="BC13" s="25"/>
      <c r="BD13" s="9"/>
    </row>
    <row r="14" spans="2:64">
      <c r="AY14" s="26"/>
      <c r="AZ14" s="17"/>
      <c r="BA14" s="17"/>
      <c r="BB14" s="17"/>
      <c r="BC14" s="17"/>
      <c r="BD14" s="9"/>
    </row>
    <row r="15" spans="2:64">
      <c r="AY15" s="26"/>
      <c r="AZ15" s="17"/>
      <c r="BA15" s="17"/>
      <c r="BB15" s="17"/>
      <c r="BC15" s="17"/>
      <c r="BD15" s="9"/>
    </row>
    <row r="16" spans="2:64">
      <c r="AY16" s="26"/>
      <c r="AZ16" s="17"/>
      <c r="BA16" s="17"/>
      <c r="BB16" s="17"/>
      <c r="BC16" s="17"/>
      <c r="BD16" s="9"/>
    </row>
    <row r="17" spans="12:56">
      <c r="AY17" s="26"/>
      <c r="AZ17" s="17"/>
      <c r="BA17" s="17"/>
      <c r="BB17" s="17"/>
      <c r="BC17" s="17"/>
      <c r="BD17" s="9"/>
    </row>
    <row r="18" spans="12:56">
      <c r="AY18" s="26"/>
      <c r="AZ18" s="17"/>
      <c r="BA18" s="17"/>
      <c r="BB18" s="17"/>
      <c r="BC18" s="17"/>
      <c r="BD18" s="9"/>
    </row>
    <row r="19" spans="12:56">
      <c r="AY19" s="26"/>
      <c r="AZ19" s="17"/>
      <c r="BA19" s="17"/>
      <c r="BB19" s="17"/>
      <c r="BC19" s="17"/>
      <c r="BD19" s="9"/>
    </row>
    <row r="20" spans="12:56">
      <c r="N20" s="10"/>
      <c r="W20" s="10"/>
      <c r="AF20" s="10"/>
      <c r="AO20" s="10"/>
      <c r="AY20" s="26"/>
      <c r="AZ20" s="17"/>
      <c r="BA20" s="17"/>
      <c r="BB20" s="17"/>
      <c r="BC20" s="17"/>
      <c r="BD20" s="9"/>
    </row>
    <row r="21" spans="12:56">
      <c r="AY21" s="16" t="s">
        <v>426</v>
      </c>
      <c r="AZ21" s="17"/>
      <c r="BA21" s="17"/>
      <c r="BB21" s="17"/>
      <c r="BC21" s="17"/>
      <c r="BD21" s="9"/>
    </row>
    <row r="22" spans="12:56">
      <c r="AY22" s="18"/>
      <c r="AZ22" s="19" t="s">
        <v>13</v>
      </c>
      <c r="BA22" s="19" t="s">
        <v>14</v>
      </c>
      <c r="BB22" s="19" t="s">
        <v>15</v>
      </c>
      <c r="BC22" s="19" t="s">
        <v>12</v>
      </c>
      <c r="BD22" s="9"/>
    </row>
    <row r="23" spans="12:56">
      <c r="AY23" s="20" t="s">
        <v>55</v>
      </c>
      <c r="AZ23" s="21">
        <f>'2a. % By Priority'!G23</f>
        <v>1</v>
      </c>
      <c r="BA23" s="21">
        <f>'2a. % By Priority'!N23</f>
        <v>1</v>
      </c>
      <c r="BB23" s="21" t="e">
        <f>'2a. % By Priority'!U23</f>
        <v>#DIV/0!</v>
      </c>
      <c r="BC23" s="21" t="e">
        <f>'2a. % By Priority'!AB23</f>
        <v>#DIV/0!</v>
      </c>
      <c r="BD23" s="9"/>
    </row>
    <row r="24" spans="12:56">
      <c r="L24" s="13"/>
      <c r="M24" s="13"/>
      <c r="AY24" s="20" t="s">
        <v>56</v>
      </c>
      <c r="AZ24" s="21">
        <f>'2a. % By Priority'!G25</f>
        <v>0</v>
      </c>
      <c r="BA24" s="21">
        <f>'2a. % By Priority'!N25</f>
        <v>0</v>
      </c>
      <c r="BB24" s="21" t="e">
        <f>'2a. % By Priority'!U25</f>
        <v>#DIV/0!</v>
      </c>
      <c r="BC24" s="21" t="e">
        <f>'2a. % By Priority'!AB25</f>
        <v>#DIV/0!</v>
      </c>
      <c r="BD24" s="9"/>
    </row>
    <row r="25" spans="12:56">
      <c r="L25" s="13"/>
      <c r="M25" s="13"/>
      <c r="AY25" s="20" t="s">
        <v>57</v>
      </c>
      <c r="AZ25" s="21">
        <f>'2a. % By Priority'!G28</f>
        <v>0</v>
      </c>
      <c r="BA25" s="21">
        <f>'2a. % By Priority'!N28</f>
        <v>0</v>
      </c>
      <c r="BB25" s="21" t="e">
        <f>'2a. % By Priority'!U28</f>
        <v>#DIV/0!</v>
      </c>
      <c r="BC25" s="21" t="e">
        <f>'2a. % By Priority'!AB28</f>
        <v>#DIV/0!</v>
      </c>
      <c r="BD25" s="9"/>
    </row>
    <row r="26" spans="12:56">
      <c r="L26" s="13"/>
      <c r="M26" s="13"/>
      <c r="AY26" s="26"/>
      <c r="AZ26" s="17"/>
      <c r="BA26" s="17"/>
      <c r="BB26" s="17"/>
      <c r="BC26" s="17"/>
      <c r="BD26" s="9"/>
    </row>
    <row r="27" spans="12:56">
      <c r="AY27" s="23"/>
      <c r="AZ27" s="17"/>
      <c r="BA27" s="17"/>
      <c r="BB27" s="17"/>
      <c r="BC27" s="17"/>
      <c r="BD27" s="9"/>
    </row>
    <row r="28" spans="12:56">
      <c r="AY28" s="23"/>
      <c r="AZ28" s="17"/>
      <c r="BA28" s="17"/>
      <c r="BB28" s="17"/>
      <c r="BC28" s="17"/>
      <c r="BD28" s="9"/>
    </row>
    <row r="29" spans="12:56">
      <c r="AY29" s="23"/>
      <c r="AZ29" s="17"/>
      <c r="BA29" s="17"/>
      <c r="BB29" s="17"/>
      <c r="BC29" s="17"/>
      <c r="BD29" s="9"/>
    </row>
    <row r="30" spans="12:56">
      <c r="AY30" s="26"/>
      <c r="AZ30" s="17"/>
      <c r="BA30" s="17"/>
      <c r="BB30" s="17"/>
      <c r="BC30" s="17"/>
      <c r="BD30" s="9"/>
    </row>
    <row r="31" spans="12:56">
      <c r="AY31" s="26"/>
      <c r="AZ31" s="17"/>
      <c r="BA31" s="17"/>
      <c r="BB31" s="17"/>
      <c r="BC31" s="17"/>
      <c r="BD31" s="9"/>
    </row>
    <row r="32" spans="12:56">
      <c r="AY32" s="26"/>
      <c r="AZ32" s="17"/>
      <c r="BA32" s="17"/>
      <c r="BB32" s="17"/>
      <c r="BC32" s="17"/>
      <c r="BD32" s="9"/>
    </row>
    <row r="33" spans="11:56">
      <c r="AY33" s="26"/>
      <c r="AZ33" s="17"/>
      <c r="BA33" s="17"/>
      <c r="BB33" s="17"/>
      <c r="BC33" s="17"/>
      <c r="BD33" s="9"/>
    </row>
    <row r="34" spans="11:56">
      <c r="AY34" s="26"/>
      <c r="AZ34" s="17"/>
      <c r="BA34" s="17"/>
      <c r="BB34" s="17"/>
      <c r="BC34" s="17"/>
      <c r="BD34" s="9"/>
    </row>
    <row r="35" spans="11:56">
      <c r="AY35" s="26"/>
      <c r="AZ35" s="17"/>
      <c r="BA35" s="17"/>
      <c r="BB35" s="17"/>
      <c r="BC35" s="17"/>
      <c r="BD35" s="9"/>
    </row>
    <row r="36" spans="11:56">
      <c r="N36" s="10"/>
      <c r="W36" s="10"/>
      <c r="AF36" s="10"/>
      <c r="AO36" s="10"/>
      <c r="AY36" s="26"/>
      <c r="AZ36" s="17"/>
      <c r="BA36" s="17"/>
      <c r="BB36" s="17"/>
      <c r="BC36" s="17"/>
      <c r="BD36" s="9"/>
    </row>
    <row r="37" spans="11:56">
      <c r="AY37" s="16" t="s">
        <v>418</v>
      </c>
      <c r="AZ37" s="27"/>
      <c r="BA37" s="27"/>
      <c r="BB37" s="27"/>
      <c r="BC37" s="27"/>
      <c r="BD37" s="15"/>
    </row>
    <row r="38" spans="11:56">
      <c r="AY38" s="28"/>
      <c r="AZ38" s="19" t="s">
        <v>13</v>
      </c>
      <c r="BA38" s="19" t="s">
        <v>14</v>
      </c>
      <c r="BB38" s="19" t="s">
        <v>15</v>
      </c>
      <c r="BC38" s="19" t="s">
        <v>12</v>
      </c>
      <c r="BD38" s="15"/>
    </row>
    <row r="39" spans="11:56">
      <c r="AY39" s="20" t="s">
        <v>55</v>
      </c>
      <c r="AZ39" s="21">
        <f>'2a. % By Priority'!G41</f>
        <v>1</v>
      </c>
      <c r="BA39" s="21">
        <f>'2a. % By Priority'!N41</f>
        <v>1</v>
      </c>
      <c r="BB39" s="21" t="e">
        <f>'2a. % By Priority'!U41</f>
        <v>#DIV/0!</v>
      </c>
      <c r="BC39" s="21" t="e">
        <f>'2a. % By Priority'!AB41</f>
        <v>#DIV/0!</v>
      </c>
      <c r="BD39" s="15"/>
    </row>
    <row r="40" spans="11:56">
      <c r="K40" s="13"/>
      <c r="L40" s="13"/>
      <c r="AY40" s="20" t="s">
        <v>56</v>
      </c>
      <c r="AZ40" s="21">
        <f>'2a. % By Priority'!G43</f>
        <v>0</v>
      </c>
      <c r="BA40" s="21">
        <f>'2a. % By Priority'!N43</f>
        <v>0</v>
      </c>
      <c r="BB40" s="21" t="e">
        <f>'2a. % By Priority'!U43</f>
        <v>#DIV/0!</v>
      </c>
      <c r="BC40" s="21" t="e">
        <f>'2a. % By Priority'!AB43</f>
        <v>#DIV/0!</v>
      </c>
      <c r="BD40" s="15"/>
    </row>
    <row r="41" spans="11:56">
      <c r="K41" s="13"/>
      <c r="L41" s="13"/>
      <c r="AY41" s="20" t="s">
        <v>57</v>
      </c>
      <c r="AZ41" s="21">
        <f>'2a. % By Priority'!G46</f>
        <v>0</v>
      </c>
      <c r="BA41" s="21">
        <f>'2a. % By Priority'!N46</f>
        <v>0</v>
      </c>
      <c r="BB41" s="21" t="e">
        <f>'2a. % By Priority'!U46</f>
        <v>#DIV/0!</v>
      </c>
      <c r="BC41" s="21" t="e">
        <f>'2a. % By Priority'!AB46</f>
        <v>#DIV/0!</v>
      </c>
      <c r="BD41" s="15"/>
    </row>
    <row r="42" spans="11:56">
      <c r="K42" s="13"/>
      <c r="L42" s="13"/>
      <c r="AY42" s="26"/>
      <c r="AZ42" s="17"/>
      <c r="BA42" s="17"/>
      <c r="BB42" s="17"/>
      <c r="BC42" s="17"/>
      <c r="BD42" s="9"/>
    </row>
    <row r="43" spans="11:56">
      <c r="AY43" s="23"/>
      <c r="AZ43" s="17"/>
      <c r="BA43" s="17"/>
      <c r="BB43" s="17"/>
      <c r="BC43" s="17"/>
      <c r="BD43" s="9"/>
    </row>
    <row r="44" spans="11:56">
      <c r="AY44" s="23"/>
      <c r="AZ44" s="17"/>
      <c r="BA44" s="17"/>
      <c r="BB44" s="17"/>
      <c r="BC44" s="17"/>
      <c r="BD44" s="9"/>
    </row>
    <row r="45" spans="11:56">
      <c r="AY45" s="23"/>
      <c r="AZ45" s="17"/>
      <c r="BA45" s="17"/>
      <c r="BB45" s="17"/>
      <c r="BC45" s="17"/>
      <c r="BD45" s="9"/>
    </row>
    <row r="46" spans="11:56">
      <c r="AY46" s="26"/>
      <c r="AZ46" s="17"/>
      <c r="BA46" s="17"/>
      <c r="BB46" s="17"/>
      <c r="BC46" s="17"/>
      <c r="BD46" s="9"/>
    </row>
    <row r="47" spans="11:56">
      <c r="AY47" s="26"/>
      <c r="AZ47" s="17"/>
      <c r="BA47" s="17"/>
      <c r="BB47" s="17"/>
      <c r="BC47" s="17"/>
      <c r="BD47" s="9"/>
    </row>
    <row r="48" spans="11:56">
      <c r="AY48" s="26"/>
      <c r="AZ48" s="17"/>
      <c r="BA48" s="17"/>
      <c r="BB48" s="17"/>
      <c r="BC48" s="17"/>
      <c r="BD48" s="9"/>
    </row>
    <row r="49" spans="12:56">
      <c r="AY49" s="26"/>
      <c r="AZ49" s="17"/>
      <c r="BA49" s="17"/>
      <c r="BB49" s="17"/>
      <c r="BC49" s="17"/>
      <c r="BD49" s="9"/>
    </row>
    <row r="50" spans="12:56">
      <c r="AY50" s="26"/>
      <c r="AZ50" s="17"/>
      <c r="BA50" s="17"/>
      <c r="BB50" s="17"/>
      <c r="BC50" s="17"/>
      <c r="BD50" s="9"/>
    </row>
    <row r="51" spans="12:56">
      <c r="AY51" s="26"/>
      <c r="AZ51" s="17"/>
      <c r="BA51" s="17"/>
      <c r="BB51" s="17"/>
      <c r="BC51" s="17"/>
      <c r="BD51" s="9"/>
    </row>
    <row r="52" spans="12:56">
      <c r="N52" s="10"/>
      <c r="W52" s="10"/>
      <c r="AF52" s="10"/>
      <c r="AP52" s="10"/>
      <c r="AY52" s="26"/>
      <c r="AZ52" s="17"/>
      <c r="BA52" s="17"/>
      <c r="BB52" s="17"/>
      <c r="BC52" s="17"/>
      <c r="BD52" s="9"/>
    </row>
    <row r="53" spans="12:56">
      <c r="AY53" s="16" t="s">
        <v>438</v>
      </c>
      <c r="AZ53" s="27"/>
      <c r="BA53" s="27"/>
      <c r="BB53" s="27"/>
      <c r="BC53" s="27"/>
      <c r="BD53" s="9"/>
    </row>
    <row r="54" spans="12:56">
      <c r="AY54" s="28"/>
      <c r="AZ54" s="19" t="s">
        <v>13</v>
      </c>
      <c r="BA54" s="19" t="s">
        <v>14</v>
      </c>
      <c r="BB54" s="19" t="s">
        <v>15</v>
      </c>
      <c r="BC54" s="19" t="s">
        <v>12</v>
      </c>
      <c r="BD54" s="9"/>
    </row>
    <row r="55" spans="12:56">
      <c r="AY55" s="20" t="s">
        <v>55</v>
      </c>
      <c r="AZ55" s="21">
        <f>'2a. % By Priority'!G59</f>
        <v>0.8571428571428571</v>
      </c>
      <c r="BA55" s="21">
        <f>'2a. % By Priority'!N59</f>
        <v>1</v>
      </c>
      <c r="BB55" s="21" t="e">
        <f>'2a. % By Priority'!U59</f>
        <v>#DIV/0!</v>
      </c>
      <c r="BC55" s="21" t="e">
        <f>'2a. % By Priority'!AB59</f>
        <v>#DIV/0!</v>
      </c>
      <c r="BD55" s="9"/>
    </row>
    <row r="56" spans="12:56">
      <c r="L56" s="13"/>
      <c r="M56" s="13"/>
      <c r="AY56" s="20" t="s">
        <v>56</v>
      </c>
      <c r="AZ56" s="21">
        <f>'2a. % By Priority'!G61</f>
        <v>0.14285714285714285</v>
      </c>
      <c r="BA56" s="21">
        <f>'2a. % By Priority'!N61</f>
        <v>0</v>
      </c>
      <c r="BB56" s="21" t="e">
        <f>'2a. % By Priority'!U61</f>
        <v>#DIV/0!</v>
      </c>
      <c r="BC56" s="21" t="e">
        <f>'2a. % By Priority'!AB61</f>
        <v>#DIV/0!</v>
      </c>
      <c r="BD56" s="9"/>
    </row>
    <row r="57" spans="12:56">
      <c r="L57" s="13"/>
      <c r="M57" s="13"/>
      <c r="AY57" s="20" t="s">
        <v>57</v>
      </c>
      <c r="AZ57" s="21">
        <f>'2a. % By Priority'!G64</f>
        <v>0</v>
      </c>
      <c r="BA57" s="21">
        <f>'2a. % By Priority'!N64</f>
        <v>0</v>
      </c>
      <c r="BB57" s="21" t="e">
        <f>'2a. % By Priority'!U64</f>
        <v>#DIV/0!</v>
      </c>
      <c r="BC57" s="21" t="e">
        <f>'2a. % By Priority'!AB64</f>
        <v>#DIV/0!</v>
      </c>
      <c r="BD57" s="9"/>
    </row>
    <row r="58" spans="12:56">
      <c r="L58" s="13"/>
      <c r="M58" s="13"/>
      <c r="AY58" s="9"/>
      <c r="AZ58" s="12"/>
      <c r="BA58" s="12"/>
      <c r="BB58" s="12"/>
      <c r="BC58" s="12"/>
      <c r="BD58" s="9"/>
    </row>
    <row r="59" spans="12:56">
      <c r="AY59" s="14"/>
      <c r="AZ59" s="12"/>
      <c r="BA59" s="12"/>
      <c r="BB59" s="12"/>
      <c r="BC59" s="12"/>
      <c r="BD59" s="9"/>
    </row>
    <row r="60" spans="12:56">
      <c r="AY60" s="14"/>
      <c r="AZ60" s="12"/>
      <c r="BA60" s="12"/>
      <c r="BB60" s="12"/>
      <c r="BC60" s="12"/>
      <c r="BD60" s="9"/>
    </row>
    <row r="61" spans="12:56">
      <c r="AY61" s="14"/>
      <c r="AZ61" s="12"/>
      <c r="BA61" s="12"/>
      <c r="BB61" s="12"/>
      <c r="BC61" s="12"/>
      <c r="BD61" s="9"/>
    </row>
    <row r="62" spans="12:56">
      <c r="AY62" s="9"/>
      <c r="AZ62" s="12"/>
      <c r="BA62" s="12"/>
      <c r="BB62" s="12"/>
      <c r="BC62" s="12"/>
      <c r="BD62" s="9"/>
    </row>
    <row r="63" spans="12:56">
      <c r="AY63" s="9"/>
      <c r="AZ63" s="12"/>
      <c r="BA63" s="12"/>
      <c r="BB63" s="12"/>
      <c r="BC63" s="12"/>
      <c r="BD63" s="9"/>
    </row>
    <row r="64" spans="12:56">
      <c r="AY64" s="9"/>
      <c r="AZ64" s="12"/>
      <c r="BA64" s="12"/>
      <c r="BB64" s="12"/>
      <c r="BC64" s="12"/>
      <c r="BD64" s="9"/>
    </row>
    <row r="65" spans="51:56">
      <c r="AY65" s="9"/>
      <c r="AZ65" s="12"/>
      <c r="BA65" s="12"/>
      <c r="BB65" s="12"/>
      <c r="BC65" s="12"/>
      <c r="BD65" s="9"/>
    </row>
    <row r="66" spans="51:56">
      <c r="AY66" s="9"/>
      <c r="AZ66" s="12"/>
      <c r="BA66" s="12"/>
      <c r="BB66" s="12"/>
      <c r="BC66" s="12"/>
      <c r="BD66" s="9"/>
    </row>
    <row r="69" spans="51:56">
      <c r="AY69" s="16" t="s">
        <v>420</v>
      </c>
      <c r="AZ69" s="27"/>
      <c r="BA69" s="27"/>
      <c r="BB69" s="27"/>
      <c r="BC69" s="27"/>
    </row>
    <row r="70" spans="51:56">
      <c r="AY70" s="28"/>
      <c r="AZ70" s="19" t="s">
        <v>13</v>
      </c>
      <c r="BA70" s="19" t="s">
        <v>14</v>
      </c>
      <c r="BB70" s="19" t="s">
        <v>15</v>
      </c>
      <c r="BC70" s="19" t="s">
        <v>12</v>
      </c>
    </row>
    <row r="71" spans="51:56">
      <c r="AY71" s="20" t="s">
        <v>55</v>
      </c>
      <c r="AZ71" s="21">
        <f>'2a. % By Priority'!G77</f>
        <v>1</v>
      </c>
      <c r="BA71" s="21">
        <f>'2a. % By Priority'!N77</f>
        <v>1</v>
      </c>
      <c r="BB71" s="21" t="e">
        <f>'2a. % By Priority'!U77</f>
        <v>#DIV/0!</v>
      </c>
      <c r="BC71" s="21" t="e">
        <f>'2a. % By Priority'!AB77</f>
        <v>#DIV/0!</v>
      </c>
    </row>
    <row r="72" spans="51:56">
      <c r="AY72" s="20" t="s">
        <v>56</v>
      </c>
      <c r="AZ72" s="21">
        <f>'2a. % By Priority'!G79</f>
        <v>0</v>
      </c>
      <c r="BA72" s="21">
        <f>'2a. % By Priority'!N79</f>
        <v>0</v>
      </c>
      <c r="BB72" s="21" t="e">
        <f>'2a. % By Priority'!U79</f>
        <v>#DIV/0!</v>
      </c>
      <c r="BC72" s="21" t="e">
        <f>'2a. % By Priority'!AB79</f>
        <v>#DIV/0!</v>
      </c>
    </row>
    <row r="73" spans="51:56">
      <c r="AY73" s="20" t="s">
        <v>57</v>
      </c>
      <c r="AZ73" s="21">
        <f>'2a. % By Priority'!G82</f>
        <v>0</v>
      </c>
      <c r="BA73" s="21">
        <f>'2a. % By Priority'!N82</f>
        <v>0</v>
      </c>
      <c r="BB73" s="21" t="e">
        <f>'2a. % By Priority'!U82</f>
        <v>#DIV/0!</v>
      </c>
      <c r="BC73" s="21" t="e">
        <f>'2a. % By Priority'!AB82</f>
        <v>#DIV/0!</v>
      </c>
    </row>
    <row r="84" spans="51:55">
      <c r="AY84" s="16" t="s">
        <v>421</v>
      </c>
    </row>
    <row r="85" spans="51:55">
      <c r="AY85" s="28"/>
      <c r="AZ85" s="19" t="s">
        <v>13</v>
      </c>
      <c r="BA85" s="19" t="s">
        <v>14</v>
      </c>
      <c r="BB85" s="19" t="s">
        <v>15</v>
      </c>
      <c r="BC85" s="19" t="s">
        <v>12</v>
      </c>
    </row>
    <row r="86" spans="51:55">
      <c r="AY86" s="20" t="s">
        <v>55</v>
      </c>
      <c r="AZ86" s="21">
        <f>'2a. % By Priority'!G95</f>
        <v>1</v>
      </c>
      <c r="BA86" s="21">
        <f>'2a. % By Priority'!N95</f>
        <v>1</v>
      </c>
      <c r="BB86" s="21" t="e">
        <f>'2a. % By Priority'!U95</f>
        <v>#DIV/0!</v>
      </c>
      <c r="BC86" s="21" t="e">
        <f>'2a. % By Priority'!AB95</f>
        <v>#DIV/0!</v>
      </c>
    </row>
    <row r="87" spans="51:55">
      <c r="AY87" s="20" t="s">
        <v>56</v>
      </c>
      <c r="AZ87" s="21">
        <f>'2a. % By Priority'!G97</f>
        <v>0</v>
      </c>
      <c r="BA87" s="21">
        <f>'2a. % By Priority'!N97</f>
        <v>0</v>
      </c>
      <c r="BB87" s="21" t="e">
        <f>'2a. % By Priority'!U97</f>
        <v>#DIV/0!</v>
      </c>
      <c r="BC87" s="21" t="e">
        <f>'2a. % By Priority'!AB97</f>
        <v>#DIV/0!</v>
      </c>
    </row>
    <row r="88" spans="51:55">
      <c r="AY88" s="20" t="s">
        <v>57</v>
      </c>
      <c r="AZ88" s="21">
        <f>'2a. % By Priority'!G100</f>
        <v>0</v>
      </c>
      <c r="BA88" s="21">
        <f>'2a. % By Priority'!N100</f>
        <v>0</v>
      </c>
      <c r="BB88" s="21" t="e">
        <f>'2a. % By Priority'!U100</f>
        <v>#DIV/0!</v>
      </c>
      <c r="BC88" s="21" t="e">
        <f>'2a. % By Priority'!AB100</f>
        <v>#DIV/0!</v>
      </c>
    </row>
  </sheetData>
  <sheetProtection algorithmName="SHA-512" hashValue="NBuUEVDodZh+D043q5MqOADUzi0CxqTnZJkcPdThaLiEQt4tbNM0ELD6dQJ4BKyvRqVesGv8hgH5FLg3DlKUXw==" saltValue="1rqq2Q+URqaHjNmRsPQ86A==" spinCount="100000" sheet="1" objects="1" scenarios="1"/>
  <mergeCells count="2">
    <mergeCell ref="M1:Z3"/>
    <mergeCell ref="AY1:BL3"/>
  </mergeCells>
  <pageMargins left="0.25" right="0.25" top="0.75" bottom="0.75" header="0.3" footer="0.3"/>
  <pageSetup paperSize="8" scale="51" orientation="landscape" verticalDpi="0" r:id="rId1"/>
  <colBreaks count="1" manualBreakCount="1">
    <brk id="45" max="1048575"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B1" zoomScale="70" zoomScaleNormal="70" workbookViewId="0">
      <pane ySplit="2" topLeftCell="A3" activePane="bottomLeft" state="frozen"/>
      <selection activeCell="B1" sqref="B1"/>
      <selection pane="bottomLeft" activeCell="J16" sqref="J16"/>
    </sheetView>
  </sheetViews>
  <sheetFormatPr defaultColWidth="9.28515625" defaultRowHeight="14.25"/>
  <cols>
    <col min="1" max="1" width="3.42578125" style="157" hidden="1" customWidth="1"/>
    <col min="2" max="2" width="52.28515625" style="157" hidden="1" customWidth="1"/>
    <col min="3" max="3" width="12.28515625" style="154" hidden="1" customWidth="1"/>
    <col min="4" max="4" width="11.7109375" style="154" hidden="1" customWidth="1"/>
    <col min="5" max="5" width="15" style="154" hidden="1" customWidth="1"/>
    <col min="6" max="6" width="11.7109375" style="157" hidden="1" customWidth="1"/>
    <col min="7" max="7" width="16.7109375" style="154" hidden="1" customWidth="1"/>
    <col min="8" max="8" width="4.5703125" style="157" customWidth="1"/>
    <col min="9" max="9" width="51.28515625" style="157" customWidth="1"/>
    <col min="10" max="10" width="12.28515625" style="154" customWidth="1"/>
    <col min="11" max="11" width="11.7109375" style="154" customWidth="1"/>
    <col min="12" max="12" width="15" style="154" customWidth="1"/>
    <col min="13" max="13" width="11.7109375" style="157" customWidth="1"/>
    <col min="14" max="14" width="16.7109375" style="154" customWidth="1"/>
    <col min="15" max="15" width="4.5703125" style="157" customWidth="1"/>
    <col min="16" max="16" width="52.5703125" style="157" hidden="1" customWidth="1"/>
    <col min="17" max="17" width="12.28515625" style="154" hidden="1" customWidth="1"/>
    <col min="18" max="18" width="11.7109375" style="154" hidden="1" customWidth="1"/>
    <col min="19" max="19" width="15" style="154" hidden="1" customWidth="1"/>
    <col min="20" max="20" width="11.7109375" style="157" hidden="1" customWidth="1"/>
    <col min="21" max="21" width="16.7109375" style="154" hidden="1" customWidth="1"/>
    <col min="22" max="22" width="4.5703125" style="157" hidden="1" customWidth="1"/>
    <col min="23" max="23" width="51.7109375" style="154" hidden="1" customWidth="1"/>
    <col min="24" max="24" width="12.28515625" style="154" hidden="1" customWidth="1"/>
    <col min="25" max="25" width="20.42578125" style="154" hidden="1" customWidth="1"/>
    <col min="26" max="26" width="15" style="154" hidden="1" customWidth="1"/>
    <col min="27" max="27" width="11.7109375" style="154" hidden="1" customWidth="1"/>
    <col min="28" max="28" width="16.7109375" style="181" hidden="1" customWidth="1"/>
    <col min="29" max="29" width="9.28515625" style="157" customWidth="1"/>
    <col min="30" max="16384" width="9.28515625" style="157"/>
  </cols>
  <sheetData>
    <row r="1" spans="2:30" s="151" customFormat="1" ht="20.25">
      <c r="B1" s="196" t="s">
        <v>440</v>
      </c>
      <c r="C1" s="197"/>
      <c r="D1" s="198"/>
      <c r="E1" s="198"/>
      <c r="F1" s="199"/>
      <c r="G1" s="198"/>
      <c r="I1" s="196" t="s">
        <v>432</v>
      </c>
      <c r="J1" s="197"/>
      <c r="K1" s="198"/>
      <c r="L1" s="198"/>
      <c r="M1" s="199"/>
      <c r="N1" s="198"/>
      <c r="P1" s="196" t="s">
        <v>433</v>
      </c>
      <c r="Q1" s="197"/>
      <c r="R1" s="198"/>
      <c r="S1" s="198"/>
      <c r="T1" s="199"/>
      <c r="U1" s="198"/>
      <c r="W1" s="200" t="s">
        <v>434</v>
      </c>
      <c r="X1" s="201"/>
      <c r="Y1" s="201"/>
      <c r="Z1" s="201"/>
      <c r="AA1" s="201"/>
      <c r="AB1" s="202"/>
    </row>
    <row r="2" spans="2:30" ht="15.75">
      <c r="B2" s="152"/>
      <c r="C2" s="153"/>
      <c r="D2" s="153"/>
      <c r="E2" s="153"/>
      <c r="F2" s="152"/>
      <c r="G2" s="153"/>
      <c r="I2" s="152"/>
      <c r="J2" s="153"/>
      <c r="K2" s="153"/>
      <c r="L2" s="153"/>
      <c r="M2" s="152"/>
      <c r="N2" s="153"/>
      <c r="P2" s="152"/>
      <c r="Q2" s="153"/>
      <c r="R2" s="153"/>
      <c r="S2" s="153"/>
      <c r="T2" s="152"/>
      <c r="U2" s="153"/>
      <c r="W2" s="155"/>
      <c r="X2" s="155"/>
      <c r="Y2" s="155"/>
      <c r="Z2" s="155"/>
      <c r="AA2" s="155"/>
      <c r="AB2" s="156"/>
    </row>
    <row r="3" spans="2:30" s="166" customFormat="1" ht="15.75">
      <c r="B3" s="225" t="s">
        <v>428</v>
      </c>
      <c r="C3" s="204"/>
      <c r="D3" s="204"/>
      <c r="E3" s="204"/>
      <c r="F3" s="205"/>
      <c r="G3" s="204"/>
      <c r="I3" s="225" t="s">
        <v>428</v>
      </c>
      <c r="J3" s="204"/>
      <c r="K3" s="204"/>
      <c r="L3" s="204"/>
      <c r="M3" s="205"/>
      <c r="N3" s="204"/>
      <c r="P3" s="225" t="s">
        <v>428</v>
      </c>
      <c r="Q3" s="204"/>
      <c r="R3" s="204"/>
      <c r="S3" s="204"/>
      <c r="T3" s="205"/>
      <c r="U3" s="204"/>
      <c r="W3" s="225" t="s">
        <v>428</v>
      </c>
      <c r="X3" s="204"/>
      <c r="Y3" s="204"/>
      <c r="Z3" s="204"/>
      <c r="AA3" s="205"/>
      <c r="AB3" s="204"/>
    </row>
    <row r="4" spans="2:30" ht="42" customHeight="1">
      <c r="B4" s="206" t="s">
        <v>42</v>
      </c>
      <c r="C4" s="207" t="s">
        <v>43</v>
      </c>
      <c r="D4" s="207" t="s">
        <v>44</v>
      </c>
      <c r="E4" s="207" t="s">
        <v>45</v>
      </c>
      <c r="F4" s="206" t="s">
        <v>46</v>
      </c>
      <c r="G4" s="207" t="s">
        <v>47</v>
      </c>
      <c r="I4" s="206" t="s">
        <v>42</v>
      </c>
      <c r="J4" s="207" t="s">
        <v>43</v>
      </c>
      <c r="K4" s="207" t="s">
        <v>44</v>
      </c>
      <c r="L4" s="207" t="s">
        <v>45</v>
      </c>
      <c r="M4" s="206" t="s">
        <v>46</v>
      </c>
      <c r="N4" s="207" t="s">
        <v>47</v>
      </c>
      <c r="P4" s="206" t="s">
        <v>42</v>
      </c>
      <c r="Q4" s="207" t="s">
        <v>43</v>
      </c>
      <c r="R4" s="207" t="s">
        <v>44</v>
      </c>
      <c r="S4" s="207" t="s">
        <v>45</v>
      </c>
      <c r="T4" s="206" t="s">
        <v>46</v>
      </c>
      <c r="U4" s="207" t="s">
        <v>47</v>
      </c>
      <c r="W4" s="164" t="s">
        <v>42</v>
      </c>
      <c r="X4" s="164" t="s">
        <v>43</v>
      </c>
      <c r="Y4" s="164" t="s">
        <v>44</v>
      </c>
      <c r="Z4" s="164" t="s">
        <v>45</v>
      </c>
      <c r="AA4" s="164" t="s">
        <v>46</v>
      </c>
      <c r="AB4" s="164" t="s">
        <v>47</v>
      </c>
    </row>
    <row r="5" spans="2:30" ht="21.75" customHeight="1">
      <c r="B5" s="228" t="s">
        <v>48</v>
      </c>
      <c r="C5" s="208">
        <f>COUNTIFS('1. All Data'!$AB$3:$AB$136,"Communities and Regulatory Services",'1. All Data'!$H$3:$H$136,"Fully Achieved")</f>
        <v>2</v>
      </c>
      <c r="D5" s="209">
        <f>C5/C16</f>
        <v>8.6956521739130432E-2</v>
      </c>
      <c r="E5" s="396">
        <f>D5+D6</f>
        <v>0.73913043478260865</v>
      </c>
      <c r="F5" s="210">
        <f>C5/C17</f>
        <v>0.1111111111111111</v>
      </c>
      <c r="G5" s="398">
        <f>F5+F6</f>
        <v>0.94444444444444442</v>
      </c>
      <c r="I5" s="228" t="s">
        <v>48</v>
      </c>
      <c r="J5" s="208">
        <f>COUNTIFS('1. All Data'!$AB$3:$AB$136,"Communities and Regulatory Services",'1. All Data'!$M$3:$M$136,"Fully Achieved")</f>
        <v>8</v>
      </c>
      <c r="K5" s="209">
        <f>J5/J16</f>
        <v>0.34782608695652173</v>
      </c>
      <c r="L5" s="396">
        <f>K5+K6</f>
        <v>0.91304347826086951</v>
      </c>
      <c r="M5" s="210">
        <f>J5/J17</f>
        <v>0.36363636363636365</v>
      </c>
      <c r="N5" s="398">
        <f>M5+M6</f>
        <v>0.95454545454545459</v>
      </c>
      <c r="P5" s="228" t="s">
        <v>48</v>
      </c>
      <c r="Q5" s="208">
        <f>COUNTIFS('1. All Data'!$AB$3:$AB$136,"Communities and Regulatory Services",'1. All Data'!$R$3:$R$136,"Fully Achieved")</f>
        <v>0</v>
      </c>
      <c r="R5" s="209" t="e">
        <f>Q5/Q16</f>
        <v>#DIV/0!</v>
      </c>
      <c r="S5" s="396" t="e">
        <f>R5+R6</f>
        <v>#DIV/0!</v>
      </c>
      <c r="T5" s="210" t="e">
        <f>Q5/Q17</f>
        <v>#DIV/0!</v>
      </c>
      <c r="U5" s="398" t="e">
        <f>T5+T6</f>
        <v>#DIV/0!</v>
      </c>
      <c r="W5" s="228" t="s">
        <v>48</v>
      </c>
      <c r="X5" s="208">
        <f>COUNTIFS('1. All Data'!$AB$3:$AB$136,"Communities and Regulatory Services",'1. All Data'!$V$3:$V$136,"Fully Achieved")</f>
        <v>0</v>
      </c>
      <c r="Y5" s="209" t="e">
        <f>X5/X16</f>
        <v>#DIV/0!</v>
      </c>
      <c r="Z5" s="396" t="e">
        <f>Y5+Y6</f>
        <v>#DIV/0!</v>
      </c>
      <c r="AA5" s="209" t="e">
        <f>X5/X17</f>
        <v>#DIV/0!</v>
      </c>
      <c r="AB5" s="377" t="e">
        <f>AA5+AA6</f>
        <v>#DIV/0!</v>
      </c>
    </row>
    <row r="6" spans="2:30" ht="18.75" customHeight="1">
      <c r="B6" s="228" t="s">
        <v>31</v>
      </c>
      <c r="C6" s="208">
        <f>COUNTIFS('1. All Data'!$AB$3:$AB$136,"Communities and Regulatory Services",'1. All Data'!$H$3:$H$136,"On Track to be Achieved")</f>
        <v>15</v>
      </c>
      <c r="D6" s="209">
        <f>C6/C16</f>
        <v>0.65217391304347827</v>
      </c>
      <c r="E6" s="396"/>
      <c r="F6" s="210">
        <f>C6/C17</f>
        <v>0.83333333333333337</v>
      </c>
      <c r="G6" s="398"/>
      <c r="I6" s="228" t="s">
        <v>31</v>
      </c>
      <c r="J6" s="208">
        <f>COUNTIFS('1. All Data'!$AB$3:$AB$136,"Communities and Regulatory Services",'1. All Data'!$M$3:$M$136,"On Track to be Achieved")</f>
        <v>13</v>
      </c>
      <c r="K6" s="209">
        <f>J6/J16</f>
        <v>0.56521739130434778</v>
      </c>
      <c r="L6" s="396"/>
      <c r="M6" s="210">
        <f>J6/J17</f>
        <v>0.59090909090909094</v>
      </c>
      <c r="N6" s="398"/>
      <c r="P6" s="228" t="s">
        <v>31</v>
      </c>
      <c r="Q6" s="208">
        <f>COUNTIFS('1. All Data'!$AB$3:$AB$136,"Communities and Regulatory Services",'1. All Data'!$R$3:$R$136,"On Track to be Achieved")</f>
        <v>0</v>
      </c>
      <c r="R6" s="209" t="e">
        <f>Q6/Q16</f>
        <v>#DIV/0!</v>
      </c>
      <c r="S6" s="396"/>
      <c r="T6" s="210" t="e">
        <f>Q6/Q17</f>
        <v>#DIV/0!</v>
      </c>
      <c r="U6" s="398"/>
      <c r="W6" s="228" t="s">
        <v>23</v>
      </c>
      <c r="X6" s="208">
        <f>COUNTIFS('1. All Data'!$AB$3:$AB$136,"Communities and Regulatory Services",'1. All Data'!$V$3:$V$136,"Numerical Outturn Within 5% Tolerance")</f>
        <v>0</v>
      </c>
      <c r="Y6" s="209" t="e">
        <f>X6/X16</f>
        <v>#DIV/0!</v>
      </c>
      <c r="Z6" s="396"/>
      <c r="AA6" s="209" t="e">
        <f>X6/X17</f>
        <v>#DIV/0!</v>
      </c>
      <c r="AB6" s="377"/>
    </row>
    <row r="7" spans="2:30" ht="21" customHeight="1">
      <c r="B7" s="408" t="s">
        <v>32</v>
      </c>
      <c r="C7" s="411">
        <f>COUNTIFS('1. All Data'!$AB$3:$AB$136,"Communities and Regulatory Services",'1. All Data'!$H$3:$H$136,"In Danger of Falling Behind Target")</f>
        <v>1</v>
      </c>
      <c r="D7" s="399">
        <f>C7/C16</f>
        <v>4.3478260869565216E-2</v>
      </c>
      <c r="E7" s="399">
        <f>D7</f>
        <v>4.3478260869565216E-2</v>
      </c>
      <c r="F7" s="402">
        <f>C7/C17</f>
        <v>5.5555555555555552E-2</v>
      </c>
      <c r="G7" s="405">
        <f>F7</f>
        <v>5.5555555555555552E-2</v>
      </c>
      <c r="I7" s="408" t="s">
        <v>32</v>
      </c>
      <c r="J7" s="411">
        <f>COUNTIFS('1. All Data'!$AB$3:$AB$136,"Communities and Regulatory Services",'1. All Data'!$M$3:$M$136,"In Danger of Falling Behind Target")</f>
        <v>0</v>
      </c>
      <c r="K7" s="399">
        <f>J7/J16</f>
        <v>0</v>
      </c>
      <c r="L7" s="399">
        <f>K7</f>
        <v>0</v>
      </c>
      <c r="M7" s="402">
        <f>J7/J17</f>
        <v>0</v>
      </c>
      <c r="N7" s="405">
        <f>M7</f>
        <v>0</v>
      </c>
      <c r="P7" s="408" t="s">
        <v>32</v>
      </c>
      <c r="Q7" s="411">
        <f>COUNTIFS('1. All Data'!$AB$3:$AB$136,"Communities and Regulatory Services",'1. All Data'!$R$3:$R$136,"In Danger of Falling Behind Target")</f>
        <v>0</v>
      </c>
      <c r="R7" s="399" t="e">
        <f>Q7/Q16</f>
        <v>#DIV/0!</v>
      </c>
      <c r="S7" s="399" t="e">
        <f>R7</f>
        <v>#DIV/0!</v>
      </c>
      <c r="T7" s="402" t="e">
        <f>Q7/Q17</f>
        <v>#DIV/0!</v>
      </c>
      <c r="U7" s="405" t="e">
        <f>T7</f>
        <v>#DIV/0!</v>
      </c>
      <c r="W7" s="169" t="s">
        <v>24</v>
      </c>
      <c r="X7" s="170">
        <f>COUNTIFS('1. All Data'!$AB$3:$AB$136,"Communities and Regulatory Services",'1. All Data'!$V$3:$V$136,"Numerical Outturn Within 10% Tolerance")</f>
        <v>0</v>
      </c>
      <c r="Y7" s="168" t="e">
        <f>X7/$X$16</f>
        <v>#DIV/0!</v>
      </c>
      <c r="Z7" s="375" t="e">
        <f>SUM(Y7:Y9)</f>
        <v>#DIV/0!</v>
      </c>
      <c r="AA7" s="168" t="e">
        <f>X7/$X$17</f>
        <v>#DIV/0!</v>
      </c>
      <c r="AB7" s="384" t="e">
        <f>SUM(AA7:AA9)</f>
        <v>#DIV/0!</v>
      </c>
    </row>
    <row r="8" spans="2:30" ht="20.25" customHeight="1">
      <c r="B8" s="409"/>
      <c r="C8" s="412"/>
      <c r="D8" s="400"/>
      <c r="E8" s="400"/>
      <c r="F8" s="403"/>
      <c r="G8" s="406"/>
      <c r="I8" s="409"/>
      <c r="J8" s="412"/>
      <c r="K8" s="400"/>
      <c r="L8" s="400"/>
      <c r="M8" s="403"/>
      <c r="N8" s="406"/>
      <c r="P8" s="409"/>
      <c r="Q8" s="412"/>
      <c r="R8" s="400"/>
      <c r="S8" s="400"/>
      <c r="T8" s="403"/>
      <c r="U8" s="406"/>
      <c r="W8" s="169" t="s">
        <v>25</v>
      </c>
      <c r="X8" s="170">
        <f>COUNTIFS('1. All Data'!$AB$3:$AB$136,"Communities and Regulatory Services",'1. All Data'!$V$3:$V$136,"Target Partially Met")</f>
        <v>0</v>
      </c>
      <c r="Y8" s="168" t="e">
        <f>X8/$X$16</f>
        <v>#DIV/0!</v>
      </c>
      <c r="Z8" s="375"/>
      <c r="AA8" s="168" t="e">
        <f>X8/$X$17</f>
        <v>#DIV/0!</v>
      </c>
      <c r="AB8" s="384"/>
    </row>
    <row r="9" spans="2:30" ht="18.75" customHeight="1">
      <c r="B9" s="410"/>
      <c r="C9" s="413"/>
      <c r="D9" s="401"/>
      <c r="E9" s="401"/>
      <c r="F9" s="404"/>
      <c r="G9" s="407"/>
      <c r="I9" s="410"/>
      <c r="J9" s="413"/>
      <c r="K9" s="401"/>
      <c r="L9" s="401"/>
      <c r="M9" s="404"/>
      <c r="N9" s="407"/>
      <c r="P9" s="410"/>
      <c r="Q9" s="413"/>
      <c r="R9" s="401"/>
      <c r="S9" s="401"/>
      <c r="T9" s="404"/>
      <c r="U9" s="407"/>
      <c r="W9" s="169" t="s">
        <v>28</v>
      </c>
      <c r="X9" s="170">
        <f>COUNTIFS('1. All Data'!$AB$3:$AB$136,"Communities and Regulatory Services",'1. All Data'!$V$3:$V$136,"Completion Date Within Reasonable Tolerance")</f>
        <v>0</v>
      </c>
      <c r="Y9" s="168" t="e">
        <f>X9/$X$16</f>
        <v>#DIV/0!</v>
      </c>
      <c r="Z9" s="375"/>
      <c r="AA9" s="168" t="e">
        <f>X9/$X$17</f>
        <v>#DIV/0!</v>
      </c>
      <c r="AB9" s="384"/>
    </row>
    <row r="10" spans="2:30" ht="20.25" customHeight="1">
      <c r="B10" s="211" t="s">
        <v>33</v>
      </c>
      <c r="C10" s="208">
        <f>COUNTIFS('1. All Data'!$AB$3:$AB$136,"Communities and Regulatory Services",'1. All Data'!$H$3:$H$136,"Completed Behind Schedule")</f>
        <v>0</v>
      </c>
      <c r="D10" s="209">
        <f>C10/C16</f>
        <v>0</v>
      </c>
      <c r="E10" s="396">
        <f>D10+D11</f>
        <v>0</v>
      </c>
      <c r="F10" s="210">
        <f>C10/C17</f>
        <v>0</v>
      </c>
      <c r="G10" s="397">
        <f>F10+F11</f>
        <v>0</v>
      </c>
      <c r="I10" s="211" t="s">
        <v>33</v>
      </c>
      <c r="J10" s="208">
        <f>COUNTIFS('1. All Data'!$AB$3:$AB$136,"Communities and Regulatory Services",'1. All Data'!$M$3:$M$136,"Completed Behind Schedule")</f>
        <v>0</v>
      </c>
      <c r="K10" s="209">
        <f>J10/J16</f>
        <v>0</v>
      </c>
      <c r="L10" s="396">
        <f>K10+K11</f>
        <v>4.3478260869565216E-2</v>
      </c>
      <c r="M10" s="210">
        <f>J10/J17</f>
        <v>0</v>
      </c>
      <c r="N10" s="397">
        <f>M10+M11</f>
        <v>4.5454545454545456E-2</v>
      </c>
      <c r="P10" s="211" t="s">
        <v>33</v>
      </c>
      <c r="Q10" s="208">
        <f>COUNTIFS('1. All Data'!$AB$3:$AB$136,"Communities and Regulatory Services",'1. All Data'!$R$3:$R$136,"Completed Behind Schedule")</f>
        <v>0</v>
      </c>
      <c r="R10" s="209" t="e">
        <f>Q10/Q16</f>
        <v>#DIV/0!</v>
      </c>
      <c r="S10" s="396" t="e">
        <f>R10+R11</f>
        <v>#DIV/0!</v>
      </c>
      <c r="T10" s="210" t="e">
        <f>Q10/Q17</f>
        <v>#DIV/0!</v>
      </c>
      <c r="U10" s="397" t="e">
        <f>T10+T11</f>
        <v>#DIV/0!</v>
      </c>
      <c r="W10" s="171" t="s">
        <v>27</v>
      </c>
      <c r="X10" s="208">
        <f>COUNTIFS('1. All Data'!$AB$3:$AB$136,"Communities and Regulatory Services",'1. All Data'!$V$3:$V$136,"Completed Significantly After Target Deadline")</f>
        <v>0</v>
      </c>
      <c r="Y10" s="209" t="e">
        <f>X10/X16</f>
        <v>#DIV/0!</v>
      </c>
      <c r="Z10" s="396" t="e">
        <f>Y10+Y11</f>
        <v>#DIV/0!</v>
      </c>
      <c r="AA10" s="168" t="e">
        <f>X10/$X$17</f>
        <v>#DIV/0!</v>
      </c>
      <c r="AB10" s="376" t="e">
        <f>AA10+AA11</f>
        <v>#DIV/0!</v>
      </c>
    </row>
    <row r="11" spans="2:30" ht="20.25" customHeight="1">
      <c r="B11" s="211" t="s">
        <v>26</v>
      </c>
      <c r="C11" s="208">
        <f>COUNTIFS('1. All Data'!$AB$3:$AB$136,"Communities and Regulatory Services",'1. All Data'!$H$3:$H$136,"Off Target")</f>
        <v>0</v>
      </c>
      <c r="D11" s="209">
        <f>C11/C16</f>
        <v>0</v>
      </c>
      <c r="E11" s="396"/>
      <c r="F11" s="210">
        <f>C11/C17</f>
        <v>0</v>
      </c>
      <c r="G11" s="397"/>
      <c r="I11" s="211" t="s">
        <v>26</v>
      </c>
      <c r="J11" s="208">
        <f>COUNTIFS('1. All Data'!$AB$3:$AB$136,"Communities and Regulatory Services",'1. All Data'!$M$3:$M$136,"Off Target")</f>
        <v>1</v>
      </c>
      <c r="K11" s="209">
        <f>J11/J16</f>
        <v>4.3478260869565216E-2</v>
      </c>
      <c r="L11" s="396"/>
      <c r="M11" s="210">
        <f>J11/J17</f>
        <v>4.5454545454545456E-2</v>
      </c>
      <c r="N11" s="397"/>
      <c r="P11" s="211" t="s">
        <v>26</v>
      </c>
      <c r="Q11" s="208">
        <f>COUNTIFS('1. All Data'!$AB$3:$AB$136,"Communities and Regulatory Services",'1. All Data'!$R$3:$R$136,"Off Target")</f>
        <v>0</v>
      </c>
      <c r="R11" s="209" t="e">
        <f>Q11/Q16</f>
        <v>#DIV/0!</v>
      </c>
      <c r="S11" s="396"/>
      <c r="T11" s="210" t="e">
        <f>Q11/Q17</f>
        <v>#DIV/0!</v>
      </c>
      <c r="U11" s="397"/>
      <c r="W11" s="171" t="s">
        <v>26</v>
      </c>
      <c r="X11" s="208">
        <f>COUNTIFS('1. All Data'!$AB$3:$AB$136,"Communities and Regulatory Services",'1. All Data'!$V$3:$V$136,"Off Target")</f>
        <v>0</v>
      </c>
      <c r="Y11" s="209" t="e">
        <f>X11/X16</f>
        <v>#DIV/0!</v>
      </c>
      <c r="Z11" s="396"/>
      <c r="AA11" s="168" t="e">
        <f>X11/$X$17</f>
        <v>#DIV/0!</v>
      </c>
      <c r="AB11" s="376"/>
    </row>
    <row r="12" spans="2:30" ht="15" customHeight="1">
      <c r="B12" s="212" t="s">
        <v>49</v>
      </c>
      <c r="C12" s="208">
        <f>COUNTIFS('1. All Data'!$AB$3:$AB$136,"Communities and Regulatory Services",'1. All Data'!$H$3:$H$136,"Not yet due")</f>
        <v>5</v>
      </c>
      <c r="D12" s="213">
        <f>C12/C16</f>
        <v>0.21739130434782608</v>
      </c>
      <c r="E12" s="213">
        <f>D12</f>
        <v>0.21739130434782608</v>
      </c>
      <c r="F12" s="214"/>
      <c r="G12" s="58"/>
      <c r="I12" s="212" t="s">
        <v>49</v>
      </c>
      <c r="J12" s="208">
        <f>COUNTIFS('1. All Data'!$AB$3:$AB$136,"Communities and Regulatory Services",'1. All Data'!$M$3:$M$136,"Not yet due")</f>
        <v>1</v>
      </c>
      <c r="K12" s="213">
        <f>J12/J16</f>
        <v>4.3478260869565216E-2</v>
      </c>
      <c r="L12" s="213">
        <f>K12</f>
        <v>4.3478260869565216E-2</v>
      </c>
      <c r="M12" s="214"/>
      <c r="N12" s="58"/>
      <c r="P12" s="212" t="s">
        <v>49</v>
      </c>
      <c r="Q12" s="208">
        <f>COUNTIFS('1. All Data'!$AB$3:$AB$136,"Communities and Regulatory Services",'1. All Data'!$R$3:$R$136,"Not yet due")</f>
        <v>0</v>
      </c>
      <c r="R12" s="213" t="e">
        <f>Q12/Q16</f>
        <v>#DIV/0!</v>
      </c>
      <c r="S12" s="213" t="e">
        <f>R12</f>
        <v>#DIV/0!</v>
      </c>
      <c r="T12" s="214"/>
      <c r="U12" s="58"/>
      <c r="W12" s="172" t="s">
        <v>49</v>
      </c>
      <c r="X12" s="208">
        <f>COUNTIFS('1. All Data'!$AB$3:$AB$136,"Communities and Regulatory Services",'1. All Data'!$V$3:$V$136,"Not yet due")</f>
        <v>0</v>
      </c>
      <c r="Y12" s="213" t="e">
        <f>X12/X16</f>
        <v>#DIV/0!</v>
      </c>
      <c r="Z12" s="213" t="e">
        <f>Y12</f>
        <v>#DIV/0!</v>
      </c>
      <c r="AA12" s="174"/>
      <c r="AB12" s="58"/>
    </row>
    <row r="13" spans="2:30" ht="15" customHeight="1">
      <c r="B13" s="212" t="s">
        <v>21</v>
      </c>
      <c r="C13" s="208">
        <f>COUNTIFS('1. All Data'!$AB$3:$AB$136,"Communities and Regulatory Services",'1. All Data'!$H$3:$H$136,"Update not provided")</f>
        <v>0</v>
      </c>
      <c r="D13" s="213">
        <f>C13/C16</f>
        <v>0</v>
      </c>
      <c r="E13" s="213">
        <f>D13</f>
        <v>0</v>
      </c>
      <c r="F13" s="214"/>
      <c r="G13" s="2"/>
      <c r="I13" s="212" t="s">
        <v>21</v>
      </c>
      <c r="J13" s="208">
        <f>COUNTIFS('1. All Data'!$AB$3:$AB$136,"Communities and Regulatory Services",'1. All Data'!$M$3:$M$136,"Update not provided")</f>
        <v>0</v>
      </c>
      <c r="K13" s="213">
        <f>J13/J16</f>
        <v>0</v>
      </c>
      <c r="L13" s="213">
        <f>K13</f>
        <v>0</v>
      </c>
      <c r="M13" s="214"/>
      <c r="N13" s="2"/>
      <c r="P13" s="212" t="s">
        <v>21</v>
      </c>
      <c r="Q13" s="208">
        <f>COUNTIFS('1. All Data'!$AB$3:$AB$136,"Communities and Regulatory Services",'1. All Data'!$R$3:$R$136,"Update not provided")</f>
        <v>0</v>
      </c>
      <c r="R13" s="213" t="e">
        <f>Q13/Q16</f>
        <v>#DIV/0!</v>
      </c>
      <c r="S13" s="213" t="e">
        <f>R13</f>
        <v>#DIV/0!</v>
      </c>
      <c r="T13" s="214"/>
      <c r="U13" s="2"/>
      <c r="W13" s="172" t="s">
        <v>21</v>
      </c>
      <c r="X13" s="208">
        <f>COUNTIFS('1. All Data'!$AB$3:$AB$136,"Communities and Regulatory Services",'1. All Data'!$V$3:$V$136,"Update not provided")</f>
        <v>0</v>
      </c>
      <c r="Y13" s="213" t="e">
        <f>X13/X16</f>
        <v>#DIV/0!</v>
      </c>
      <c r="Z13" s="213" t="e">
        <f>Y13</f>
        <v>#DIV/0!</v>
      </c>
      <c r="AA13" s="174"/>
      <c r="AB13" s="2"/>
    </row>
    <row r="14" spans="2:30" ht="15.75" customHeight="1">
      <c r="B14" s="215" t="s">
        <v>29</v>
      </c>
      <c r="C14" s="208">
        <f>COUNTIFS('1. All Data'!$AB$3:$AB$136,"Communities and Regulatory Services",'1. All Data'!$H$3:$H$136,"Deferred")</f>
        <v>0</v>
      </c>
      <c r="D14" s="216">
        <f>C14/C16</f>
        <v>0</v>
      </c>
      <c r="E14" s="216">
        <f>D14</f>
        <v>0</v>
      </c>
      <c r="F14" s="217"/>
      <c r="G14" s="58"/>
      <c r="I14" s="215" t="s">
        <v>29</v>
      </c>
      <c r="J14" s="208">
        <f>COUNTIFS('1. All Data'!$AB$3:$AB$136,"Communities and Regulatory Services",'1. All Data'!$M$3:$M$136,"Deferred")</f>
        <v>0</v>
      </c>
      <c r="K14" s="216">
        <f>J14/J16</f>
        <v>0</v>
      </c>
      <c r="L14" s="216">
        <f>K14</f>
        <v>0</v>
      </c>
      <c r="M14" s="217"/>
      <c r="N14" s="58"/>
      <c r="P14" s="215" t="s">
        <v>29</v>
      </c>
      <c r="Q14" s="208">
        <f>COUNTIFS('1. All Data'!$AB$3:$AB$136,"Communities and Regulatory Services",'1. All Data'!$R$3:$R$136,"Deferred")</f>
        <v>0</v>
      </c>
      <c r="R14" s="216" t="e">
        <f>Q14/Q16</f>
        <v>#DIV/0!</v>
      </c>
      <c r="S14" s="216" t="e">
        <f>R14</f>
        <v>#DIV/0!</v>
      </c>
      <c r="T14" s="217"/>
      <c r="U14" s="58"/>
      <c r="W14" s="175" t="s">
        <v>29</v>
      </c>
      <c r="X14" s="208">
        <f>COUNTIFS('1. All Data'!$AB$3:$AB$136,"Communities and Regulatory Services",'1. All Data'!$V$3:$V$136,"Deferred")</f>
        <v>0</v>
      </c>
      <c r="Y14" s="216" t="e">
        <f>X14/X16</f>
        <v>#DIV/0!</v>
      </c>
      <c r="Z14" s="216" t="e">
        <f>Y14</f>
        <v>#DIV/0!</v>
      </c>
      <c r="AA14" s="177"/>
      <c r="AB14" s="58"/>
    </row>
    <row r="15" spans="2:30" ht="15.75" customHeight="1">
      <c r="B15" s="215" t="s">
        <v>30</v>
      </c>
      <c r="C15" s="208">
        <f>COUNTIFS('1. All Data'!$AB$3:$AB$136,"Communities and Regulatory Services",'1. All Data'!$H$3:$H$136,"Deleted")</f>
        <v>0</v>
      </c>
      <c r="D15" s="216">
        <f>C15/C16</f>
        <v>0</v>
      </c>
      <c r="E15" s="216">
        <f>D15</f>
        <v>0</v>
      </c>
      <c r="F15" s="217"/>
      <c r="G15" s="29"/>
      <c r="I15" s="215" t="s">
        <v>30</v>
      </c>
      <c r="J15" s="208">
        <f>COUNTIFS('1. All Data'!$AB$3:$AB$136,"Communities and Regulatory Services",'1. All Data'!$M$3:$M$136,"Deleted")</f>
        <v>0</v>
      </c>
      <c r="K15" s="216">
        <f>J15/J16</f>
        <v>0</v>
      </c>
      <c r="L15" s="216">
        <f>K15</f>
        <v>0</v>
      </c>
      <c r="M15" s="217"/>
      <c r="N15" s="29"/>
      <c r="P15" s="215" t="s">
        <v>30</v>
      </c>
      <c r="Q15" s="208">
        <f>COUNTIFS('1. All Data'!$AB$3:$AB$136,"Communities and Regulatory Services",'1. All Data'!$R$3:$R$136,"Deleted")</f>
        <v>0</v>
      </c>
      <c r="R15" s="216" t="e">
        <f>Q15/Q16</f>
        <v>#DIV/0!</v>
      </c>
      <c r="S15" s="216" t="e">
        <f>R15</f>
        <v>#DIV/0!</v>
      </c>
      <c r="T15" s="217"/>
      <c r="U15" s="29"/>
      <c r="W15" s="175" t="s">
        <v>30</v>
      </c>
      <c r="X15" s="208">
        <f>COUNTIFS('1. All Data'!$AB$3:$AB$136,"Communities and Regulatory Services",'1. All Data'!$V$3:$V$136,"Deleted")</f>
        <v>0</v>
      </c>
      <c r="Y15" s="216" t="e">
        <f>X15/X16</f>
        <v>#DIV/0!</v>
      </c>
      <c r="Z15" s="216" t="e">
        <f>Y15</f>
        <v>#DIV/0!</v>
      </c>
      <c r="AA15" s="177"/>
      <c r="AD15" s="3"/>
    </row>
    <row r="16" spans="2:30" ht="15.75" customHeight="1">
      <c r="B16" s="218" t="s">
        <v>51</v>
      </c>
      <c r="C16" s="219">
        <f>SUM(C5:C15)</f>
        <v>23</v>
      </c>
      <c r="D16" s="177"/>
      <c r="E16" s="177"/>
      <c r="F16" s="220"/>
      <c r="G16" s="58"/>
      <c r="I16" s="218" t="s">
        <v>51</v>
      </c>
      <c r="J16" s="219">
        <f>SUM(J5:J15)</f>
        <v>23</v>
      </c>
      <c r="K16" s="177"/>
      <c r="L16" s="177"/>
      <c r="M16" s="220"/>
      <c r="N16" s="58"/>
      <c r="P16" s="218" t="s">
        <v>51</v>
      </c>
      <c r="Q16" s="219">
        <f>SUM(Q5:Q15)</f>
        <v>0</v>
      </c>
      <c r="R16" s="177"/>
      <c r="S16" s="177"/>
      <c r="T16" s="220"/>
      <c r="U16" s="58"/>
      <c r="W16" s="178" t="s">
        <v>51</v>
      </c>
      <c r="X16" s="219">
        <f>SUM(X5:X15)</f>
        <v>0</v>
      </c>
      <c r="Y16" s="177"/>
      <c r="Z16" s="177"/>
      <c r="AA16" s="58"/>
      <c r="AB16" s="58"/>
    </row>
    <row r="17" spans="2:29" ht="15.75" customHeight="1">
      <c r="B17" s="218" t="s">
        <v>52</v>
      </c>
      <c r="C17" s="219">
        <f>C16-C15-C14-C13-C12</f>
        <v>18</v>
      </c>
      <c r="D17" s="58"/>
      <c r="E17" s="58"/>
      <c r="F17" s="220"/>
      <c r="G17" s="58"/>
      <c r="I17" s="218" t="s">
        <v>52</v>
      </c>
      <c r="J17" s="219">
        <f>J16-J15-J14-J13-J12</f>
        <v>22</v>
      </c>
      <c r="K17" s="58"/>
      <c r="L17" s="58"/>
      <c r="M17" s="220"/>
      <c r="N17" s="58"/>
      <c r="P17" s="218" t="s">
        <v>52</v>
      </c>
      <c r="Q17" s="219">
        <f>Q16-Q15-Q14-Q13-Q12</f>
        <v>0</v>
      </c>
      <c r="R17" s="58"/>
      <c r="S17" s="58"/>
      <c r="T17" s="220"/>
      <c r="U17" s="58"/>
      <c r="W17" s="178" t="s">
        <v>52</v>
      </c>
      <c r="X17" s="219">
        <f>X16-X15-X14-X13-X12</f>
        <v>0</v>
      </c>
      <c r="Y17" s="58"/>
      <c r="Z17" s="58"/>
      <c r="AA17" s="58"/>
      <c r="AB17" s="58"/>
    </row>
    <row r="18" spans="2:29" ht="15.75" customHeight="1">
      <c r="W18" s="180"/>
      <c r="AA18" s="2"/>
    </row>
    <row r="19" spans="2:29" ht="15.75" customHeight="1">
      <c r="AA19" s="2"/>
    </row>
    <row r="20" spans="2:29" s="166" customFormat="1" ht="15.75" customHeight="1">
      <c r="B20" s="187"/>
      <c r="C20" s="165"/>
      <c r="D20" s="165"/>
      <c r="E20" s="165"/>
      <c r="F20" s="220"/>
      <c r="G20" s="165"/>
      <c r="I20" s="187"/>
      <c r="J20" s="165"/>
      <c r="K20" s="165"/>
      <c r="L20" s="165"/>
      <c r="M20" s="220"/>
      <c r="N20" s="165"/>
      <c r="P20" s="187"/>
      <c r="Q20" s="165"/>
      <c r="R20" s="165"/>
      <c r="S20" s="165"/>
      <c r="T20" s="220"/>
      <c r="U20" s="165"/>
      <c r="W20" s="165"/>
      <c r="X20" s="165"/>
      <c r="Y20" s="165"/>
      <c r="Z20" s="165"/>
      <c r="AA20" s="58"/>
      <c r="AB20" s="186"/>
    </row>
    <row r="21" spans="2:29" ht="15" customHeight="1">
      <c r="W21" s="221"/>
      <c r="X21" s="58"/>
      <c r="Y21" s="58"/>
      <c r="Z21" s="58"/>
      <c r="AA21" s="58"/>
      <c r="AB21" s="177"/>
      <c r="AC21" s="166"/>
    </row>
    <row r="22" spans="2:29" s="166" customFormat="1" ht="15.75">
      <c r="B22" s="203" t="s">
        <v>116</v>
      </c>
      <c r="C22" s="204"/>
      <c r="D22" s="204"/>
      <c r="E22" s="204"/>
      <c r="F22" s="205"/>
      <c r="G22" s="204"/>
      <c r="I22" s="203" t="s">
        <v>116</v>
      </c>
      <c r="J22" s="204"/>
      <c r="K22" s="204"/>
      <c r="L22" s="204"/>
      <c r="M22" s="205"/>
      <c r="N22" s="204"/>
      <c r="P22" s="203" t="s">
        <v>116</v>
      </c>
      <c r="Q22" s="204"/>
      <c r="R22" s="204"/>
      <c r="S22" s="204"/>
      <c r="T22" s="205"/>
      <c r="U22" s="204"/>
      <c r="W22" s="203" t="s">
        <v>116</v>
      </c>
      <c r="X22" s="204"/>
      <c r="Y22" s="204"/>
      <c r="Z22" s="204"/>
      <c r="AA22" s="205"/>
      <c r="AB22" s="204"/>
    </row>
    <row r="23" spans="2:29" ht="42" customHeight="1">
      <c r="B23" s="206" t="s">
        <v>42</v>
      </c>
      <c r="C23" s="207" t="s">
        <v>43</v>
      </c>
      <c r="D23" s="207" t="s">
        <v>44</v>
      </c>
      <c r="E23" s="207" t="s">
        <v>45</v>
      </c>
      <c r="F23" s="206" t="s">
        <v>46</v>
      </c>
      <c r="G23" s="207" t="s">
        <v>47</v>
      </c>
      <c r="I23" s="206" t="s">
        <v>42</v>
      </c>
      <c r="J23" s="207" t="s">
        <v>43</v>
      </c>
      <c r="K23" s="207" t="s">
        <v>44</v>
      </c>
      <c r="L23" s="207" t="s">
        <v>45</v>
      </c>
      <c r="M23" s="206" t="s">
        <v>46</v>
      </c>
      <c r="N23" s="207" t="s">
        <v>47</v>
      </c>
      <c r="P23" s="206" t="s">
        <v>42</v>
      </c>
      <c r="Q23" s="207" t="s">
        <v>43</v>
      </c>
      <c r="R23" s="207" t="s">
        <v>44</v>
      </c>
      <c r="S23" s="207" t="s">
        <v>45</v>
      </c>
      <c r="T23" s="206" t="s">
        <v>46</v>
      </c>
      <c r="U23" s="207" t="s">
        <v>47</v>
      </c>
      <c r="W23" s="164" t="s">
        <v>42</v>
      </c>
      <c r="X23" s="164" t="s">
        <v>43</v>
      </c>
      <c r="Y23" s="164" t="s">
        <v>44</v>
      </c>
      <c r="Z23" s="164" t="s">
        <v>45</v>
      </c>
      <c r="AA23" s="164" t="s">
        <v>46</v>
      </c>
      <c r="AB23" s="164" t="s">
        <v>47</v>
      </c>
      <c r="AC23" s="166"/>
    </row>
    <row r="24" spans="2:29" ht="21.75" customHeight="1">
      <c r="B24" s="228" t="s">
        <v>48</v>
      </c>
      <c r="C24" s="208">
        <f>COUNTIFS('1. All Data'!$AB$3:$AB$136,"Environment and climate change",'1. All Data'!$H$3:$H$136,"Fully Achieved")</f>
        <v>2</v>
      </c>
      <c r="D24" s="209">
        <f>C24/C35</f>
        <v>5.8823529411764705E-2</v>
      </c>
      <c r="E24" s="396">
        <f>D24+D25</f>
        <v>0.44117647058823528</v>
      </c>
      <c r="F24" s="210">
        <f>C24/C36</f>
        <v>0.1111111111111111</v>
      </c>
      <c r="G24" s="398">
        <f>F24+F25</f>
        <v>0.83333333333333326</v>
      </c>
      <c r="I24" s="228" t="s">
        <v>48</v>
      </c>
      <c r="J24" s="208">
        <f>COUNTIFS('1. All Data'!$AB$3:$AB$136,"Environment and Climate Change",'1. All Data'!$M$3:$M$136,"Fully Achieved")</f>
        <v>6</v>
      </c>
      <c r="K24" s="209">
        <f>J24/J35</f>
        <v>0.17647058823529413</v>
      </c>
      <c r="L24" s="396">
        <f>K24+K25</f>
        <v>0.82352941176470595</v>
      </c>
      <c r="M24" s="210">
        <f>J24/J36</f>
        <v>0.19354838709677419</v>
      </c>
      <c r="N24" s="398">
        <f>M24+M25</f>
        <v>0.90322580645161299</v>
      </c>
      <c r="P24" s="228" t="s">
        <v>48</v>
      </c>
      <c r="Q24" s="208">
        <f>COUNTIFS('1. All Data'!$AB$3:$AB$136,"Environment and Climate Change",'1. All Data'!$R$3:$R$136,"Fully Achieved")</f>
        <v>0</v>
      </c>
      <c r="R24" s="209" t="e">
        <f>Q24/Q35</f>
        <v>#DIV/0!</v>
      </c>
      <c r="S24" s="396" t="e">
        <f>R24+R25</f>
        <v>#DIV/0!</v>
      </c>
      <c r="T24" s="210" t="e">
        <f>Q24/Q36</f>
        <v>#DIV/0!</v>
      </c>
      <c r="U24" s="398" t="e">
        <f>T24+T25</f>
        <v>#DIV/0!</v>
      </c>
      <c r="W24" s="228" t="s">
        <v>48</v>
      </c>
      <c r="X24" s="208">
        <f>COUNTIFS('1. All Data'!$AB$3:$AB$136,"Environment and Climate Change",'1. All Data'!$V$3:$V$136,"Fully Achieved")</f>
        <v>0</v>
      </c>
      <c r="Y24" s="209" t="e">
        <f>X24/X35</f>
        <v>#DIV/0!</v>
      </c>
      <c r="Z24" s="396" t="e">
        <f>Y24+Y25</f>
        <v>#DIV/0!</v>
      </c>
      <c r="AA24" s="209" t="e">
        <f>X24/X36</f>
        <v>#DIV/0!</v>
      </c>
      <c r="AB24" s="377" t="e">
        <f>AA24+AA25</f>
        <v>#DIV/0!</v>
      </c>
      <c r="AC24" s="166"/>
    </row>
    <row r="25" spans="2:29" ht="18.75" customHeight="1">
      <c r="B25" s="228" t="s">
        <v>31</v>
      </c>
      <c r="C25" s="208">
        <f>COUNTIFS('1. All Data'!$AB$3:$AB$136,"Environment and climate change",'1. All Data'!$H$3:$H$136,"On Track to be Achieved")</f>
        <v>13</v>
      </c>
      <c r="D25" s="209">
        <f>C25/C35</f>
        <v>0.38235294117647056</v>
      </c>
      <c r="E25" s="396"/>
      <c r="F25" s="210">
        <f>C25/C36</f>
        <v>0.72222222222222221</v>
      </c>
      <c r="G25" s="398"/>
      <c r="I25" s="228" t="s">
        <v>31</v>
      </c>
      <c r="J25" s="208">
        <f>COUNTIFS('1. All Data'!$AB$3:$AB$136,"Environment and Climate Change",'1. All Data'!$M$3:$M$136,"On Track to be Achieved")</f>
        <v>22</v>
      </c>
      <c r="K25" s="209">
        <f>J25/J35</f>
        <v>0.6470588235294118</v>
      </c>
      <c r="L25" s="396"/>
      <c r="M25" s="210">
        <f>J25/J36</f>
        <v>0.70967741935483875</v>
      </c>
      <c r="N25" s="398"/>
      <c r="P25" s="228" t="s">
        <v>31</v>
      </c>
      <c r="Q25" s="208">
        <f>COUNTIFS('1. All Data'!$AB$3:$AB$136,"Environment and Climate Change",'1. All Data'!$R$3:$R$136,"On Track to be Achieved")</f>
        <v>0</v>
      </c>
      <c r="R25" s="209" t="e">
        <f>Q25/Q35</f>
        <v>#DIV/0!</v>
      </c>
      <c r="S25" s="396"/>
      <c r="T25" s="210" t="e">
        <f>Q25/Q36</f>
        <v>#DIV/0!</v>
      </c>
      <c r="U25" s="398"/>
      <c r="W25" s="228" t="s">
        <v>23</v>
      </c>
      <c r="X25" s="208">
        <f>COUNTIFS('1. All Data'!$AB$3:$AB$136,"Environment and Climate Change",'1. All Data'!$V$3:$V$136,"Numerical Outturn Within 5% Tolerance")</f>
        <v>0</v>
      </c>
      <c r="Y25" s="209" t="e">
        <f>X25/X35</f>
        <v>#DIV/0!</v>
      </c>
      <c r="Z25" s="396"/>
      <c r="AA25" s="209" t="e">
        <f>X25/X36</f>
        <v>#DIV/0!</v>
      </c>
      <c r="AB25" s="377"/>
      <c r="AC25" s="166"/>
    </row>
    <row r="26" spans="2:29" ht="21" customHeight="1">
      <c r="B26" s="408" t="s">
        <v>32</v>
      </c>
      <c r="C26" s="411">
        <f>COUNTIFS('1. All Data'!$AB$3:$AB$136,"Environment and climate change",'1. All Data'!$H$3:$H$136,"In Danger of Falling Behind Target")</f>
        <v>3</v>
      </c>
      <c r="D26" s="399">
        <f>C26/C35</f>
        <v>8.8235294117647065E-2</v>
      </c>
      <c r="E26" s="399">
        <f>D26</f>
        <v>8.8235294117647065E-2</v>
      </c>
      <c r="F26" s="402">
        <f>C26/C36</f>
        <v>0.16666666666666666</v>
      </c>
      <c r="G26" s="405">
        <f>F26</f>
        <v>0.16666666666666666</v>
      </c>
      <c r="I26" s="408" t="s">
        <v>32</v>
      </c>
      <c r="J26" s="411">
        <f>COUNTIFS('1. All Data'!$AB$3:$AB$136,"Environment and Climate Change",'1. All Data'!$M$3:$M$136,"In Danger of Falling Behind Target")</f>
        <v>2</v>
      </c>
      <c r="K26" s="399">
        <f>J26/J35</f>
        <v>5.8823529411764705E-2</v>
      </c>
      <c r="L26" s="399">
        <f>K26</f>
        <v>5.8823529411764705E-2</v>
      </c>
      <c r="M26" s="402">
        <f>J26/J36</f>
        <v>6.4516129032258063E-2</v>
      </c>
      <c r="N26" s="405">
        <f>M26</f>
        <v>6.4516129032258063E-2</v>
      </c>
      <c r="P26" s="408" t="s">
        <v>32</v>
      </c>
      <c r="Q26" s="411">
        <f>COUNTIFS('1. All Data'!$AB$3:$AB$136,"Environment and Climate Change",'1. All Data'!$R$3:$R$136,"In Danger of Falling Behind Target")</f>
        <v>0</v>
      </c>
      <c r="R26" s="399" t="e">
        <f>Q26/Q35</f>
        <v>#DIV/0!</v>
      </c>
      <c r="S26" s="399" t="e">
        <f>R26</f>
        <v>#DIV/0!</v>
      </c>
      <c r="T26" s="402" t="e">
        <f>Q26/Q36</f>
        <v>#DIV/0!</v>
      </c>
      <c r="U26" s="405" t="e">
        <f>T26</f>
        <v>#DIV/0!</v>
      </c>
      <c r="W26" s="169" t="s">
        <v>24</v>
      </c>
      <c r="X26" s="170">
        <f>COUNTIFS('1. All Data'!$AB$3:$AB$136,"Environment and Climate Change",'1. All Data'!$V$3:$V$136,"Numerical Outturn Within 10% Tolerance")</f>
        <v>0</v>
      </c>
      <c r="Y26" s="168" t="e">
        <f>X26/X35</f>
        <v>#DIV/0!</v>
      </c>
      <c r="Z26" s="375" t="e">
        <f>SUM(Y26:Y28)</f>
        <v>#DIV/0!</v>
      </c>
      <c r="AA26" s="168" t="e">
        <f>X26/X36</f>
        <v>#DIV/0!</v>
      </c>
      <c r="AB26" s="384" t="e">
        <f>SUM(AA26:AA28)</f>
        <v>#DIV/0!</v>
      </c>
      <c r="AC26" s="166"/>
    </row>
    <row r="27" spans="2:29" ht="20.25" customHeight="1">
      <c r="B27" s="409"/>
      <c r="C27" s="412"/>
      <c r="D27" s="400"/>
      <c r="E27" s="400"/>
      <c r="F27" s="403"/>
      <c r="G27" s="406"/>
      <c r="I27" s="409"/>
      <c r="J27" s="412"/>
      <c r="K27" s="400"/>
      <c r="L27" s="400"/>
      <c r="M27" s="403"/>
      <c r="N27" s="406"/>
      <c r="P27" s="409"/>
      <c r="Q27" s="412"/>
      <c r="R27" s="400"/>
      <c r="S27" s="400"/>
      <c r="T27" s="403"/>
      <c r="U27" s="406"/>
      <c r="W27" s="169" t="s">
        <v>25</v>
      </c>
      <c r="X27" s="170">
        <f>COUNTIFS('1. All Data'!$AB$3:$AB$136,"Environment and Climate Change",'1. All Data'!$V$3:$V$136,"Target Partially Met")</f>
        <v>0</v>
      </c>
      <c r="Y27" s="168" t="e">
        <f>X27/X35</f>
        <v>#DIV/0!</v>
      </c>
      <c r="Z27" s="375"/>
      <c r="AA27" s="168" t="e">
        <f>X27/X36</f>
        <v>#DIV/0!</v>
      </c>
      <c r="AB27" s="384"/>
      <c r="AC27" s="166"/>
    </row>
    <row r="28" spans="2:29" ht="15.75" customHeight="1">
      <c r="B28" s="410"/>
      <c r="C28" s="413"/>
      <c r="D28" s="401"/>
      <c r="E28" s="401"/>
      <c r="F28" s="404"/>
      <c r="G28" s="407"/>
      <c r="I28" s="410"/>
      <c r="J28" s="413"/>
      <c r="K28" s="401"/>
      <c r="L28" s="401"/>
      <c r="M28" s="404"/>
      <c r="N28" s="407"/>
      <c r="P28" s="410"/>
      <c r="Q28" s="413"/>
      <c r="R28" s="401"/>
      <c r="S28" s="401"/>
      <c r="T28" s="404"/>
      <c r="U28" s="407"/>
      <c r="W28" s="169" t="s">
        <v>28</v>
      </c>
      <c r="X28" s="170">
        <f>COUNTIFS('1. All Data'!$AB$3:$AB$136,"Environment and Climate Change",'1. All Data'!$V$3:$V$136,"Completion Date Within Reasonable Tolerance")</f>
        <v>0</v>
      </c>
      <c r="Y28" s="168" t="e">
        <f>X28/X35</f>
        <v>#DIV/0!</v>
      </c>
      <c r="Z28" s="375"/>
      <c r="AA28" s="168" t="e">
        <f>X28/X36</f>
        <v>#DIV/0!</v>
      </c>
      <c r="AB28" s="384"/>
      <c r="AC28" s="166"/>
    </row>
    <row r="29" spans="2:29" ht="20.25" customHeight="1">
      <c r="B29" s="211" t="s">
        <v>33</v>
      </c>
      <c r="C29" s="208">
        <f>COUNTIFS('1. All Data'!$AB$3:$AB$136,"Environment and climate change",'1. All Data'!$H$3:$H$136,"Completed Behind Schedule")</f>
        <v>0</v>
      </c>
      <c r="D29" s="209">
        <f>C29/C35</f>
        <v>0</v>
      </c>
      <c r="E29" s="396">
        <f>D29+D30</f>
        <v>0</v>
      </c>
      <c r="F29" s="210">
        <f>C29/C36</f>
        <v>0</v>
      </c>
      <c r="G29" s="397">
        <f>F29+F30</f>
        <v>0</v>
      </c>
      <c r="I29" s="211" t="s">
        <v>33</v>
      </c>
      <c r="J29" s="208">
        <f>COUNTIFS('1. All Data'!$AB$3:$AB$136,"Environment and Climate Change",'1. All Data'!$M$3:$M$136,"Completed Behind Schedule")</f>
        <v>0</v>
      </c>
      <c r="K29" s="209">
        <f>J29/J35</f>
        <v>0</v>
      </c>
      <c r="L29" s="396">
        <f>K29+K30</f>
        <v>2.9411764705882353E-2</v>
      </c>
      <c r="M29" s="210">
        <f>J29/J36</f>
        <v>0</v>
      </c>
      <c r="N29" s="397">
        <f>M29+M30</f>
        <v>3.2258064516129031E-2</v>
      </c>
      <c r="P29" s="211" t="s">
        <v>33</v>
      </c>
      <c r="Q29" s="208">
        <f>COUNTIFS('1. All Data'!$AB$3:$AB$136,"Environment and Climate Change",'1. All Data'!$R$3:$R$136,"Completed Behind Schedule")</f>
        <v>0</v>
      </c>
      <c r="R29" s="209" t="e">
        <f>Q29/Q35</f>
        <v>#DIV/0!</v>
      </c>
      <c r="S29" s="396" t="e">
        <f>R29+R30</f>
        <v>#DIV/0!</v>
      </c>
      <c r="T29" s="210" t="e">
        <f>Q29/Q36</f>
        <v>#DIV/0!</v>
      </c>
      <c r="U29" s="397" t="e">
        <f>T29+T30</f>
        <v>#DIV/0!</v>
      </c>
      <c r="W29" s="171" t="s">
        <v>27</v>
      </c>
      <c r="X29" s="208">
        <f>COUNTIFS('1. All Data'!$AB$3:$AB$136,"Environment and Climate Change",'1. All Data'!$V$3:$V$136,"Completed Significantly After Target Deadline")</f>
        <v>0</v>
      </c>
      <c r="Y29" s="209" t="e">
        <f>X29/X35</f>
        <v>#DIV/0!</v>
      </c>
      <c r="Z29" s="396" t="e">
        <f>Y29+Y30</f>
        <v>#DIV/0!</v>
      </c>
      <c r="AA29" s="209" t="e">
        <f>X29/X36</f>
        <v>#DIV/0!</v>
      </c>
      <c r="AB29" s="376" t="e">
        <f>AA29+AA30</f>
        <v>#DIV/0!</v>
      </c>
      <c r="AC29" s="166"/>
    </row>
    <row r="30" spans="2:29" ht="20.25" customHeight="1">
      <c r="B30" s="211" t="s">
        <v>26</v>
      </c>
      <c r="C30" s="208">
        <f>COUNTIFS('1. All Data'!$AB$3:$AB$136,"Environment and climate change",'1. All Data'!$H$3:$H$136,"Off Target")</f>
        <v>0</v>
      </c>
      <c r="D30" s="209">
        <f>C30/C35</f>
        <v>0</v>
      </c>
      <c r="E30" s="396"/>
      <c r="F30" s="210">
        <f>C30/C36</f>
        <v>0</v>
      </c>
      <c r="G30" s="397"/>
      <c r="I30" s="211" t="s">
        <v>26</v>
      </c>
      <c r="J30" s="208">
        <f>COUNTIFS('1. All Data'!$AB$3:$AB$136,"Environment and Climate Change",'1. All Data'!$M$3:$M$136,"Off Target")</f>
        <v>1</v>
      </c>
      <c r="K30" s="209">
        <f>J30/J35</f>
        <v>2.9411764705882353E-2</v>
      </c>
      <c r="L30" s="396"/>
      <c r="M30" s="210">
        <f>J30/J36</f>
        <v>3.2258064516129031E-2</v>
      </c>
      <c r="N30" s="397"/>
      <c r="P30" s="211" t="s">
        <v>26</v>
      </c>
      <c r="Q30" s="208">
        <f>COUNTIFS('1. All Data'!$AB$3:$AB$136,"Environment and Climate Change",'1. All Data'!$R$3:$R$136,"Off Target")</f>
        <v>0</v>
      </c>
      <c r="R30" s="209" t="e">
        <f>Q30/Q35</f>
        <v>#DIV/0!</v>
      </c>
      <c r="S30" s="396"/>
      <c r="T30" s="210" t="e">
        <f>Q30/Q36</f>
        <v>#DIV/0!</v>
      </c>
      <c r="U30" s="397"/>
      <c r="W30" s="171" t="s">
        <v>26</v>
      </c>
      <c r="X30" s="208">
        <f>COUNTIFS('1. All Data'!$AB$3:$AB$136,"Environment and Climate Change",'1. All Data'!$V$3:$V$136,"Off Target")</f>
        <v>0</v>
      </c>
      <c r="Y30" s="209" t="e">
        <f>X30/X35</f>
        <v>#DIV/0!</v>
      </c>
      <c r="Z30" s="396"/>
      <c r="AA30" s="209" t="e">
        <f>X30/X36</f>
        <v>#DIV/0!</v>
      </c>
      <c r="AB30" s="376"/>
      <c r="AC30" s="166"/>
    </row>
    <row r="31" spans="2:29" ht="15" customHeight="1">
      <c r="B31" s="212" t="s">
        <v>49</v>
      </c>
      <c r="C31" s="208">
        <f>COUNTIFS('1. All Data'!$AB$3:$AB$136,"Environment and climate change",'1. All Data'!$H$3:$H$136,"Not yet due")</f>
        <v>16</v>
      </c>
      <c r="D31" s="213">
        <f>C31/C35</f>
        <v>0.47058823529411764</v>
      </c>
      <c r="E31" s="213">
        <f>D31</f>
        <v>0.47058823529411764</v>
      </c>
      <c r="F31" s="214"/>
      <c r="G31" s="58"/>
      <c r="I31" s="212" t="s">
        <v>49</v>
      </c>
      <c r="J31" s="208">
        <f>COUNTIFS('1. All Data'!$AB$3:$AB$136,"Environment and Climate Change",'1. All Data'!$M$3:$M$136,"Not yet due")</f>
        <v>3</v>
      </c>
      <c r="K31" s="213">
        <f>J31/J35</f>
        <v>8.8235294117647065E-2</v>
      </c>
      <c r="L31" s="213">
        <f>K31</f>
        <v>8.8235294117647065E-2</v>
      </c>
      <c r="M31" s="214"/>
      <c r="N31" s="58"/>
      <c r="P31" s="212" t="s">
        <v>49</v>
      </c>
      <c r="Q31" s="208">
        <f>COUNTIFS('1. All Data'!$AB$3:$AB$136,"Environment and Climate Change",'1. All Data'!$R$3:$R$136,"Not yet due")</f>
        <v>0</v>
      </c>
      <c r="R31" s="213" t="e">
        <f>Q31/Q35</f>
        <v>#DIV/0!</v>
      </c>
      <c r="S31" s="213" t="e">
        <f>R31</f>
        <v>#DIV/0!</v>
      </c>
      <c r="T31" s="214"/>
      <c r="U31" s="58"/>
      <c r="W31" s="172" t="s">
        <v>49</v>
      </c>
      <c r="X31" s="208">
        <f>COUNTIFS('1. All Data'!$AB$3:$AB$136,"Environment and Climate Change",'1. All Data'!$V$3:$V$136,"Not yet due")</f>
        <v>0</v>
      </c>
      <c r="Y31" s="213" t="e">
        <f>X31/X35</f>
        <v>#DIV/0!</v>
      </c>
      <c r="Z31" s="213" t="e">
        <f>Y31</f>
        <v>#DIV/0!</v>
      </c>
      <c r="AA31" s="174"/>
      <c r="AB31" s="58"/>
      <c r="AC31" s="166"/>
    </row>
    <row r="32" spans="2:29" ht="15" customHeight="1">
      <c r="B32" s="212" t="s">
        <v>21</v>
      </c>
      <c r="C32" s="208">
        <f>COUNTIFS('1. All Data'!$AB$3:$AB$136,"Environment and climate change",'1. All Data'!$H$3:$H$136,"Update not provided")</f>
        <v>0</v>
      </c>
      <c r="D32" s="213">
        <f>C32/C35</f>
        <v>0</v>
      </c>
      <c r="E32" s="213">
        <f>D32</f>
        <v>0</v>
      </c>
      <c r="F32" s="214"/>
      <c r="G32" s="2"/>
      <c r="I32" s="212" t="s">
        <v>21</v>
      </c>
      <c r="J32" s="208">
        <f>COUNTIFS('1. All Data'!$AB$3:$AB$136,"Environment and Climate Change",'1. All Data'!$M$3:$M$136,"Update not provided")</f>
        <v>0</v>
      </c>
      <c r="K32" s="213">
        <f>J32/J35</f>
        <v>0</v>
      </c>
      <c r="L32" s="213">
        <f>K32</f>
        <v>0</v>
      </c>
      <c r="M32" s="214"/>
      <c r="N32" s="2"/>
      <c r="P32" s="212" t="s">
        <v>21</v>
      </c>
      <c r="Q32" s="208">
        <f>COUNTIFS('1. All Data'!$AB$3:$AB$136,"Environment and Climate Change",'1. All Data'!$R$3:$R$136,"Update not provided")</f>
        <v>0</v>
      </c>
      <c r="R32" s="213" t="e">
        <f>Q32/Q35</f>
        <v>#DIV/0!</v>
      </c>
      <c r="S32" s="213" t="e">
        <f>R32</f>
        <v>#DIV/0!</v>
      </c>
      <c r="T32" s="214"/>
      <c r="U32" s="2"/>
      <c r="W32" s="172" t="s">
        <v>21</v>
      </c>
      <c r="X32" s="208">
        <f>COUNTIFS('1. All Data'!$AB$3:$AB$136,"Environment and Climate Change",'1. All Data'!$V$3:$V$136,"Update not provided")</f>
        <v>0</v>
      </c>
      <c r="Y32" s="213" t="e">
        <f>X32/X35</f>
        <v>#DIV/0!</v>
      </c>
      <c r="Z32" s="213" t="e">
        <f>Y32</f>
        <v>#DIV/0!</v>
      </c>
      <c r="AA32" s="174"/>
      <c r="AB32" s="2"/>
      <c r="AC32" s="166"/>
    </row>
    <row r="33" spans="2:29" ht="15.75" customHeight="1">
      <c r="B33" s="215" t="s">
        <v>29</v>
      </c>
      <c r="C33" s="208">
        <f>COUNTIFS('1. All Data'!$AB$3:$AB$136,"Environment and climate change",'1. All Data'!$H$3:$H$136,"Deferred")</f>
        <v>0</v>
      </c>
      <c r="D33" s="216">
        <f>C33/C35</f>
        <v>0</v>
      </c>
      <c r="E33" s="216">
        <f>D33</f>
        <v>0</v>
      </c>
      <c r="F33" s="217"/>
      <c r="G33" s="58"/>
      <c r="I33" s="215" t="s">
        <v>29</v>
      </c>
      <c r="J33" s="208">
        <f>COUNTIFS('1. All Data'!$AB$3:$AB$136,"Environment and Climate Change",'1. All Data'!$M$3:$M$136,"Deferred")</f>
        <v>0</v>
      </c>
      <c r="K33" s="216">
        <f>J33/J35</f>
        <v>0</v>
      </c>
      <c r="L33" s="216">
        <f>K33</f>
        <v>0</v>
      </c>
      <c r="M33" s="217"/>
      <c r="N33" s="58"/>
      <c r="P33" s="215" t="s">
        <v>29</v>
      </c>
      <c r="Q33" s="208">
        <f>COUNTIFS('1. All Data'!$AB$3:$AB$136,"Environment and Climate Change",'1. All Data'!$R$3:$R$136,"Deferred")</f>
        <v>0</v>
      </c>
      <c r="R33" s="216" t="e">
        <f>Q33/Q35</f>
        <v>#DIV/0!</v>
      </c>
      <c r="S33" s="216" t="e">
        <f>R33</f>
        <v>#DIV/0!</v>
      </c>
      <c r="T33" s="217"/>
      <c r="U33" s="58"/>
      <c r="W33" s="175" t="s">
        <v>29</v>
      </c>
      <c r="X33" s="208">
        <f>COUNTIFS('1. All Data'!$AB$3:$AB$136,"Environment and Climate Change",'1. All Data'!$V$3:$V$136,"Deferred")</f>
        <v>0</v>
      </c>
      <c r="Y33" s="216" t="e">
        <f>X33/X35</f>
        <v>#DIV/0!</v>
      </c>
      <c r="Z33" s="216" t="e">
        <f>Y33</f>
        <v>#DIV/0!</v>
      </c>
      <c r="AA33" s="177"/>
      <c r="AB33" s="58"/>
      <c r="AC33" s="166"/>
    </row>
    <row r="34" spans="2:29" ht="15.75" customHeight="1">
      <c r="B34" s="215" t="s">
        <v>30</v>
      </c>
      <c r="C34" s="208">
        <f>COUNTIFS('1. All Data'!$AB$3:$AB$136,"Environment and climate change",'1. All Data'!$H$3:$H$136,"Deleted")</f>
        <v>0</v>
      </c>
      <c r="D34" s="216">
        <f>C34/C35</f>
        <v>0</v>
      </c>
      <c r="E34" s="216">
        <f>D34</f>
        <v>0</v>
      </c>
      <c r="F34" s="217"/>
      <c r="G34" s="29"/>
      <c r="I34" s="215" t="s">
        <v>30</v>
      </c>
      <c r="J34" s="208">
        <f>COUNTIFS('1. All Data'!$AB$3:$AB$136,"Environment and Climate Change",'1. All Data'!$M$3:$M$136,"Deleted")</f>
        <v>0</v>
      </c>
      <c r="K34" s="216">
        <f>J34/J35</f>
        <v>0</v>
      </c>
      <c r="L34" s="216">
        <f>K34</f>
        <v>0</v>
      </c>
      <c r="M34" s="217"/>
      <c r="N34" s="29"/>
      <c r="P34" s="215" t="s">
        <v>30</v>
      </c>
      <c r="Q34" s="208">
        <f>COUNTIFS('1. All Data'!$AB$3:$AB$136,"Environment and Climate Change",'1. All Data'!$R$3:$R$136,"Deleted")</f>
        <v>0</v>
      </c>
      <c r="R34" s="216" t="e">
        <f>Q34/Q35</f>
        <v>#DIV/0!</v>
      </c>
      <c r="S34" s="216" t="e">
        <f>R34</f>
        <v>#DIV/0!</v>
      </c>
      <c r="T34" s="217"/>
      <c r="U34" s="29"/>
      <c r="W34" s="175" t="s">
        <v>30</v>
      </c>
      <c r="X34" s="208">
        <f>COUNTIFS('1. All Data'!$AB$3:$AB$136,"Environment and Climate Change",'1. All Data'!$V$3:$V$136,"Deleted")</f>
        <v>0</v>
      </c>
      <c r="Y34" s="216" t="e">
        <f>X34/X35</f>
        <v>#DIV/0!</v>
      </c>
      <c r="Z34" s="216" t="e">
        <f>Y34</f>
        <v>#DIV/0!</v>
      </c>
      <c r="AA34" s="177"/>
      <c r="AB34" s="3"/>
      <c r="AC34" s="166"/>
    </row>
    <row r="35" spans="2:29" ht="15.75" customHeight="1">
      <c r="B35" s="218" t="s">
        <v>51</v>
      </c>
      <c r="C35" s="219">
        <f>SUM(C24:C34)</f>
        <v>34</v>
      </c>
      <c r="D35" s="177"/>
      <c r="E35" s="177"/>
      <c r="F35" s="220"/>
      <c r="G35" s="58"/>
      <c r="I35" s="218" t="s">
        <v>51</v>
      </c>
      <c r="J35" s="219">
        <f>SUM(J24:J34)</f>
        <v>34</v>
      </c>
      <c r="K35" s="177"/>
      <c r="L35" s="177"/>
      <c r="M35" s="220"/>
      <c r="N35" s="58"/>
      <c r="P35" s="218" t="s">
        <v>51</v>
      </c>
      <c r="Q35" s="219">
        <f>SUM(Q24:Q34)</f>
        <v>0</v>
      </c>
      <c r="R35" s="177"/>
      <c r="S35" s="177"/>
      <c r="T35" s="220"/>
      <c r="U35" s="58"/>
      <c r="W35" s="178" t="s">
        <v>51</v>
      </c>
      <c r="X35" s="219">
        <f>SUM(X24:X34)</f>
        <v>0</v>
      </c>
      <c r="Y35" s="177"/>
      <c r="Z35" s="177"/>
      <c r="AA35" s="58"/>
      <c r="AB35" s="58"/>
      <c r="AC35" s="166"/>
    </row>
    <row r="36" spans="2:29" ht="15.75" customHeight="1">
      <c r="B36" s="218" t="s">
        <v>52</v>
      </c>
      <c r="C36" s="219">
        <f>C35-C34-C33-C32-C31</f>
        <v>18</v>
      </c>
      <c r="D36" s="58"/>
      <c r="E36" s="58"/>
      <c r="F36" s="220"/>
      <c r="G36" s="58"/>
      <c r="I36" s="218" t="s">
        <v>52</v>
      </c>
      <c r="J36" s="219">
        <f>J35-J34-J33-J32-J31</f>
        <v>31</v>
      </c>
      <c r="K36" s="58"/>
      <c r="L36" s="58"/>
      <c r="M36" s="220"/>
      <c r="N36" s="58"/>
      <c r="P36" s="218" t="s">
        <v>52</v>
      </c>
      <c r="Q36" s="219">
        <f>Q35-Q34-Q33-Q32-Q31</f>
        <v>0</v>
      </c>
      <c r="R36" s="58"/>
      <c r="S36" s="58"/>
      <c r="T36" s="220"/>
      <c r="U36" s="58"/>
      <c r="W36" s="178" t="s">
        <v>52</v>
      </c>
      <c r="X36" s="219">
        <f>X35-X34-X33-X32-X31</f>
        <v>0</v>
      </c>
      <c r="Y36" s="58"/>
      <c r="Z36" s="58"/>
      <c r="AA36" s="58"/>
      <c r="AB36" s="58"/>
      <c r="AC36" s="166"/>
    </row>
    <row r="37" spans="2:29" ht="15.75" customHeight="1">
      <c r="W37" s="180"/>
      <c r="AA37" s="2"/>
      <c r="AC37" s="166"/>
    </row>
    <row r="38" spans="2:29" ht="15.75" customHeight="1">
      <c r="W38" s="165"/>
      <c r="X38" s="165"/>
      <c r="Y38" s="165"/>
      <c r="Z38" s="165"/>
      <c r="AA38" s="165"/>
      <c r="AB38" s="186"/>
      <c r="AC38" s="166"/>
    </row>
    <row r="39" spans="2:29" s="166" customFormat="1" ht="15.75" customHeight="1">
      <c r="B39" s="187"/>
      <c r="C39" s="165"/>
      <c r="D39" s="165"/>
      <c r="E39" s="165"/>
      <c r="F39" s="220"/>
      <c r="G39" s="165"/>
      <c r="I39" s="187"/>
      <c r="J39" s="165"/>
      <c r="K39" s="165"/>
      <c r="L39" s="165"/>
      <c r="M39" s="220"/>
      <c r="N39" s="165"/>
      <c r="P39" s="187"/>
      <c r="Q39" s="165"/>
      <c r="R39" s="165"/>
      <c r="S39" s="165"/>
      <c r="T39" s="220"/>
      <c r="U39" s="165"/>
      <c r="W39" s="221"/>
      <c r="X39" s="58"/>
      <c r="Y39" s="58"/>
      <c r="Z39" s="58"/>
      <c r="AA39" s="58"/>
      <c r="AB39" s="177"/>
    </row>
    <row r="40" spans="2:29" s="166" customFormat="1" ht="15.75" customHeight="1">
      <c r="B40" s="203" t="s">
        <v>211</v>
      </c>
      <c r="C40" s="204"/>
      <c r="D40" s="204"/>
      <c r="E40" s="204"/>
      <c r="F40" s="205"/>
      <c r="G40" s="204"/>
      <c r="I40" s="203" t="s">
        <v>211</v>
      </c>
      <c r="J40" s="204"/>
      <c r="K40" s="204"/>
      <c r="L40" s="204"/>
      <c r="M40" s="205"/>
      <c r="N40" s="204"/>
      <c r="P40" s="203" t="s">
        <v>211</v>
      </c>
      <c r="Q40" s="204"/>
      <c r="R40" s="204"/>
      <c r="S40" s="204"/>
      <c r="T40" s="205"/>
      <c r="U40" s="204"/>
      <c r="W40" s="203" t="s">
        <v>211</v>
      </c>
      <c r="X40" s="204"/>
      <c r="Y40" s="204"/>
      <c r="Z40" s="204"/>
      <c r="AA40" s="205"/>
      <c r="AB40" s="204"/>
    </row>
    <row r="41" spans="2:29" ht="36" customHeight="1">
      <c r="B41" s="206" t="s">
        <v>42</v>
      </c>
      <c r="C41" s="207" t="s">
        <v>43</v>
      </c>
      <c r="D41" s="207" t="s">
        <v>44</v>
      </c>
      <c r="E41" s="207" t="s">
        <v>45</v>
      </c>
      <c r="F41" s="206" t="s">
        <v>46</v>
      </c>
      <c r="G41" s="207" t="s">
        <v>47</v>
      </c>
      <c r="I41" s="206" t="s">
        <v>42</v>
      </c>
      <c r="J41" s="207" t="s">
        <v>43</v>
      </c>
      <c r="K41" s="207" t="s">
        <v>44</v>
      </c>
      <c r="L41" s="207" t="s">
        <v>45</v>
      </c>
      <c r="M41" s="206" t="s">
        <v>46</v>
      </c>
      <c r="N41" s="207" t="s">
        <v>47</v>
      </c>
      <c r="P41" s="206" t="s">
        <v>42</v>
      </c>
      <c r="Q41" s="207" t="s">
        <v>43</v>
      </c>
      <c r="R41" s="207" t="s">
        <v>44</v>
      </c>
      <c r="S41" s="207" t="s">
        <v>45</v>
      </c>
      <c r="T41" s="206" t="s">
        <v>46</v>
      </c>
      <c r="U41" s="207" t="s">
        <v>47</v>
      </c>
      <c r="W41" s="164" t="s">
        <v>42</v>
      </c>
      <c r="X41" s="164" t="s">
        <v>43</v>
      </c>
      <c r="Y41" s="164" t="s">
        <v>44</v>
      </c>
      <c r="Z41" s="164" t="s">
        <v>45</v>
      </c>
      <c r="AA41" s="164" t="s">
        <v>46</v>
      </c>
      <c r="AB41" s="164" t="s">
        <v>47</v>
      </c>
      <c r="AC41" s="166"/>
    </row>
    <row r="42" spans="2:29" ht="18.75" customHeight="1">
      <c r="B42" s="228" t="s">
        <v>48</v>
      </c>
      <c r="C42" s="208">
        <f>COUNTIFS('1. All Data'!$AB$3:$AB$136,"Finance and treasury management",'1. All Data'!$H$3:$H$136,"Fully Achieved")</f>
        <v>0</v>
      </c>
      <c r="D42" s="209">
        <f>C42/C53</f>
        <v>0</v>
      </c>
      <c r="E42" s="396">
        <f>D42+D43</f>
        <v>0.69230769230769229</v>
      </c>
      <c r="F42" s="210">
        <f>C42/C54</f>
        <v>0</v>
      </c>
      <c r="G42" s="398">
        <f>F42+F43</f>
        <v>1</v>
      </c>
      <c r="I42" s="228" t="s">
        <v>48</v>
      </c>
      <c r="J42" s="208">
        <f>COUNTIFS('1. All Data'!$AB$3:$AB$136,"Finance and Treasury Management",'1. All Data'!$M$3:$M$136,"Fully Achieved")</f>
        <v>0</v>
      </c>
      <c r="K42" s="209">
        <f>J42/J53</f>
        <v>0</v>
      </c>
      <c r="L42" s="396">
        <f>K42+K43</f>
        <v>0.92307692307692313</v>
      </c>
      <c r="M42" s="210">
        <f>J42/J54</f>
        <v>0</v>
      </c>
      <c r="N42" s="398">
        <f>M42+M43</f>
        <v>1</v>
      </c>
      <c r="P42" s="228" t="s">
        <v>48</v>
      </c>
      <c r="Q42" s="208">
        <f>COUNTIFS('1. All Data'!$AB$3:$AB$136,"Finance and Treasury Management",'1. All Data'!$R$3:$R$136,"Fully Achieved")</f>
        <v>0</v>
      </c>
      <c r="R42" s="209" t="e">
        <f>Q42/Q53</f>
        <v>#DIV/0!</v>
      </c>
      <c r="S42" s="396" t="e">
        <f>R42+R43</f>
        <v>#DIV/0!</v>
      </c>
      <c r="T42" s="210" t="e">
        <f>Q42/Q54</f>
        <v>#DIV/0!</v>
      </c>
      <c r="U42" s="398" t="e">
        <f>T42+T43</f>
        <v>#DIV/0!</v>
      </c>
      <c r="W42" s="228" t="s">
        <v>48</v>
      </c>
      <c r="X42" s="208">
        <f>COUNTIFS('1. All Data'!$AB$3:$AB$136,"Finance and Treasury Management",'1. All Data'!$V$3:$V$136,"Fully Achieved")</f>
        <v>0</v>
      </c>
      <c r="Y42" s="209" t="e">
        <f>X42/X53</f>
        <v>#DIV/0!</v>
      </c>
      <c r="Z42" s="396" t="e">
        <f>Y42+Y43</f>
        <v>#DIV/0!</v>
      </c>
      <c r="AA42" s="209" t="e">
        <f>X42/X54</f>
        <v>#DIV/0!</v>
      </c>
      <c r="AB42" s="377" t="e">
        <f>AA42+AA43</f>
        <v>#DIV/0!</v>
      </c>
      <c r="AC42" s="166"/>
    </row>
    <row r="43" spans="2:29" ht="18.75" customHeight="1">
      <c r="B43" s="228" t="s">
        <v>31</v>
      </c>
      <c r="C43" s="208">
        <f>COUNTIFS('1. All Data'!$AB$3:$AB$136,"Finance and treasury management",'1. All Data'!$H$3:$H$136,"On Track to be Achieved")</f>
        <v>9</v>
      </c>
      <c r="D43" s="209">
        <f>C43/C53</f>
        <v>0.69230769230769229</v>
      </c>
      <c r="E43" s="396"/>
      <c r="F43" s="210">
        <f>C43/C54</f>
        <v>1</v>
      </c>
      <c r="G43" s="398"/>
      <c r="I43" s="228" t="s">
        <v>31</v>
      </c>
      <c r="J43" s="208">
        <f>COUNTIFS('1. All Data'!$AB$3:$AB$136,"Finance and Treasury Management",'1. All Data'!$M$3:$M$136,"On Track to be Achieved")</f>
        <v>12</v>
      </c>
      <c r="K43" s="209">
        <f>J43/J53</f>
        <v>0.92307692307692313</v>
      </c>
      <c r="L43" s="396"/>
      <c r="M43" s="210">
        <f>J43/J54</f>
        <v>1</v>
      </c>
      <c r="N43" s="398"/>
      <c r="P43" s="228" t="s">
        <v>31</v>
      </c>
      <c r="Q43" s="208">
        <f>COUNTIFS('1. All Data'!$AB$3:$AB$136,"Finance and Treasury Management",'1. All Data'!$R$3:$R$136,"On Track to be Achieved")</f>
        <v>0</v>
      </c>
      <c r="R43" s="209" t="e">
        <f>Q43/Q53</f>
        <v>#DIV/0!</v>
      </c>
      <c r="S43" s="396"/>
      <c r="T43" s="210" t="e">
        <f>Q43/Q54</f>
        <v>#DIV/0!</v>
      </c>
      <c r="U43" s="398"/>
      <c r="W43" s="228" t="s">
        <v>23</v>
      </c>
      <c r="X43" s="208">
        <f>COUNTIFS('1. All Data'!$AB$3:$AB$136,"Finance and Treasury Management",'1. All Data'!$V$3:$V$136,"Numerical Outturn Within 5% Tolerance")</f>
        <v>0</v>
      </c>
      <c r="Y43" s="209" t="e">
        <f>X43/X53</f>
        <v>#DIV/0!</v>
      </c>
      <c r="Z43" s="396"/>
      <c r="AA43" s="209" t="e">
        <f>X43/X54</f>
        <v>#DIV/0!</v>
      </c>
      <c r="AB43" s="377"/>
      <c r="AC43" s="166"/>
    </row>
    <row r="44" spans="2:29" ht="16.5" customHeight="1">
      <c r="B44" s="408" t="s">
        <v>32</v>
      </c>
      <c r="C44" s="411">
        <f>COUNTIFS('1. All Data'!$AB$3:$AB$136,"Finance and treasury management",'1. All Data'!$H$3:$H$136,"In Danger of Falling Behind Target")</f>
        <v>0</v>
      </c>
      <c r="D44" s="399">
        <f>C44/C53</f>
        <v>0</v>
      </c>
      <c r="E44" s="399">
        <f>D44</f>
        <v>0</v>
      </c>
      <c r="F44" s="402">
        <f>C44/C54</f>
        <v>0</v>
      </c>
      <c r="G44" s="405">
        <f>F44</f>
        <v>0</v>
      </c>
      <c r="I44" s="408" t="s">
        <v>32</v>
      </c>
      <c r="J44" s="411">
        <f>COUNTIFS('1. All Data'!$AB$3:$AB$136,"Finance and Treasury Management",'1. All Data'!$M$3:$M$136,"In Danger of Falling Behind Target")</f>
        <v>0</v>
      </c>
      <c r="K44" s="399">
        <f>J44/J53</f>
        <v>0</v>
      </c>
      <c r="L44" s="399">
        <f>K44</f>
        <v>0</v>
      </c>
      <c r="M44" s="402">
        <f>J44/J54</f>
        <v>0</v>
      </c>
      <c r="N44" s="405">
        <f>M44</f>
        <v>0</v>
      </c>
      <c r="P44" s="408" t="s">
        <v>32</v>
      </c>
      <c r="Q44" s="411">
        <f>COUNTIFS('1. All Data'!$AB$3:$AB$136,"Finance and Treasury Management",'1. All Data'!$R$3:$R$136,"In Danger of Falling Behind Target")</f>
        <v>0</v>
      </c>
      <c r="R44" s="399" t="e">
        <f>Q44/Q53</f>
        <v>#DIV/0!</v>
      </c>
      <c r="S44" s="399" t="e">
        <f>R44</f>
        <v>#DIV/0!</v>
      </c>
      <c r="T44" s="402" t="e">
        <f>Q44/Q54</f>
        <v>#DIV/0!</v>
      </c>
      <c r="U44" s="405" t="e">
        <f>T44</f>
        <v>#DIV/0!</v>
      </c>
      <c r="W44" s="169" t="s">
        <v>24</v>
      </c>
      <c r="X44" s="170">
        <f>COUNTIFS('1. All Data'!$AB$3:$AB$136,"Finance and Treasury Management",'1. All Data'!$V$3:$V$136,"Numerical Outturn Within 10% Tolerance")</f>
        <v>0</v>
      </c>
      <c r="Y44" s="168" t="e">
        <f>X44/X53</f>
        <v>#DIV/0!</v>
      </c>
      <c r="Z44" s="375" t="e">
        <f>SUM(Y44:Y46)</f>
        <v>#DIV/0!</v>
      </c>
      <c r="AA44" s="168" t="e">
        <f>X44/X54</f>
        <v>#DIV/0!</v>
      </c>
      <c r="AB44" s="384" t="e">
        <f>SUM(AA44:AA46)</f>
        <v>#DIV/0!</v>
      </c>
      <c r="AC44" s="166"/>
    </row>
    <row r="45" spans="2:29" ht="16.5" customHeight="1">
      <c r="B45" s="409"/>
      <c r="C45" s="412"/>
      <c r="D45" s="400"/>
      <c r="E45" s="400"/>
      <c r="F45" s="403"/>
      <c r="G45" s="406"/>
      <c r="I45" s="409"/>
      <c r="J45" s="412"/>
      <c r="K45" s="400"/>
      <c r="L45" s="400"/>
      <c r="M45" s="403"/>
      <c r="N45" s="406"/>
      <c r="P45" s="409"/>
      <c r="Q45" s="412"/>
      <c r="R45" s="400"/>
      <c r="S45" s="400"/>
      <c r="T45" s="403"/>
      <c r="U45" s="406"/>
      <c r="W45" s="169" t="s">
        <v>25</v>
      </c>
      <c r="X45" s="170">
        <f>COUNTIFS('1. All Data'!$AB$3:$AB$136,"Finance and Treasury Management",'1. All Data'!$V$3:$V$136,"Target Partially Met")</f>
        <v>0</v>
      </c>
      <c r="Y45" s="168" t="e">
        <f>X45/X53</f>
        <v>#DIV/0!</v>
      </c>
      <c r="Z45" s="375"/>
      <c r="AA45" s="168" t="e">
        <f>X45/X54</f>
        <v>#DIV/0!</v>
      </c>
      <c r="AB45" s="384"/>
      <c r="AC45" s="166"/>
    </row>
    <row r="46" spans="2:29" ht="16.5" customHeight="1">
      <c r="B46" s="410"/>
      <c r="C46" s="413"/>
      <c r="D46" s="401"/>
      <c r="E46" s="401"/>
      <c r="F46" s="404"/>
      <c r="G46" s="407"/>
      <c r="I46" s="410"/>
      <c r="J46" s="413"/>
      <c r="K46" s="401"/>
      <c r="L46" s="401"/>
      <c r="M46" s="404"/>
      <c r="N46" s="407"/>
      <c r="P46" s="410"/>
      <c r="Q46" s="413"/>
      <c r="R46" s="401"/>
      <c r="S46" s="401"/>
      <c r="T46" s="404"/>
      <c r="U46" s="407"/>
      <c r="W46" s="169" t="s">
        <v>28</v>
      </c>
      <c r="X46" s="170">
        <f>COUNTIFS('1. All Data'!$AB$3:$AB$136,"Finance and Treasury Management",'1. All Data'!$V$3:$V$136,"Completion Date Within Reasonable Tolerance")</f>
        <v>0</v>
      </c>
      <c r="Y46" s="168" t="e">
        <f>X46/X53</f>
        <v>#DIV/0!</v>
      </c>
      <c r="Z46" s="375"/>
      <c r="AA46" s="168" t="e">
        <f>X46/X54</f>
        <v>#DIV/0!</v>
      </c>
      <c r="AB46" s="384"/>
      <c r="AC46" s="166"/>
    </row>
    <row r="47" spans="2:29" ht="22.5" customHeight="1">
      <c r="B47" s="211" t="s">
        <v>33</v>
      </c>
      <c r="C47" s="208">
        <f>COUNTIFS('1. All Data'!$AB$3:$AB$136,"Finance and treasury management",'1. All Data'!$H$3:$H$136,"Completed Behind Schedule")</f>
        <v>0</v>
      </c>
      <c r="D47" s="209">
        <f>C47/C53</f>
        <v>0</v>
      </c>
      <c r="E47" s="396">
        <f>D47+D48</f>
        <v>0</v>
      </c>
      <c r="F47" s="210">
        <f>C47/C54</f>
        <v>0</v>
      </c>
      <c r="G47" s="397">
        <f>F47+F48</f>
        <v>0</v>
      </c>
      <c r="I47" s="211" t="s">
        <v>33</v>
      </c>
      <c r="J47" s="208">
        <f>COUNTIFS('1. All Data'!$AB$3:$AB$136,"Finance and Treasury Management",'1. All Data'!$M$3:$M$136,"Completed Behind Schedule")</f>
        <v>0</v>
      </c>
      <c r="K47" s="209">
        <f>J47/J53</f>
        <v>0</v>
      </c>
      <c r="L47" s="396">
        <f>K47+K48</f>
        <v>0</v>
      </c>
      <c r="M47" s="210">
        <f>J47/J54</f>
        <v>0</v>
      </c>
      <c r="N47" s="397">
        <f>M47+M48</f>
        <v>0</v>
      </c>
      <c r="P47" s="211" t="s">
        <v>33</v>
      </c>
      <c r="Q47" s="208">
        <f>COUNTIFS('1. All Data'!$AB$3:$AB$136,"Finance and Treasury Management",'1. All Data'!$R$3:$R$136,"Completed Behind Schedule")</f>
        <v>0</v>
      </c>
      <c r="R47" s="209" t="e">
        <f>Q47/Q53</f>
        <v>#DIV/0!</v>
      </c>
      <c r="S47" s="396" t="e">
        <f>R47+R48</f>
        <v>#DIV/0!</v>
      </c>
      <c r="T47" s="210" t="e">
        <f>Q47/Q54</f>
        <v>#DIV/0!</v>
      </c>
      <c r="U47" s="397" t="e">
        <f>T47+T48</f>
        <v>#DIV/0!</v>
      </c>
      <c r="W47" s="171" t="s">
        <v>27</v>
      </c>
      <c r="X47" s="208">
        <f>COUNTIFS('1. All Data'!$AB$3:$AB$136,"Finance and Treasury Management",'1. All Data'!$V$3:$V$136,"Completed Significantly After Target Deadline")</f>
        <v>0</v>
      </c>
      <c r="Y47" s="209" t="e">
        <f>X47/X53</f>
        <v>#DIV/0!</v>
      </c>
      <c r="Z47" s="396" t="e">
        <f>Y47+Y48</f>
        <v>#DIV/0!</v>
      </c>
      <c r="AA47" s="209" t="e">
        <f>X47/X54</f>
        <v>#DIV/0!</v>
      </c>
      <c r="AB47" s="376" t="e">
        <f>AA47+AA48</f>
        <v>#DIV/0!</v>
      </c>
      <c r="AC47" s="166"/>
    </row>
    <row r="48" spans="2:29" ht="22.5" customHeight="1">
      <c r="B48" s="211" t="s">
        <v>26</v>
      </c>
      <c r="C48" s="208">
        <f>COUNTIFS('1. All Data'!$AB$3:$AB$136,"Finance and treasury management",'1. All Data'!$H$3:$H$136,"Off Target")</f>
        <v>0</v>
      </c>
      <c r="D48" s="209">
        <f>C48/C53</f>
        <v>0</v>
      </c>
      <c r="E48" s="396"/>
      <c r="F48" s="210">
        <f>C48/C54</f>
        <v>0</v>
      </c>
      <c r="G48" s="397"/>
      <c r="I48" s="211" t="s">
        <v>26</v>
      </c>
      <c r="J48" s="208">
        <f>COUNTIFS('1. All Data'!$AB$3:$AB$136,"Finance and Treasury Management",'1. All Data'!$M$3:$M$136,"Off Target")</f>
        <v>0</v>
      </c>
      <c r="K48" s="209">
        <f>J48/J53</f>
        <v>0</v>
      </c>
      <c r="L48" s="396"/>
      <c r="M48" s="210">
        <f>J48/J54</f>
        <v>0</v>
      </c>
      <c r="N48" s="397"/>
      <c r="P48" s="211" t="s">
        <v>26</v>
      </c>
      <c r="Q48" s="208">
        <f>COUNTIFS('1. All Data'!$AB$3:$AB$136,"Finance and Treasury Management",'1. All Data'!$R$3:$R$136,"Off Target")</f>
        <v>0</v>
      </c>
      <c r="R48" s="209" t="e">
        <f>Q48/Q53</f>
        <v>#DIV/0!</v>
      </c>
      <c r="S48" s="396"/>
      <c r="T48" s="210" t="e">
        <f>Q48/Q54</f>
        <v>#DIV/0!</v>
      </c>
      <c r="U48" s="397"/>
      <c r="W48" s="171" t="s">
        <v>26</v>
      </c>
      <c r="X48" s="208">
        <f>COUNTIFS('1. All Data'!$AB$3:$AB$136,"Finance and Treasury Management",'1. All Data'!$V$3:$V$136,"Off Target")</f>
        <v>0</v>
      </c>
      <c r="Y48" s="209" t="e">
        <f>X48/X53</f>
        <v>#DIV/0!</v>
      </c>
      <c r="Z48" s="396"/>
      <c r="AA48" s="209" t="e">
        <f>X48/X54</f>
        <v>#DIV/0!</v>
      </c>
      <c r="AB48" s="376"/>
      <c r="AC48" s="166"/>
    </row>
    <row r="49" spans="2:29" ht="15.75" customHeight="1">
      <c r="B49" s="212" t="s">
        <v>49</v>
      </c>
      <c r="C49" s="208">
        <f>COUNTIFS('1. All Data'!$AB$3:$AB$136,"Finance and treasury management",'1. All Data'!$H$3:$H$136,"Not yet due")</f>
        <v>4</v>
      </c>
      <c r="D49" s="213">
        <f>C49/C53</f>
        <v>0.30769230769230771</v>
      </c>
      <c r="E49" s="213">
        <f>D49</f>
        <v>0.30769230769230771</v>
      </c>
      <c r="F49" s="214"/>
      <c r="G49" s="58"/>
      <c r="I49" s="212" t="s">
        <v>49</v>
      </c>
      <c r="J49" s="208">
        <f>COUNTIFS('1. All Data'!$AB$3:$AB$136,"Finance and Treasury Management",'1. All Data'!$M$3:$M$136,"Not yet due")</f>
        <v>1</v>
      </c>
      <c r="K49" s="213">
        <f>J49/J53</f>
        <v>7.6923076923076927E-2</v>
      </c>
      <c r="L49" s="213">
        <f>K49</f>
        <v>7.6923076923076927E-2</v>
      </c>
      <c r="M49" s="214"/>
      <c r="N49" s="58"/>
      <c r="P49" s="212" t="s">
        <v>49</v>
      </c>
      <c r="Q49" s="208">
        <f>COUNTIFS('1. All Data'!$AB$3:$AB$136,"Finance and Treasury Management",'1. All Data'!$R$3:$R$136,"Not yet due")</f>
        <v>0</v>
      </c>
      <c r="R49" s="213" t="e">
        <f>Q49/Q53</f>
        <v>#DIV/0!</v>
      </c>
      <c r="S49" s="213" t="e">
        <f>R49</f>
        <v>#DIV/0!</v>
      </c>
      <c r="T49" s="214"/>
      <c r="U49" s="58"/>
      <c r="W49" s="172" t="s">
        <v>49</v>
      </c>
      <c r="X49" s="208">
        <f>COUNTIFS('1. All Data'!$AB$3:$AB$136,"Finance and Treasury Management",'1. All Data'!$V$3:$V$136,"Not yet due")</f>
        <v>0</v>
      </c>
      <c r="Y49" s="213" t="e">
        <f>X49/X53</f>
        <v>#DIV/0!</v>
      </c>
      <c r="Z49" s="213" t="e">
        <f>Y49</f>
        <v>#DIV/0!</v>
      </c>
      <c r="AA49" s="174"/>
      <c r="AB49" s="58"/>
      <c r="AC49" s="166"/>
    </row>
    <row r="50" spans="2:29" ht="15.75" customHeight="1">
      <c r="B50" s="212" t="s">
        <v>21</v>
      </c>
      <c r="C50" s="208">
        <f>COUNTIFS('1. All Data'!$AB$3:$AB$136,"Finance and treasury management",'1. All Data'!$H$3:$H$136,"Update not provided")</f>
        <v>0</v>
      </c>
      <c r="D50" s="213">
        <f>C50/C53</f>
        <v>0</v>
      </c>
      <c r="E50" s="213">
        <f>D50</f>
        <v>0</v>
      </c>
      <c r="F50" s="214"/>
      <c r="G50" s="2"/>
      <c r="I50" s="212" t="s">
        <v>21</v>
      </c>
      <c r="J50" s="208">
        <f>COUNTIFS('1. All Data'!$AB$3:$AB$136,"Finance and Treasury Management",'1. All Data'!$M$3:$M$136,"Update not provided")</f>
        <v>0</v>
      </c>
      <c r="K50" s="213">
        <f>J50/J53</f>
        <v>0</v>
      </c>
      <c r="L50" s="213">
        <f>K50</f>
        <v>0</v>
      </c>
      <c r="M50" s="214"/>
      <c r="N50" s="2"/>
      <c r="P50" s="212" t="s">
        <v>21</v>
      </c>
      <c r="Q50" s="208">
        <f>COUNTIFS('1. All Data'!$AB$3:$AB$136,"Finance and Treasury Management",'1. All Data'!$R$3:$R$136,"Update not provided")</f>
        <v>0</v>
      </c>
      <c r="R50" s="213" t="e">
        <f>Q50/Q53</f>
        <v>#DIV/0!</v>
      </c>
      <c r="S50" s="213" t="e">
        <f>R50</f>
        <v>#DIV/0!</v>
      </c>
      <c r="T50" s="214"/>
      <c r="U50" s="2"/>
      <c r="W50" s="172" t="s">
        <v>21</v>
      </c>
      <c r="X50" s="208">
        <f>COUNTIFS('1. All Data'!$AB$3:$AB$136,"Finance and Treasury Management",'1. All Data'!$V$3:$V$136,"Update not provided")</f>
        <v>0</v>
      </c>
      <c r="Y50" s="213" t="e">
        <f>X50/X53</f>
        <v>#DIV/0!</v>
      </c>
      <c r="Z50" s="213" t="e">
        <f>Y50</f>
        <v>#DIV/0!</v>
      </c>
      <c r="AA50" s="174"/>
      <c r="AB50" s="2"/>
      <c r="AC50" s="166"/>
    </row>
    <row r="51" spans="2:29" ht="15.75" customHeight="1">
      <c r="B51" s="215" t="s">
        <v>29</v>
      </c>
      <c r="C51" s="208">
        <f>COUNTIFS('1. All Data'!$AB$3:$AB$136,"Finance and treasury management",'1. All Data'!$H$3:$H$136,"Deferred")</f>
        <v>0</v>
      </c>
      <c r="D51" s="216">
        <f>C51/C53</f>
        <v>0</v>
      </c>
      <c r="E51" s="216">
        <f>D51</f>
        <v>0</v>
      </c>
      <c r="F51" s="217"/>
      <c r="G51" s="58"/>
      <c r="I51" s="215" t="s">
        <v>29</v>
      </c>
      <c r="J51" s="208">
        <f>COUNTIFS('1. All Data'!$AB$3:$AB$136,"Finance and Treasury Management",'1. All Data'!$M$3:$M$136,"Deferred")</f>
        <v>0</v>
      </c>
      <c r="K51" s="216">
        <f>J51/J53</f>
        <v>0</v>
      </c>
      <c r="L51" s="216">
        <f>K51</f>
        <v>0</v>
      </c>
      <c r="M51" s="217"/>
      <c r="N51" s="58"/>
      <c r="P51" s="215" t="s">
        <v>29</v>
      </c>
      <c r="Q51" s="208">
        <f>COUNTIFS('1. All Data'!$AB$3:$AB$136,"Finance and Treasury Management",'1. All Data'!$R$3:$R$136,"Deferred")</f>
        <v>0</v>
      </c>
      <c r="R51" s="216" t="e">
        <f>Q51/Q53</f>
        <v>#DIV/0!</v>
      </c>
      <c r="S51" s="216" t="e">
        <f>R51</f>
        <v>#DIV/0!</v>
      </c>
      <c r="T51" s="217"/>
      <c r="U51" s="58"/>
      <c r="W51" s="175" t="s">
        <v>29</v>
      </c>
      <c r="X51" s="208">
        <f>COUNTIFS('1. All Data'!$AB$3:$AB$136,"Finance and Treasury Management",'1. All Data'!$V$3:$V$136,"Deferred")</f>
        <v>0</v>
      </c>
      <c r="Y51" s="216" t="e">
        <f>X51/X53</f>
        <v>#DIV/0!</v>
      </c>
      <c r="Z51" s="216" t="e">
        <f>Y51</f>
        <v>#DIV/0!</v>
      </c>
      <c r="AA51" s="177"/>
      <c r="AB51" s="58"/>
      <c r="AC51" s="166"/>
    </row>
    <row r="52" spans="2:29" ht="15.75" customHeight="1">
      <c r="B52" s="215" t="s">
        <v>30</v>
      </c>
      <c r="C52" s="208">
        <f>COUNTIFS('1. All Data'!$AB$3:$AB$136,"Finance and treasury management",'1. All Data'!$H$3:$H$136,"Deleted")</f>
        <v>0</v>
      </c>
      <c r="D52" s="216">
        <f>C52/C53</f>
        <v>0</v>
      </c>
      <c r="E52" s="216">
        <f>D52</f>
        <v>0</v>
      </c>
      <c r="F52" s="217"/>
      <c r="G52" s="29"/>
      <c r="I52" s="215" t="s">
        <v>30</v>
      </c>
      <c r="J52" s="208">
        <f>COUNTIFS('1. All Data'!$AB$3:$AB$136,"Finance and Treasury Management",'1. All Data'!$M$3:$M$136,"Deleted")</f>
        <v>0</v>
      </c>
      <c r="K52" s="216">
        <f>J52/J53</f>
        <v>0</v>
      </c>
      <c r="L52" s="216">
        <f>K52</f>
        <v>0</v>
      </c>
      <c r="M52" s="217"/>
      <c r="N52" s="29"/>
      <c r="P52" s="215" t="s">
        <v>30</v>
      </c>
      <c r="Q52" s="208">
        <f>COUNTIFS('1. All Data'!$AB$3:$AB$136,"Finance and Treasury Management",'1. All Data'!$R$3:$R$136,"Deleted")</f>
        <v>0</v>
      </c>
      <c r="R52" s="216" t="e">
        <f>Q52/Q53</f>
        <v>#DIV/0!</v>
      </c>
      <c r="S52" s="216" t="e">
        <f>R52</f>
        <v>#DIV/0!</v>
      </c>
      <c r="T52" s="217"/>
      <c r="U52" s="29"/>
      <c r="W52" s="175" t="s">
        <v>30</v>
      </c>
      <c r="X52" s="208">
        <f>COUNTIFS('1. All Data'!$AB$3:$AB$136,"Finance and Treasury Management",'1. All Data'!$V$3:$V$136,"Deleted")</f>
        <v>0</v>
      </c>
      <c r="Y52" s="216" t="e">
        <f>X52/X53</f>
        <v>#DIV/0!</v>
      </c>
      <c r="Z52" s="216" t="e">
        <f>Y52</f>
        <v>#DIV/0!</v>
      </c>
      <c r="AA52" s="177"/>
      <c r="AB52" s="3"/>
      <c r="AC52" s="166"/>
    </row>
    <row r="53" spans="2:29" ht="15.75" customHeight="1">
      <c r="B53" s="218" t="s">
        <v>51</v>
      </c>
      <c r="C53" s="219">
        <f>SUM(C42:C52)</f>
        <v>13</v>
      </c>
      <c r="D53" s="177"/>
      <c r="E53" s="177"/>
      <c r="F53" s="220"/>
      <c r="G53" s="58"/>
      <c r="I53" s="218" t="s">
        <v>51</v>
      </c>
      <c r="J53" s="219">
        <f>SUM(J42:J52)</f>
        <v>13</v>
      </c>
      <c r="K53" s="177"/>
      <c r="L53" s="177"/>
      <c r="M53" s="220"/>
      <c r="N53" s="58"/>
      <c r="P53" s="218" t="s">
        <v>51</v>
      </c>
      <c r="Q53" s="219">
        <f>SUM(Q42:Q52)</f>
        <v>0</v>
      </c>
      <c r="R53" s="177"/>
      <c r="S53" s="177"/>
      <c r="T53" s="220"/>
      <c r="U53" s="58"/>
      <c r="W53" s="178" t="s">
        <v>51</v>
      </c>
      <c r="X53" s="219">
        <f>SUM(X42:X52)</f>
        <v>0</v>
      </c>
      <c r="Y53" s="177"/>
      <c r="Z53" s="177"/>
      <c r="AA53" s="58"/>
      <c r="AB53" s="58"/>
      <c r="AC53" s="166"/>
    </row>
    <row r="54" spans="2:29" ht="15.75" customHeight="1">
      <c r="B54" s="218" t="s">
        <v>52</v>
      </c>
      <c r="C54" s="219">
        <f>C53-C52-C51-C50-C49</f>
        <v>9</v>
      </c>
      <c r="D54" s="58"/>
      <c r="E54" s="58"/>
      <c r="F54" s="220"/>
      <c r="G54" s="58"/>
      <c r="I54" s="218" t="s">
        <v>52</v>
      </c>
      <c r="J54" s="219">
        <f>J53-J52-J51-J50-J49</f>
        <v>12</v>
      </c>
      <c r="K54" s="58"/>
      <c r="L54" s="58"/>
      <c r="M54" s="220"/>
      <c r="N54" s="58"/>
      <c r="P54" s="218" t="s">
        <v>52</v>
      </c>
      <c r="Q54" s="219">
        <f>Q53-Q52-Q51-Q50-Q49</f>
        <v>0</v>
      </c>
      <c r="R54" s="58"/>
      <c r="S54" s="58"/>
      <c r="T54" s="220"/>
      <c r="U54" s="58"/>
      <c r="W54" s="178" t="s">
        <v>52</v>
      </c>
      <c r="X54" s="219">
        <f>X53-X52-X51-X50-X49</f>
        <v>0</v>
      </c>
      <c r="Y54" s="58"/>
      <c r="Z54" s="58"/>
      <c r="AA54" s="58"/>
      <c r="AB54" s="58"/>
      <c r="AC54" s="166"/>
    </row>
    <row r="55" spans="2:29" ht="15.75" customHeight="1">
      <c r="W55" s="180"/>
      <c r="AA55" s="2"/>
      <c r="AC55" s="166"/>
    </row>
    <row r="56" spans="2:29" ht="15.75" customHeight="1">
      <c r="W56" s="165"/>
      <c r="X56" s="222"/>
      <c r="Y56" s="165"/>
      <c r="Z56" s="165"/>
      <c r="AA56" s="165"/>
      <c r="AB56" s="186"/>
      <c r="AC56" s="166"/>
    </row>
    <row r="57" spans="2:29" ht="15.75" customHeight="1">
      <c r="W57" s="223"/>
      <c r="X57" s="224"/>
      <c r="Y57" s="58"/>
      <c r="Z57" s="58"/>
      <c r="AA57" s="58"/>
      <c r="AB57" s="177"/>
      <c r="AC57" s="166"/>
    </row>
    <row r="58" spans="2:29" s="166" customFormat="1" ht="15.75">
      <c r="B58" s="225" t="s">
        <v>429</v>
      </c>
      <c r="C58" s="204"/>
      <c r="D58" s="204"/>
      <c r="E58" s="204"/>
      <c r="F58" s="205"/>
      <c r="G58" s="204"/>
      <c r="I58" s="225" t="s">
        <v>429</v>
      </c>
      <c r="J58" s="204"/>
      <c r="K58" s="204"/>
      <c r="L58" s="204"/>
      <c r="M58" s="205"/>
      <c r="N58" s="204"/>
      <c r="P58" s="225" t="s">
        <v>429</v>
      </c>
      <c r="Q58" s="204"/>
      <c r="R58" s="204"/>
      <c r="S58" s="204"/>
      <c r="T58" s="205"/>
      <c r="U58" s="204"/>
      <c r="W58" s="225" t="s">
        <v>429</v>
      </c>
      <c r="X58" s="204"/>
      <c r="Y58" s="204"/>
      <c r="Z58" s="204"/>
      <c r="AA58" s="205"/>
      <c r="AB58" s="204"/>
    </row>
    <row r="59" spans="2:29" ht="41.25" customHeight="1">
      <c r="B59" s="206" t="s">
        <v>42</v>
      </c>
      <c r="C59" s="207" t="s">
        <v>43</v>
      </c>
      <c r="D59" s="207" t="s">
        <v>44</v>
      </c>
      <c r="E59" s="207" t="s">
        <v>45</v>
      </c>
      <c r="F59" s="206" t="s">
        <v>46</v>
      </c>
      <c r="G59" s="207" t="s">
        <v>47</v>
      </c>
      <c r="I59" s="206" t="s">
        <v>42</v>
      </c>
      <c r="J59" s="207" t="s">
        <v>43</v>
      </c>
      <c r="K59" s="207" t="s">
        <v>44</v>
      </c>
      <c r="L59" s="207" t="s">
        <v>45</v>
      </c>
      <c r="M59" s="206" t="s">
        <v>46</v>
      </c>
      <c r="N59" s="207" t="s">
        <v>47</v>
      </c>
      <c r="P59" s="206" t="s">
        <v>42</v>
      </c>
      <c r="Q59" s="207" t="s">
        <v>43</v>
      </c>
      <c r="R59" s="207" t="s">
        <v>44</v>
      </c>
      <c r="S59" s="207" t="s">
        <v>45</v>
      </c>
      <c r="T59" s="206" t="s">
        <v>46</v>
      </c>
      <c r="U59" s="207" t="s">
        <v>47</v>
      </c>
      <c r="W59" s="164" t="s">
        <v>42</v>
      </c>
      <c r="X59" s="164" t="s">
        <v>43</v>
      </c>
      <c r="Y59" s="164" t="s">
        <v>44</v>
      </c>
      <c r="Z59" s="164" t="s">
        <v>45</v>
      </c>
      <c r="AA59" s="164" t="s">
        <v>46</v>
      </c>
      <c r="AB59" s="164" t="s">
        <v>47</v>
      </c>
      <c r="AC59" s="166"/>
    </row>
    <row r="60" spans="2:29" ht="27.75" customHeight="1">
      <c r="B60" s="228" t="s">
        <v>48</v>
      </c>
      <c r="C60" s="208">
        <f>COUNTIFS('1. All Data'!$AB$3:$AB$136,"Leader",'1. All Data'!$H$3:$H$136,"Fully Achieved")</f>
        <v>4</v>
      </c>
      <c r="D60" s="209">
        <f>C60/C71</f>
        <v>0.26666666666666666</v>
      </c>
      <c r="E60" s="396">
        <f>D60+D61</f>
        <v>0.66666666666666674</v>
      </c>
      <c r="F60" s="210">
        <f>C60/C72</f>
        <v>0.4</v>
      </c>
      <c r="G60" s="398">
        <f>F60+F61</f>
        <v>1</v>
      </c>
      <c r="I60" s="228" t="s">
        <v>48</v>
      </c>
      <c r="J60" s="208">
        <f>COUNTIFS('1. All Data'!$AB$3:$AB$136,"Leader",'1. All Data'!$M$3:$M$136,"Fully Achieved")</f>
        <v>7</v>
      </c>
      <c r="K60" s="209">
        <f>J60/J71</f>
        <v>0.46666666666666667</v>
      </c>
      <c r="L60" s="396">
        <f>K60+K61</f>
        <v>0.93333333333333335</v>
      </c>
      <c r="M60" s="210">
        <f>J60/J72</f>
        <v>0.5</v>
      </c>
      <c r="N60" s="398">
        <f>M60+M61</f>
        <v>1</v>
      </c>
      <c r="P60" s="228" t="s">
        <v>48</v>
      </c>
      <c r="Q60" s="208">
        <f>COUNTIFS('1. All Data'!$AB$3:$AB$136,"Leader",'1. All Data'!$R$3:$R$136,"Fully Achieved")</f>
        <v>0</v>
      </c>
      <c r="R60" s="209" t="e">
        <f>Q60/Q71</f>
        <v>#DIV/0!</v>
      </c>
      <c r="S60" s="396" t="e">
        <f>R60+R61</f>
        <v>#DIV/0!</v>
      </c>
      <c r="T60" s="210" t="e">
        <f>Q60/Q72</f>
        <v>#DIV/0!</v>
      </c>
      <c r="U60" s="398" t="e">
        <f>T60+T61</f>
        <v>#DIV/0!</v>
      </c>
      <c r="W60" s="228" t="s">
        <v>48</v>
      </c>
      <c r="X60" s="208">
        <f>COUNTIFS('1. All Data'!$AB$3:$AB$136,"Leader",'1. All Data'!$V$3:$V$136,"Fully Achieved")</f>
        <v>0</v>
      </c>
      <c r="Y60" s="209" t="e">
        <f>X60/X71</f>
        <v>#DIV/0!</v>
      </c>
      <c r="Z60" s="396" t="e">
        <f>Y60+Y61</f>
        <v>#DIV/0!</v>
      </c>
      <c r="AA60" s="209" t="e">
        <f>X60/X72</f>
        <v>#DIV/0!</v>
      </c>
      <c r="AB60" s="377" t="e">
        <f>AA60+AA61</f>
        <v>#DIV/0!</v>
      </c>
      <c r="AC60" s="166"/>
    </row>
    <row r="61" spans="2:29" ht="27.75" customHeight="1">
      <c r="B61" s="228" t="s">
        <v>31</v>
      </c>
      <c r="C61" s="208">
        <f>COUNTIFS('1. All Data'!$AB$3:$AB$136,"Leader",'1. All Data'!$H$3:$H$136,"On Track to be Achieved")</f>
        <v>6</v>
      </c>
      <c r="D61" s="209">
        <f>C61/C71</f>
        <v>0.4</v>
      </c>
      <c r="E61" s="396"/>
      <c r="F61" s="210">
        <f>C61/C72</f>
        <v>0.6</v>
      </c>
      <c r="G61" s="398"/>
      <c r="I61" s="228" t="s">
        <v>31</v>
      </c>
      <c r="J61" s="208">
        <f>COUNTIFS('1. All Data'!$AB$3:$AB$136,"Leader",'1. All Data'!$M$3:$M$136,"On Track to be Achieved")</f>
        <v>7</v>
      </c>
      <c r="K61" s="209">
        <f>J61/J71</f>
        <v>0.46666666666666667</v>
      </c>
      <c r="L61" s="396"/>
      <c r="M61" s="210">
        <f>J61/J72</f>
        <v>0.5</v>
      </c>
      <c r="N61" s="398"/>
      <c r="P61" s="228" t="s">
        <v>31</v>
      </c>
      <c r="Q61" s="208">
        <f>COUNTIFS('1. All Data'!$AB$3:$AB$136,"Leader",'1. All Data'!$R$3:$R$136,"On Track to be Achieved")</f>
        <v>0</v>
      </c>
      <c r="R61" s="209" t="e">
        <f>Q61/Q71</f>
        <v>#DIV/0!</v>
      </c>
      <c r="S61" s="396"/>
      <c r="T61" s="210" t="e">
        <f>Q61/Q72</f>
        <v>#DIV/0!</v>
      </c>
      <c r="U61" s="398"/>
      <c r="W61" s="228" t="s">
        <v>23</v>
      </c>
      <c r="X61" s="208">
        <f>COUNTIFS('1. All Data'!$AB$3:$AB$136,"Leader",'1. All Data'!$V$3:$V$136,"Numerical Outturn Within 5% Tolerance")</f>
        <v>0</v>
      </c>
      <c r="Y61" s="209" t="e">
        <f>X61/X71</f>
        <v>#DIV/0!</v>
      </c>
      <c r="Z61" s="396"/>
      <c r="AA61" s="209" t="e">
        <f>X61/X72</f>
        <v>#DIV/0!</v>
      </c>
      <c r="AB61" s="377"/>
      <c r="AC61" s="166"/>
    </row>
    <row r="62" spans="2:29" ht="21" customHeight="1">
      <c r="B62" s="408" t="s">
        <v>32</v>
      </c>
      <c r="C62" s="411">
        <f>COUNTIFS('1. All Data'!$AB$3:$AB$136,"Leader",'1. All Data'!$H$3:$H$136,"In Danger of Falling Behind Target")</f>
        <v>0</v>
      </c>
      <c r="D62" s="399">
        <f>C62/C71</f>
        <v>0</v>
      </c>
      <c r="E62" s="399">
        <f>D62</f>
        <v>0</v>
      </c>
      <c r="F62" s="402">
        <f>C62/C72</f>
        <v>0</v>
      </c>
      <c r="G62" s="405">
        <f>F62</f>
        <v>0</v>
      </c>
      <c r="I62" s="408" t="s">
        <v>32</v>
      </c>
      <c r="J62" s="411">
        <f>COUNTIFS('1. All Data'!$AB$3:$AB$136,"Leader",'1. All Data'!$M$3:$M$136,"In Danger of Falling Behind Target")</f>
        <v>0</v>
      </c>
      <c r="K62" s="399">
        <f>J62/J71</f>
        <v>0</v>
      </c>
      <c r="L62" s="399">
        <f>K62</f>
        <v>0</v>
      </c>
      <c r="M62" s="402">
        <f>J62/J72</f>
        <v>0</v>
      </c>
      <c r="N62" s="405">
        <f>M62</f>
        <v>0</v>
      </c>
      <c r="P62" s="408" t="s">
        <v>32</v>
      </c>
      <c r="Q62" s="411">
        <f>COUNTIFS('1. All Data'!$AB$3:$AB$136,"Leader",'1. All Data'!$R$3:$R$136,"In Danger of Falling Behind Target")</f>
        <v>0</v>
      </c>
      <c r="R62" s="399" t="e">
        <f>Q62/Q71</f>
        <v>#DIV/0!</v>
      </c>
      <c r="S62" s="399" t="e">
        <f>R62</f>
        <v>#DIV/0!</v>
      </c>
      <c r="T62" s="402" t="e">
        <f>Q62/Q72</f>
        <v>#DIV/0!</v>
      </c>
      <c r="U62" s="405" t="e">
        <f>T62</f>
        <v>#DIV/0!</v>
      </c>
      <c r="W62" s="169" t="s">
        <v>24</v>
      </c>
      <c r="X62" s="170">
        <f>COUNTIFS('1. All Data'!$AB$3:$AB$136,"Leader",'1. All Data'!$V$3:$V$136,"Numerical Outturn Within 10% Tolerance")</f>
        <v>0</v>
      </c>
      <c r="Y62" s="168" t="e">
        <f>X62/X71</f>
        <v>#DIV/0!</v>
      </c>
      <c r="Z62" s="375" t="e">
        <f>SUM(Y62:Y64)</f>
        <v>#DIV/0!</v>
      </c>
      <c r="AA62" s="168" t="e">
        <f>X62/X72</f>
        <v>#DIV/0!</v>
      </c>
      <c r="AB62" s="384" t="e">
        <f>SUM(AA62:AA64)</f>
        <v>#DIV/0!</v>
      </c>
      <c r="AC62" s="166"/>
    </row>
    <row r="63" spans="2:29" ht="18.75" customHeight="1">
      <c r="B63" s="409"/>
      <c r="C63" s="412"/>
      <c r="D63" s="400"/>
      <c r="E63" s="400"/>
      <c r="F63" s="403"/>
      <c r="G63" s="406"/>
      <c r="I63" s="409"/>
      <c r="J63" s="412"/>
      <c r="K63" s="400"/>
      <c r="L63" s="400"/>
      <c r="M63" s="403"/>
      <c r="N63" s="406"/>
      <c r="P63" s="409"/>
      <c r="Q63" s="412"/>
      <c r="R63" s="400"/>
      <c r="S63" s="400"/>
      <c r="T63" s="403"/>
      <c r="U63" s="406"/>
      <c r="W63" s="169" t="s">
        <v>25</v>
      </c>
      <c r="X63" s="170">
        <f>COUNTIFS('1. All Data'!$AB$3:$AB$136,"Leader",'1. All Data'!$V$3:$V$136,"Target Partially Met")</f>
        <v>0</v>
      </c>
      <c r="Y63" s="168" t="e">
        <f>X63/X71</f>
        <v>#DIV/0!</v>
      </c>
      <c r="Z63" s="375"/>
      <c r="AA63" s="168" t="e">
        <f>X63/X72</f>
        <v>#DIV/0!</v>
      </c>
      <c r="AB63" s="384"/>
      <c r="AC63" s="166"/>
    </row>
    <row r="64" spans="2:29" ht="20.25" customHeight="1">
      <c r="B64" s="410"/>
      <c r="C64" s="413"/>
      <c r="D64" s="401"/>
      <c r="E64" s="401"/>
      <c r="F64" s="404"/>
      <c r="G64" s="407"/>
      <c r="I64" s="410"/>
      <c r="J64" s="413"/>
      <c r="K64" s="401"/>
      <c r="L64" s="401"/>
      <c r="M64" s="404"/>
      <c r="N64" s="407"/>
      <c r="P64" s="410"/>
      <c r="Q64" s="413"/>
      <c r="R64" s="401"/>
      <c r="S64" s="401"/>
      <c r="T64" s="404"/>
      <c r="U64" s="407"/>
      <c r="W64" s="169" t="s">
        <v>28</v>
      </c>
      <c r="X64" s="170">
        <f>COUNTIFS('1. All Data'!$AB$3:$AB$136,"Leader",'1. All Data'!$V$3:$V$136,"Completion Date Within Reasonable Tolerance")</f>
        <v>0</v>
      </c>
      <c r="Y64" s="168" t="e">
        <f>X64/X71</f>
        <v>#DIV/0!</v>
      </c>
      <c r="Z64" s="375"/>
      <c r="AA64" s="168" t="e">
        <f>X64/X72</f>
        <v>#DIV/0!</v>
      </c>
      <c r="AB64" s="384"/>
      <c r="AC64" s="166"/>
    </row>
    <row r="65" spans="2:29" ht="30" customHeight="1">
      <c r="B65" s="211" t="s">
        <v>33</v>
      </c>
      <c r="C65" s="208">
        <f>COUNTIFS('1. All Data'!$AB$3:$AB$136,"Leader",'1. All Data'!$H$3:$H$136,"Completed Behind Schedule")</f>
        <v>0</v>
      </c>
      <c r="D65" s="209">
        <f>C65/C71</f>
        <v>0</v>
      </c>
      <c r="E65" s="396">
        <f>D65+D66</f>
        <v>0</v>
      </c>
      <c r="F65" s="210">
        <f>C65/C72</f>
        <v>0</v>
      </c>
      <c r="G65" s="397">
        <f>F65+F66</f>
        <v>0</v>
      </c>
      <c r="I65" s="211" t="s">
        <v>33</v>
      </c>
      <c r="J65" s="208">
        <f>COUNTIFS('1. All Data'!$AB$3:$AB$136,"Leader",'1. All Data'!$M$3:$M$136,"Completed Behind Schedule")</f>
        <v>0</v>
      </c>
      <c r="K65" s="209">
        <f>J65/J71</f>
        <v>0</v>
      </c>
      <c r="L65" s="396">
        <f>K65+K66</f>
        <v>0</v>
      </c>
      <c r="M65" s="210">
        <f>J65/J72</f>
        <v>0</v>
      </c>
      <c r="N65" s="397">
        <f>M65+M66</f>
        <v>0</v>
      </c>
      <c r="P65" s="211" t="s">
        <v>33</v>
      </c>
      <c r="Q65" s="208">
        <f>COUNTIFS('1. All Data'!$AB$3:$AB$136,"Leader",'1. All Data'!$R$3:$R$136,"Completed Behind Schedule")</f>
        <v>0</v>
      </c>
      <c r="R65" s="209" t="e">
        <f>Q65/Q71</f>
        <v>#DIV/0!</v>
      </c>
      <c r="S65" s="396" t="e">
        <f>R65+R66</f>
        <v>#DIV/0!</v>
      </c>
      <c r="T65" s="210" t="e">
        <f>Q65/Q72</f>
        <v>#DIV/0!</v>
      </c>
      <c r="U65" s="397" t="e">
        <f>T65+T66</f>
        <v>#DIV/0!</v>
      </c>
      <c r="W65" s="171" t="s">
        <v>27</v>
      </c>
      <c r="X65" s="208">
        <f>COUNTIFS('1. All Data'!$AB$3:$AB$136,"Leader",'1. All Data'!$V$3:$V$136,"Completed Significantly After Target Deadline")</f>
        <v>0</v>
      </c>
      <c r="Y65" s="209" t="e">
        <f>X65/X71</f>
        <v>#DIV/0!</v>
      </c>
      <c r="Z65" s="396" t="e">
        <f>Y65+Y66</f>
        <v>#DIV/0!</v>
      </c>
      <c r="AA65" s="168" t="e">
        <f>X65/X72</f>
        <v>#DIV/0!</v>
      </c>
      <c r="AB65" s="376" t="e">
        <f>AA65+AA66</f>
        <v>#DIV/0!</v>
      </c>
      <c r="AC65" s="166"/>
    </row>
    <row r="66" spans="2:29" ht="30" customHeight="1">
      <c r="B66" s="211" t="s">
        <v>26</v>
      </c>
      <c r="C66" s="208">
        <f>COUNTIFS('1. All Data'!$AB$3:$AB$136,"Leader",'1. All Data'!$H$3:$H$136,"Off Target")</f>
        <v>0</v>
      </c>
      <c r="D66" s="209">
        <f>C66/C71</f>
        <v>0</v>
      </c>
      <c r="E66" s="396"/>
      <c r="F66" s="210">
        <f>C66/C72</f>
        <v>0</v>
      </c>
      <c r="G66" s="397"/>
      <c r="I66" s="211" t="s">
        <v>26</v>
      </c>
      <c r="J66" s="208">
        <f>COUNTIFS('1. All Data'!$AB$3:$AB$136,"Leader",'1. All Data'!$M$3:$M$136,"Off Target")</f>
        <v>0</v>
      </c>
      <c r="K66" s="209">
        <f>J66/J71</f>
        <v>0</v>
      </c>
      <c r="L66" s="396"/>
      <c r="M66" s="210">
        <f>J66/J72</f>
        <v>0</v>
      </c>
      <c r="N66" s="397"/>
      <c r="P66" s="211" t="s">
        <v>26</v>
      </c>
      <c r="Q66" s="208">
        <f>COUNTIFS('1. All Data'!$AB$3:$AB$136,"Leader",'1. All Data'!$R$3:$R$136,"Off Target")</f>
        <v>0</v>
      </c>
      <c r="R66" s="209" t="e">
        <f>Q66/Q71</f>
        <v>#DIV/0!</v>
      </c>
      <c r="S66" s="396"/>
      <c r="T66" s="210" t="e">
        <f>Q66/Q72</f>
        <v>#DIV/0!</v>
      </c>
      <c r="U66" s="397"/>
      <c r="W66" s="171" t="s">
        <v>26</v>
      </c>
      <c r="X66" s="208">
        <f>COUNTIFS('1. All Data'!$AB$3:$AB$136,"Leader",'1. All Data'!$V$3:$V$136,"Off Target")</f>
        <v>0</v>
      </c>
      <c r="Y66" s="209" t="e">
        <f>X66/X71</f>
        <v>#DIV/0!</v>
      </c>
      <c r="Z66" s="396"/>
      <c r="AA66" s="168" t="e">
        <f>X66/X72</f>
        <v>#DIV/0!</v>
      </c>
      <c r="AB66" s="376"/>
      <c r="AC66" s="166"/>
    </row>
    <row r="67" spans="2:29" ht="15.75" customHeight="1">
      <c r="B67" s="212" t="s">
        <v>49</v>
      </c>
      <c r="C67" s="208">
        <f>COUNTIFS('1. All Data'!$AB$3:$AB$136,"Leader",'1. All Data'!$H$3:$H$136,"Not yet due")</f>
        <v>5</v>
      </c>
      <c r="D67" s="213">
        <f>C67/C71</f>
        <v>0.33333333333333331</v>
      </c>
      <c r="E67" s="213">
        <f>D67</f>
        <v>0.33333333333333331</v>
      </c>
      <c r="F67" s="214"/>
      <c r="G67" s="58"/>
      <c r="I67" s="212" t="s">
        <v>49</v>
      </c>
      <c r="J67" s="208">
        <f>COUNTIFS('1. All Data'!$AB$3:$AB$136,"Leader",'1. All Data'!$M$3:$M$136,"Not yet due")</f>
        <v>1</v>
      </c>
      <c r="K67" s="213">
        <f>J67/J71</f>
        <v>6.6666666666666666E-2</v>
      </c>
      <c r="L67" s="213">
        <f>K67</f>
        <v>6.6666666666666666E-2</v>
      </c>
      <c r="M67" s="214"/>
      <c r="N67" s="58"/>
      <c r="P67" s="212" t="s">
        <v>49</v>
      </c>
      <c r="Q67" s="208">
        <f>COUNTIFS('1. All Data'!$AB$3:$AB$136,"Leader",'1. All Data'!$R$3:$R$136,"Not yet due")</f>
        <v>0</v>
      </c>
      <c r="R67" s="213" t="e">
        <f>Q67/Q71</f>
        <v>#DIV/0!</v>
      </c>
      <c r="S67" s="213" t="e">
        <f>R67</f>
        <v>#DIV/0!</v>
      </c>
      <c r="T67" s="214"/>
      <c r="U67" s="58"/>
      <c r="W67" s="172" t="s">
        <v>49</v>
      </c>
      <c r="X67" s="208">
        <f>COUNTIFS('1. All Data'!$AB$3:$AB$136,"Leader",'1. All Data'!$V$3:$V$136,"Not yet due")</f>
        <v>0</v>
      </c>
      <c r="Y67" s="213" t="e">
        <f>X67/X71</f>
        <v>#DIV/0!</v>
      </c>
      <c r="Z67" s="213" t="e">
        <f>Y67</f>
        <v>#DIV/0!</v>
      </c>
      <c r="AA67" s="174"/>
      <c r="AB67" s="58"/>
      <c r="AC67" s="166"/>
    </row>
    <row r="68" spans="2:29" ht="15.75" customHeight="1">
      <c r="B68" s="212" t="s">
        <v>21</v>
      </c>
      <c r="C68" s="208">
        <f>COUNTIFS('1. All Data'!$AB$3:$AB$136,"Leader",'1. All Data'!$H$3:$H$136,"Update not provided")</f>
        <v>0</v>
      </c>
      <c r="D68" s="213">
        <f>C68/C71</f>
        <v>0</v>
      </c>
      <c r="E68" s="213">
        <f>D68</f>
        <v>0</v>
      </c>
      <c r="F68" s="214"/>
      <c r="G68" s="2"/>
      <c r="I68" s="212" t="s">
        <v>21</v>
      </c>
      <c r="J68" s="208">
        <f>COUNTIFS('1. All Data'!$AB$3:$AB$136,"Leader",'1. All Data'!$M$3:$M$136,"Update not provided")</f>
        <v>0</v>
      </c>
      <c r="K68" s="213">
        <f>J68/J71</f>
        <v>0</v>
      </c>
      <c r="L68" s="213">
        <f>K68</f>
        <v>0</v>
      </c>
      <c r="M68" s="214"/>
      <c r="N68" s="2"/>
      <c r="P68" s="212" t="s">
        <v>21</v>
      </c>
      <c r="Q68" s="208">
        <f>COUNTIFS('1. All Data'!$AB$3:$AB$136,"Leader",'1. All Data'!$R$3:$R$136,"Update not provided")</f>
        <v>0</v>
      </c>
      <c r="R68" s="213" t="e">
        <f>Q68/Q71</f>
        <v>#DIV/0!</v>
      </c>
      <c r="S68" s="213" t="e">
        <f>R68</f>
        <v>#DIV/0!</v>
      </c>
      <c r="T68" s="214"/>
      <c r="U68" s="2"/>
      <c r="W68" s="172" t="s">
        <v>21</v>
      </c>
      <c r="X68" s="208">
        <f>COUNTIFS('1. All Data'!$AB$3:$AB$136,"Leader",'1. All Data'!$V$3:$V$136,"Update not provided")</f>
        <v>0</v>
      </c>
      <c r="Y68" s="213" t="e">
        <f>X68/X71</f>
        <v>#DIV/0!</v>
      </c>
      <c r="Z68" s="213" t="e">
        <f>Y68</f>
        <v>#DIV/0!</v>
      </c>
      <c r="AA68" s="174"/>
      <c r="AB68" s="2"/>
      <c r="AC68" s="166"/>
    </row>
    <row r="69" spans="2:29" ht="15.75" customHeight="1">
      <c r="B69" s="215" t="s">
        <v>29</v>
      </c>
      <c r="C69" s="208">
        <f>COUNTIFS('1. All Data'!$AB$3:$AB$136,"Leader",'1. All Data'!$H$3:$H$136,"Deferred")</f>
        <v>0</v>
      </c>
      <c r="D69" s="216">
        <f>C69/C71</f>
        <v>0</v>
      </c>
      <c r="E69" s="216">
        <f>D69</f>
        <v>0</v>
      </c>
      <c r="F69" s="217"/>
      <c r="G69" s="58"/>
      <c r="I69" s="215" t="s">
        <v>29</v>
      </c>
      <c r="J69" s="208">
        <f>COUNTIFS('1. All Data'!$AB$3:$AB$136,"Leader",'1. All Data'!$M$3:$M$136,"Deferred")</f>
        <v>0</v>
      </c>
      <c r="K69" s="216">
        <f>J69/J71</f>
        <v>0</v>
      </c>
      <c r="L69" s="216">
        <f>K69</f>
        <v>0</v>
      </c>
      <c r="M69" s="217"/>
      <c r="N69" s="58"/>
      <c r="P69" s="215" t="s">
        <v>29</v>
      </c>
      <c r="Q69" s="208">
        <f>COUNTIFS('1. All Data'!$AB$3:$AB$136,"Leader",'1. All Data'!$R$3:$R$136,"Deferred")</f>
        <v>0</v>
      </c>
      <c r="R69" s="216" t="e">
        <f>Q69/Q71</f>
        <v>#DIV/0!</v>
      </c>
      <c r="S69" s="216" t="e">
        <f>R69</f>
        <v>#DIV/0!</v>
      </c>
      <c r="T69" s="217"/>
      <c r="U69" s="58"/>
      <c r="W69" s="175" t="s">
        <v>29</v>
      </c>
      <c r="X69" s="208">
        <f>COUNTIFS('1. All Data'!$AB$3:$AB$136,"Leader",'1. All Data'!$V$3:$V$136,"Deferred")</f>
        <v>0</v>
      </c>
      <c r="Y69" s="216" t="e">
        <f>X69/X71</f>
        <v>#DIV/0!</v>
      </c>
      <c r="Z69" s="216" t="e">
        <f>Y69</f>
        <v>#DIV/0!</v>
      </c>
      <c r="AA69" s="177"/>
      <c r="AB69" s="58"/>
      <c r="AC69" s="166"/>
    </row>
    <row r="70" spans="2:29" ht="15.75" customHeight="1">
      <c r="B70" s="215" t="s">
        <v>30</v>
      </c>
      <c r="C70" s="208">
        <f>COUNTIFS('1. All Data'!$AB$3:$AB$136,"Leader",'1. All Data'!$H$3:$H$136,"Deleted")</f>
        <v>0</v>
      </c>
      <c r="D70" s="216">
        <f>C70/C71</f>
        <v>0</v>
      </c>
      <c r="E70" s="216">
        <f>D70</f>
        <v>0</v>
      </c>
      <c r="F70" s="217"/>
      <c r="G70" s="29"/>
      <c r="I70" s="215" t="s">
        <v>30</v>
      </c>
      <c r="J70" s="208">
        <f>COUNTIFS('1. All Data'!$AB$3:$AB$136,"Leader",'1. All Data'!$M$3:$M$136,"Deleted")</f>
        <v>0</v>
      </c>
      <c r="K70" s="216">
        <f>J70/J71</f>
        <v>0</v>
      </c>
      <c r="L70" s="216">
        <f>K70</f>
        <v>0</v>
      </c>
      <c r="M70" s="217"/>
      <c r="N70" s="29"/>
      <c r="P70" s="215" t="s">
        <v>30</v>
      </c>
      <c r="Q70" s="208">
        <f>COUNTIFS('1. All Data'!$AB$3:$AB$136,"Leader",'1. All Data'!$R$3:$R$136,"Deleted")</f>
        <v>0</v>
      </c>
      <c r="R70" s="216" t="e">
        <f>Q70/Q71</f>
        <v>#DIV/0!</v>
      </c>
      <c r="S70" s="216" t="e">
        <f>R70</f>
        <v>#DIV/0!</v>
      </c>
      <c r="T70" s="217"/>
      <c r="U70" s="29"/>
      <c r="W70" s="175" t="s">
        <v>30</v>
      </c>
      <c r="X70" s="208">
        <f>COUNTIFS('1. All Data'!$AB$3:$AB$136,"Leader",'1. All Data'!$V$3:$V$136,"Deleted")</f>
        <v>0</v>
      </c>
      <c r="Y70" s="216" t="e">
        <f>X70/X71</f>
        <v>#DIV/0!</v>
      </c>
      <c r="Z70" s="216" t="e">
        <f>Y70</f>
        <v>#DIV/0!</v>
      </c>
      <c r="AA70" s="177"/>
      <c r="AB70" s="3"/>
      <c r="AC70" s="166"/>
    </row>
    <row r="71" spans="2:29" ht="15.75" customHeight="1">
      <c r="B71" s="218" t="s">
        <v>51</v>
      </c>
      <c r="C71" s="219">
        <f>SUM(C60:C70)</f>
        <v>15</v>
      </c>
      <c r="D71" s="177"/>
      <c r="E71" s="177"/>
      <c r="F71" s="220"/>
      <c r="G71" s="58"/>
      <c r="I71" s="218" t="s">
        <v>51</v>
      </c>
      <c r="J71" s="219">
        <f>SUM(J60:J70)</f>
        <v>15</v>
      </c>
      <c r="K71" s="177"/>
      <c r="L71" s="177"/>
      <c r="M71" s="220"/>
      <c r="N71" s="58"/>
      <c r="P71" s="218" t="s">
        <v>51</v>
      </c>
      <c r="Q71" s="219">
        <f>SUM(Q60:Q70)</f>
        <v>0</v>
      </c>
      <c r="R71" s="177"/>
      <c r="S71" s="177"/>
      <c r="T71" s="220"/>
      <c r="U71" s="58"/>
      <c r="W71" s="178" t="s">
        <v>51</v>
      </c>
      <c r="X71" s="219">
        <f>SUM(X60:X70)</f>
        <v>0</v>
      </c>
      <c r="Y71" s="177"/>
      <c r="Z71" s="177"/>
      <c r="AA71" s="58"/>
      <c r="AB71" s="58"/>
      <c r="AC71" s="166"/>
    </row>
    <row r="72" spans="2:29" ht="15.75" customHeight="1">
      <c r="B72" s="218" t="s">
        <v>52</v>
      </c>
      <c r="C72" s="219">
        <f>C71-C70-C69-C68-C67</f>
        <v>10</v>
      </c>
      <c r="D72" s="58"/>
      <c r="E72" s="58"/>
      <c r="F72" s="220"/>
      <c r="G72" s="58"/>
      <c r="I72" s="218" t="s">
        <v>52</v>
      </c>
      <c r="J72" s="219">
        <f>J71-J70-J69-J68-J67</f>
        <v>14</v>
      </c>
      <c r="K72" s="58"/>
      <c r="L72" s="58"/>
      <c r="M72" s="220"/>
      <c r="N72" s="58"/>
      <c r="P72" s="218" t="s">
        <v>52</v>
      </c>
      <c r="Q72" s="219">
        <f>Q71-Q70-Q69-Q68-Q67</f>
        <v>0</v>
      </c>
      <c r="R72" s="58"/>
      <c r="S72" s="58"/>
      <c r="T72" s="220"/>
      <c r="U72" s="58"/>
      <c r="W72" s="178" t="s">
        <v>52</v>
      </c>
      <c r="X72" s="219">
        <f>X71-X70-X69-X68-X67</f>
        <v>0</v>
      </c>
      <c r="Y72" s="58"/>
      <c r="Z72" s="58"/>
      <c r="AA72" s="58"/>
      <c r="AB72" s="58"/>
      <c r="AC72" s="166"/>
    </row>
    <row r="73" spans="2:29" ht="15.75" customHeight="1">
      <c r="W73" s="180"/>
      <c r="AA73" s="2"/>
      <c r="AC73" s="166"/>
    </row>
    <row r="74" spans="2:29" ht="15.75" customHeight="1">
      <c r="W74" s="165"/>
      <c r="X74" s="165"/>
      <c r="Y74" s="165"/>
      <c r="Z74" s="165"/>
      <c r="AA74" s="165"/>
      <c r="AB74" s="186"/>
      <c r="AC74" s="166"/>
    </row>
    <row r="75" spans="2:29" s="166" customFormat="1" ht="15.75" customHeight="1">
      <c r="B75" s="187"/>
      <c r="C75" s="165"/>
      <c r="D75" s="165"/>
      <c r="E75" s="165"/>
      <c r="F75" s="220"/>
      <c r="G75" s="165"/>
      <c r="I75" s="187"/>
      <c r="J75" s="165"/>
      <c r="K75" s="165"/>
      <c r="L75" s="165"/>
      <c r="M75" s="220"/>
      <c r="N75" s="165"/>
      <c r="P75" s="187"/>
      <c r="Q75" s="165"/>
      <c r="R75" s="165"/>
      <c r="S75" s="165"/>
      <c r="T75" s="220"/>
      <c r="U75" s="165"/>
      <c r="W75" s="165"/>
      <c r="X75" s="165"/>
      <c r="Y75" s="165"/>
      <c r="Z75" s="165"/>
      <c r="AA75" s="165"/>
      <c r="AB75" s="186"/>
    </row>
    <row r="76" spans="2:29" s="166" customFormat="1" ht="15.75">
      <c r="B76" s="225" t="s">
        <v>208</v>
      </c>
      <c r="C76" s="204"/>
      <c r="D76" s="204"/>
      <c r="E76" s="204"/>
      <c r="F76" s="205"/>
      <c r="G76" s="204"/>
      <c r="I76" s="225" t="s">
        <v>208</v>
      </c>
      <c r="J76" s="204"/>
      <c r="K76" s="204"/>
      <c r="L76" s="204"/>
      <c r="M76" s="205"/>
      <c r="N76" s="204"/>
      <c r="P76" s="225" t="s">
        <v>208</v>
      </c>
      <c r="Q76" s="204"/>
      <c r="R76" s="204"/>
      <c r="S76" s="204"/>
      <c r="T76" s="205"/>
      <c r="U76" s="204"/>
      <c r="W76" s="225" t="s">
        <v>208</v>
      </c>
      <c r="X76" s="204"/>
      <c r="Y76" s="204"/>
      <c r="Z76" s="204"/>
      <c r="AA76" s="205"/>
      <c r="AB76" s="204"/>
    </row>
    <row r="77" spans="2:29" ht="36" customHeight="1">
      <c r="B77" s="206" t="s">
        <v>42</v>
      </c>
      <c r="C77" s="207" t="s">
        <v>43</v>
      </c>
      <c r="D77" s="207" t="s">
        <v>44</v>
      </c>
      <c r="E77" s="207" t="s">
        <v>45</v>
      </c>
      <c r="F77" s="206" t="s">
        <v>46</v>
      </c>
      <c r="G77" s="207" t="s">
        <v>47</v>
      </c>
      <c r="I77" s="206" t="s">
        <v>42</v>
      </c>
      <c r="J77" s="207" t="s">
        <v>43</v>
      </c>
      <c r="K77" s="207" t="s">
        <v>44</v>
      </c>
      <c r="L77" s="207" t="s">
        <v>45</v>
      </c>
      <c r="M77" s="206" t="s">
        <v>46</v>
      </c>
      <c r="N77" s="207" t="s">
        <v>47</v>
      </c>
      <c r="P77" s="206" t="s">
        <v>42</v>
      </c>
      <c r="Q77" s="207" t="s">
        <v>43</v>
      </c>
      <c r="R77" s="207" t="s">
        <v>44</v>
      </c>
      <c r="S77" s="207" t="s">
        <v>45</v>
      </c>
      <c r="T77" s="206" t="s">
        <v>46</v>
      </c>
      <c r="U77" s="207" t="s">
        <v>47</v>
      </c>
      <c r="W77" s="164" t="s">
        <v>42</v>
      </c>
      <c r="X77" s="164" t="s">
        <v>43</v>
      </c>
      <c r="Y77" s="164" t="s">
        <v>44</v>
      </c>
      <c r="Z77" s="164" t="s">
        <v>45</v>
      </c>
      <c r="AA77" s="164" t="s">
        <v>46</v>
      </c>
      <c r="AB77" s="164" t="s">
        <v>47</v>
      </c>
      <c r="AC77" s="166"/>
    </row>
    <row r="78" spans="2:29" ht="18.75" customHeight="1">
      <c r="B78" s="228" t="s">
        <v>48</v>
      </c>
      <c r="C78" s="208">
        <f>COUNTIFS('1. All Data'!$AB$3:$AB$136,"Regeneration and Development",'1. All Data'!$H$3:$H$136,"Fully Achieved")</f>
        <v>0</v>
      </c>
      <c r="D78" s="209">
        <f>C78/C89</f>
        <v>0</v>
      </c>
      <c r="E78" s="396">
        <f>D78+D79</f>
        <v>0.64</v>
      </c>
      <c r="F78" s="210">
        <f>C78/C90</f>
        <v>0</v>
      </c>
      <c r="G78" s="398">
        <f>F78+F79</f>
        <v>0.88888888888888884</v>
      </c>
      <c r="I78" s="228" t="s">
        <v>48</v>
      </c>
      <c r="J78" s="208">
        <f>COUNTIFS('1. All Data'!$AB$3:$AB$136,"Regeneration and Development",'1. All Data'!$M$3:$M$136,"Fully Achieved")</f>
        <v>8</v>
      </c>
      <c r="K78" s="209">
        <f>J78/J89</f>
        <v>0.32</v>
      </c>
      <c r="L78" s="396">
        <f>K78+K79</f>
        <v>0.8</v>
      </c>
      <c r="M78" s="210">
        <f>J78/J90</f>
        <v>0.36363636363636365</v>
      </c>
      <c r="N78" s="398">
        <f>M78+M79</f>
        <v>0.90909090909090906</v>
      </c>
      <c r="P78" s="228" t="s">
        <v>48</v>
      </c>
      <c r="Q78" s="208">
        <f>COUNTIFS('1. All Data'!$AB$3:$AB$136,"Regeneration and Development",'1. All Data'!$R$3:$R$136,"Fully Achieved")</f>
        <v>0</v>
      </c>
      <c r="R78" s="209" t="e">
        <f>Q78/Q89</f>
        <v>#DIV/0!</v>
      </c>
      <c r="S78" s="396" t="e">
        <f>R78+R79</f>
        <v>#DIV/0!</v>
      </c>
      <c r="T78" s="210" t="e">
        <f>Q78/Q90</f>
        <v>#DIV/0!</v>
      </c>
      <c r="U78" s="398" t="e">
        <f>T78+T79</f>
        <v>#DIV/0!</v>
      </c>
      <c r="W78" s="228" t="s">
        <v>48</v>
      </c>
      <c r="X78" s="208">
        <f>COUNTIFS('1. All Data'!$AB$3:$AB$136,"Regeneration and Development",'1. All Data'!$V$3:$V$136,"Fully Achieved")</f>
        <v>0</v>
      </c>
      <c r="Y78" s="209" t="e">
        <f>X78/X89</f>
        <v>#DIV/0!</v>
      </c>
      <c r="Z78" s="396" t="e">
        <f>Y78+Y79</f>
        <v>#DIV/0!</v>
      </c>
      <c r="AA78" s="209" t="e">
        <f>X78/X90</f>
        <v>#DIV/0!</v>
      </c>
      <c r="AB78" s="377" t="e">
        <f>AA78+AA79</f>
        <v>#DIV/0!</v>
      </c>
      <c r="AC78" s="166"/>
    </row>
    <row r="79" spans="2:29" ht="18.75" customHeight="1">
      <c r="B79" s="228" t="s">
        <v>31</v>
      </c>
      <c r="C79" s="208">
        <f>COUNTIFS('1. All Data'!$AB$3:$AB$136,"Regeneration and Development",'1. All Data'!$H$3:$H$136,"On Track to be Achieved")</f>
        <v>16</v>
      </c>
      <c r="D79" s="209">
        <f>C79/C89</f>
        <v>0.64</v>
      </c>
      <c r="E79" s="396"/>
      <c r="F79" s="210">
        <f>C79/C90</f>
        <v>0.88888888888888884</v>
      </c>
      <c r="G79" s="398"/>
      <c r="I79" s="228" t="s">
        <v>31</v>
      </c>
      <c r="J79" s="208">
        <f>COUNTIFS('1. All Data'!$AB$3:$AB$136,"Regeneration and Development",'1. All Data'!$M$3:$M$136,"On Track to be Achieved")</f>
        <v>12</v>
      </c>
      <c r="K79" s="209">
        <f>J79/J89</f>
        <v>0.48</v>
      </c>
      <c r="L79" s="396"/>
      <c r="M79" s="210">
        <f>J79/J90</f>
        <v>0.54545454545454541</v>
      </c>
      <c r="N79" s="398"/>
      <c r="P79" s="228" t="s">
        <v>31</v>
      </c>
      <c r="Q79" s="208">
        <f>COUNTIFS('1. All Data'!$AB$3:$AB$136,"Regeneration and Development",'1. All Data'!$R$3:$R$136,"On Track to be Achieved")</f>
        <v>0</v>
      </c>
      <c r="R79" s="209" t="e">
        <f>Q79/Q89</f>
        <v>#DIV/0!</v>
      </c>
      <c r="S79" s="396"/>
      <c r="T79" s="210" t="e">
        <f>Q79/Q90</f>
        <v>#DIV/0!</v>
      </c>
      <c r="U79" s="398"/>
      <c r="W79" s="228" t="s">
        <v>23</v>
      </c>
      <c r="X79" s="208">
        <f>COUNTIFS('1. All Data'!$AB$3:$AB$136,"Regeneration and Development",'1. All Data'!$V$3:$V$136,"Numerical Outturn Within 5% Tolerance")</f>
        <v>0</v>
      </c>
      <c r="Y79" s="209" t="e">
        <f>X79/X89</f>
        <v>#DIV/0!</v>
      </c>
      <c r="Z79" s="396"/>
      <c r="AA79" s="209" t="e">
        <f>X79/X90</f>
        <v>#DIV/0!</v>
      </c>
      <c r="AB79" s="377"/>
      <c r="AC79" s="166"/>
    </row>
    <row r="80" spans="2:29" ht="16.5" customHeight="1">
      <c r="B80" s="408" t="s">
        <v>32</v>
      </c>
      <c r="C80" s="411">
        <f>COUNTIFS('1. All Data'!$AB$3:$AB$136,"Regeneration and Development",'1. All Data'!$H$3:$H$136,"In Danger of Falling Behind Target")</f>
        <v>2</v>
      </c>
      <c r="D80" s="399">
        <f>C80/C89</f>
        <v>0.08</v>
      </c>
      <c r="E80" s="399">
        <f>D80</f>
        <v>0.08</v>
      </c>
      <c r="F80" s="402">
        <f>C80/C90</f>
        <v>0.1111111111111111</v>
      </c>
      <c r="G80" s="405">
        <f>F80</f>
        <v>0.1111111111111111</v>
      </c>
      <c r="I80" s="408" t="s">
        <v>32</v>
      </c>
      <c r="J80" s="411">
        <f>COUNTIFS('1. All Data'!$AB$3:$AB$136,"Regeneration and Development",'1. All Data'!$M$3:$M$136,"In Danger of Falling Behind Target")</f>
        <v>0</v>
      </c>
      <c r="K80" s="399">
        <f>J80/J89</f>
        <v>0</v>
      </c>
      <c r="L80" s="399">
        <f>K80</f>
        <v>0</v>
      </c>
      <c r="M80" s="402">
        <f>J80/J90</f>
        <v>0</v>
      </c>
      <c r="N80" s="405">
        <f>M80</f>
        <v>0</v>
      </c>
      <c r="P80" s="408" t="s">
        <v>32</v>
      </c>
      <c r="Q80" s="411">
        <f>COUNTIFS('1. All Data'!$AB$3:$AB$136,"Regeneration and Development",'1. All Data'!$R$3:$R$136,"In Danger of Falling Behind Target")</f>
        <v>0</v>
      </c>
      <c r="R80" s="399" t="e">
        <f>Q80/Q89</f>
        <v>#DIV/0!</v>
      </c>
      <c r="S80" s="399" t="e">
        <f>R80</f>
        <v>#DIV/0!</v>
      </c>
      <c r="T80" s="402" t="e">
        <f>Q80/Q90</f>
        <v>#DIV/0!</v>
      </c>
      <c r="U80" s="405" t="e">
        <f>T80</f>
        <v>#DIV/0!</v>
      </c>
      <c r="W80" s="169" t="s">
        <v>24</v>
      </c>
      <c r="X80" s="170">
        <f>COUNTIFS('1. All Data'!$AB$3:$AB$136,"Regeneration and Development",'1. All Data'!$V$3:$V$136,"Numerical Outturn Within 10% Tolerance")</f>
        <v>0</v>
      </c>
      <c r="Y80" s="168" t="e">
        <f>X80/X89</f>
        <v>#DIV/0!</v>
      </c>
      <c r="Z80" s="375" t="e">
        <f>SUM(Y80:Y82)</f>
        <v>#DIV/0!</v>
      </c>
      <c r="AA80" s="168" t="e">
        <f>X80/X90</f>
        <v>#DIV/0!</v>
      </c>
      <c r="AB80" s="384" t="e">
        <f>SUM(AA80:AA82)</f>
        <v>#DIV/0!</v>
      </c>
      <c r="AC80" s="166"/>
    </row>
    <row r="81" spans="2:29" ht="16.5" customHeight="1">
      <c r="B81" s="409"/>
      <c r="C81" s="412"/>
      <c r="D81" s="400"/>
      <c r="E81" s="400"/>
      <c r="F81" s="403"/>
      <c r="G81" s="406"/>
      <c r="I81" s="409"/>
      <c r="J81" s="412"/>
      <c r="K81" s="400"/>
      <c r="L81" s="400"/>
      <c r="M81" s="403"/>
      <c r="N81" s="406"/>
      <c r="P81" s="409"/>
      <c r="Q81" s="412"/>
      <c r="R81" s="400"/>
      <c r="S81" s="400"/>
      <c r="T81" s="403"/>
      <c r="U81" s="406"/>
      <c r="W81" s="169" t="s">
        <v>25</v>
      </c>
      <c r="X81" s="170">
        <f>COUNTIFS('1. All Data'!$AB$3:$AB$136,"Regeneration and Development",'1. All Data'!$V$3:$V$136,"Target Partially Met")</f>
        <v>0</v>
      </c>
      <c r="Y81" s="168" t="e">
        <f>X81/X89</f>
        <v>#DIV/0!</v>
      </c>
      <c r="Z81" s="375"/>
      <c r="AA81" s="168" t="e">
        <f>X81/X90</f>
        <v>#DIV/0!</v>
      </c>
      <c r="AB81" s="384"/>
      <c r="AC81" s="166"/>
    </row>
    <row r="82" spans="2:29" ht="16.5" customHeight="1">
      <c r="B82" s="410"/>
      <c r="C82" s="413"/>
      <c r="D82" s="401"/>
      <c r="E82" s="401"/>
      <c r="F82" s="404"/>
      <c r="G82" s="407"/>
      <c r="I82" s="410"/>
      <c r="J82" s="413"/>
      <c r="K82" s="401"/>
      <c r="L82" s="401"/>
      <c r="M82" s="404"/>
      <c r="N82" s="407"/>
      <c r="P82" s="410"/>
      <c r="Q82" s="413"/>
      <c r="R82" s="401"/>
      <c r="S82" s="401"/>
      <c r="T82" s="404"/>
      <c r="U82" s="407"/>
      <c r="W82" s="169" t="s">
        <v>28</v>
      </c>
      <c r="X82" s="170">
        <f>COUNTIFS('1. All Data'!$AB$3:$AB$136,"Regeneration and Development",'1. All Data'!$V$3:$V$136,"Completion Date Within Reasonable Tolerance")</f>
        <v>0</v>
      </c>
      <c r="Y82" s="168" t="e">
        <f>X82/X89</f>
        <v>#DIV/0!</v>
      </c>
      <c r="Z82" s="375"/>
      <c r="AA82" s="168" t="e">
        <f>X82/X90</f>
        <v>#DIV/0!</v>
      </c>
      <c r="AB82" s="384"/>
      <c r="AC82" s="166"/>
    </row>
    <row r="83" spans="2:29" ht="22.5" customHeight="1">
      <c r="B83" s="211" t="s">
        <v>33</v>
      </c>
      <c r="C83" s="208">
        <f>COUNTIFS('1. All Data'!$AB$3:$AB$136,"Regeneration and Development",'1. All Data'!$H$3:$H$136,"Completed Behind Schedule")</f>
        <v>0</v>
      </c>
      <c r="D83" s="209">
        <f>C83/C89</f>
        <v>0</v>
      </c>
      <c r="E83" s="396">
        <f>D83+D84</f>
        <v>0</v>
      </c>
      <c r="F83" s="210">
        <f>C83/C90</f>
        <v>0</v>
      </c>
      <c r="G83" s="397">
        <f>F83+F84</f>
        <v>0</v>
      </c>
      <c r="I83" s="211" t="s">
        <v>33</v>
      </c>
      <c r="J83" s="208">
        <f>COUNTIFS('1. All Data'!$AB$3:$AB$136,"Regeneration and Development",'1. All Data'!$M$3:$M$136,"Completed Behind Schedule")</f>
        <v>0</v>
      </c>
      <c r="K83" s="209">
        <f>J83/J89</f>
        <v>0</v>
      </c>
      <c r="L83" s="396">
        <f>K83+K84</f>
        <v>0.08</v>
      </c>
      <c r="M83" s="210">
        <f>J83/J90</f>
        <v>0</v>
      </c>
      <c r="N83" s="397">
        <f>M83+M84</f>
        <v>9.0909090909090912E-2</v>
      </c>
      <c r="P83" s="211" t="s">
        <v>33</v>
      </c>
      <c r="Q83" s="208">
        <f>COUNTIFS('1. All Data'!$AB$3:$AB$136,"Regeneration and Development",'1. All Data'!$R$3:$R$136,"Completed Behind Schedule")</f>
        <v>0</v>
      </c>
      <c r="R83" s="209" t="e">
        <f>Q83/Q89</f>
        <v>#DIV/0!</v>
      </c>
      <c r="S83" s="396" t="e">
        <f>R83+R84</f>
        <v>#DIV/0!</v>
      </c>
      <c r="T83" s="210" t="e">
        <f>Q83/Q90</f>
        <v>#DIV/0!</v>
      </c>
      <c r="U83" s="397" t="e">
        <f>T83+T84</f>
        <v>#DIV/0!</v>
      </c>
      <c r="W83" s="171" t="s">
        <v>27</v>
      </c>
      <c r="X83" s="208">
        <f>COUNTIFS('1. All Data'!$AB$3:$AB$136,"Regeneration and Development",'1. All Data'!$V$3:$V$136,"Completed Significantly After Target Deadline")</f>
        <v>0</v>
      </c>
      <c r="Y83" s="209" t="e">
        <f>X83/X89</f>
        <v>#DIV/0!</v>
      </c>
      <c r="Z83" s="396" t="e">
        <f>Y83+Y84</f>
        <v>#DIV/0!</v>
      </c>
      <c r="AA83" s="168" t="e">
        <f>X83/X90</f>
        <v>#DIV/0!</v>
      </c>
      <c r="AB83" s="376" t="e">
        <f>AA83+AA84</f>
        <v>#DIV/0!</v>
      </c>
      <c r="AC83" s="166"/>
    </row>
    <row r="84" spans="2:29" ht="22.5" customHeight="1">
      <c r="B84" s="211" t="s">
        <v>26</v>
      </c>
      <c r="C84" s="208">
        <f>COUNTIFS('1. All Data'!$AB$3:$AB$136,"Regeneration and Development",'1. All Data'!$H$3:$H$136,"Off Target")</f>
        <v>0</v>
      </c>
      <c r="D84" s="209">
        <f>C84/C89</f>
        <v>0</v>
      </c>
      <c r="E84" s="396"/>
      <c r="F84" s="210">
        <f>C84/C90</f>
        <v>0</v>
      </c>
      <c r="G84" s="397"/>
      <c r="I84" s="211" t="s">
        <v>26</v>
      </c>
      <c r="J84" s="208">
        <f>COUNTIFS('1. All Data'!$AB$3:$AB$136,"Regeneration and Development",'1. All Data'!$M$3:$M$136,"Off Target")</f>
        <v>2</v>
      </c>
      <c r="K84" s="209">
        <f>J84/J89</f>
        <v>0.08</v>
      </c>
      <c r="L84" s="396"/>
      <c r="M84" s="210">
        <f>J84/J90</f>
        <v>9.0909090909090912E-2</v>
      </c>
      <c r="N84" s="397"/>
      <c r="P84" s="211" t="s">
        <v>26</v>
      </c>
      <c r="Q84" s="208">
        <f>COUNTIFS('1. All Data'!$AB$3:$AB$136,"Regeneration and Development",'1. All Data'!$R$3:$R$136,"Off Target")</f>
        <v>0</v>
      </c>
      <c r="R84" s="209" t="e">
        <f>Q84/Q89</f>
        <v>#DIV/0!</v>
      </c>
      <c r="S84" s="396"/>
      <c r="T84" s="210" t="e">
        <f>Q84/Q90</f>
        <v>#DIV/0!</v>
      </c>
      <c r="U84" s="397"/>
      <c r="W84" s="171" t="s">
        <v>26</v>
      </c>
      <c r="X84" s="208">
        <f>COUNTIFS('1. All Data'!$AB$3:$AB$136,"Regeneration and Development",'1. All Data'!$V$3:$V$136,"Off Target")</f>
        <v>0</v>
      </c>
      <c r="Y84" s="209" t="e">
        <f>X84/X89</f>
        <v>#DIV/0!</v>
      </c>
      <c r="Z84" s="396"/>
      <c r="AA84" s="168" t="e">
        <f>X84/X90</f>
        <v>#DIV/0!</v>
      </c>
      <c r="AB84" s="376"/>
      <c r="AC84" s="166"/>
    </row>
    <row r="85" spans="2:29" ht="15.75" customHeight="1">
      <c r="B85" s="212" t="s">
        <v>49</v>
      </c>
      <c r="C85" s="208">
        <f>COUNTIFS('1. All Data'!$AB$3:$AB$136,"Regeneration and Development",'1. All Data'!$H$3:$H$136,"Not yet due")</f>
        <v>7</v>
      </c>
      <c r="D85" s="213">
        <f>C85/C89</f>
        <v>0.28000000000000003</v>
      </c>
      <c r="E85" s="213">
        <f>D85</f>
        <v>0.28000000000000003</v>
      </c>
      <c r="F85" s="214"/>
      <c r="G85" s="58"/>
      <c r="I85" s="212" t="s">
        <v>49</v>
      </c>
      <c r="J85" s="208">
        <f>COUNTIFS('1. All Data'!$AB$3:$AB$136,"Regeneration and Development",'1. All Data'!$M$3:$M$136,"Not yet due")</f>
        <v>2</v>
      </c>
      <c r="K85" s="213">
        <f>J85/J89</f>
        <v>0.08</v>
      </c>
      <c r="L85" s="213">
        <f>K85</f>
        <v>0.08</v>
      </c>
      <c r="M85" s="214"/>
      <c r="N85" s="58"/>
      <c r="P85" s="212" t="s">
        <v>49</v>
      </c>
      <c r="Q85" s="208">
        <f>COUNTIFS('1. All Data'!$AB$3:$AB$136,"Regeneration and Development",'1. All Data'!$R$3:$R$136,"Not yet due")</f>
        <v>0</v>
      </c>
      <c r="R85" s="213" t="e">
        <f>Q85/Q89</f>
        <v>#DIV/0!</v>
      </c>
      <c r="S85" s="213" t="e">
        <f>R85</f>
        <v>#DIV/0!</v>
      </c>
      <c r="T85" s="214"/>
      <c r="U85" s="58"/>
      <c r="W85" s="172" t="s">
        <v>49</v>
      </c>
      <c r="X85" s="208">
        <f>COUNTIFS('1. All Data'!$AB$3:$AB$136,"Regeneration and Development",'1. All Data'!$V$3:$V$136,"Not yet due")</f>
        <v>0</v>
      </c>
      <c r="Y85" s="213" t="e">
        <f>X85/X89</f>
        <v>#DIV/0!</v>
      </c>
      <c r="Z85" s="213" t="e">
        <f>Y85</f>
        <v>#DIV/0!</v>
      </c>
      <c r="AA85" s="174"/>
      <c r="AB85" s="58"/>
      <c r="AC85" s="166"/>
    </row>
    <row r="86" spans="2:29" ht="15.75" customHeight="1">
      <c r="B86" s="212" t="s">
        <v>21</v>
      </c>
      <c r="C86" s="208">
        <f>COUNTIFS('1. All Data'!$AB$3:$AB$136,"Regeneration and Development",'1. All Data'!$H$3:$H$136,"Update not provided")</f>
        <v>0</v>
      </c>
      <c r="D86" s="213">
        <f>C86/C89</f>
        <v>0</v>
      </c>
      <c r="E86" s="213">
        <f>D86</f>
        <v>0</v>
      </c>
      <c r="F86" s="214"/>
      <c r="G86" s="2"/>
      <c r="I86" s="212" t="s">
        <v>21</v>
      </c>
      <c r="J86" s="208">
        <f>COUNTIFS('1. All Data'!$AB$3:$AB$136,"Regeneration and Development",'1. All Data'!$M$3:$M$136,"Update not provided")</f>
        <v>0</v>
      </c>
      <c r="K86" s="213">
        <f>J86/J89</f>
        <v>0</v>
      </c>
      <c r="L86" s="213">
        <f>K86</f>
        <v>0</v>
      </c>
      <c r="M86" s="214"/>
      <c r="N86" s="2"/>
      <c r="P86" s="212" t="s">
        <v>21</v>
      </c>
      <c r="Q86" s="208">
        <f>COUNTIFS('1. All Data'!$AB$3:$AB$136,"Regeneration and Development",'1. All Data'!$R$3:$R$136,"Update not provided")</f>
        <v>0</v>
      </c>
      <c r="R86" s="213" t="e">
        <f>Q86/Q89</f>
        <v>#DIV/0!</v>
      </c>
      <c r="S86" s="213" t="e">
        <f>R86</f>
        <v>#DIV/0!</v>
      </c>
      <c r="T86" s="214"/>
      <c r="U86" s="2"/>
      <c r="W86" s="172" t="s">
        <v>21</v>
      </c>
      <c r="X86" s="208">
        <f>COUNTIFS('1. All Data'!$AB$3:$AB$136,"Regeneration and Development",'1. All Data'!$V$3:$V$136,"Update not provided")</f>
        <v>0</v>
      </c>
      <c r="Y86" s="213" t="e">
        <f>X86/X89</f>
        <v>#DIV/0!</v>
      </c>
      <c r="Z86" s="213" t="e">
        <f>Y86</f>
        <v>#DIV/0!</v>
      </c>
      <c r="AA86" s="174"/>
      <c r="AB86" s="2"/>
      <c r="AC86" s="166"/>
    </row>
    <row r="87" spans="2:29" ht="15.75" customHeight="1">
      <c r="B87" s="215" t="s">
        <v>29</v>
      </c>
      <c r="C87" s="208">
        <f>COUNTIFS('1. All Data'!$AB$3:$AB$136,"Regeneration and Development",'1. All Data'!$H$3:$H$136,"Deferred")</f>
        <v>0</v>
      </c>
      <c r="D87" s="216">
        <f>C87/C89</f>
        <v>0</v>
      </c>
      <c r="E87" s="216">
        <f>D87</f>
        <v>0</v>
      </c>
      <c r="F87" s="217"/>
      <c r="G87" s="58"/>
      <c r="I87" s="215" t="s">
        <v>29</v>
      </c>
      <c r="J87" s="208">
        <f>COUNTIFS('1. All Data'!$AB$3:$AB$136,"Regeneration and Development",'1. All Data'!$M$3:$M$136,"Deferred")</f>
        <v>0</v>
      </c>
      <c r="K87" s="216">
        <f>J87/J89</f>
        <v>0</v>
      </c>
      <c r="L87" s="216">
        <f>K87</f>
        <v>0</v>
      </c>
      <c r="M87" s="217"/>
      <c r="N87" s="58"/>
      <c r="P87" s="215" t="s">
        <v>29</v>
      </c>
      <c r="Q87" s="208">
        <f>COUNTIFS('1. All Data'!$AB$3:$AB$136,"Regeneration and Development",'1. All Data'!$R$3:$R$136,"Deferred")</f>
        <v>0</v>
      </c>
      <c r="R87" s="216" t="e">
        <f>Q87/Q89</f>
        <v>#DIV/0!</v>
      </c>
      <c r="S87" s="216" t="e">
        <f>R87</f>
        <v>#DIV/0!</v>
      </c>
      <c r="T87" s="217"/>
      <c r="U87" s="58"/>
      <c r="W87" s="175" t="s">
        <v>29</v>
      </c>
      <c r="X87" s="208">
        <f>COUNTIFS('1. All Data'!$AB$3:$AB$136,"Regeneration and Development",'1. All Data'!$V$3:$V$136,"Deferred")</f>
        <v>0</v>
      </c>
      <c r="Y87" s="216" t="e">
        <f>X87/X89</f>
        <v>#DIV/0!</v>
      </c>
      <c r="Z87" s="216" t="e">
        <f>Y87</f>
        <v>#DIV/0!</v>
      </c>
      <c r="AA87" s="177"/>
      <c r="AB87" s="58"/>
      <c r="AC87" s="166"/>
    </row>
    <row r="88" spans="2:29" ht="15.75" customHeight="1">
      <c r="B88" s="215" t="s">
        <v>30</v>
      </c>
      <c r="C88" s="208">
        <f>COUNTIFS('1. All Data'!$AB$3:$AB$136,"Regeneration and Development",'1. All Data'!$H$3:$H$136,"Deleted")</f>
        <v>0</v>
      </c>
      <c r="D88" s="216">
        <f>C88/C89</f>
        <v>0</v>
      </c>
      <c r="E88" s="216">
        <f>D88</f>
        <v>0</v>
      </c>
      <c r="F88" s="217"/>
      <c r="G88" s="29"/>
      <c r="I88" s="215" t="s">
        <v>30</v>
      </c>
      <c r="J88" s="208">
        <f>COUNTIFS('1. All Data'!$AB$3:$AB$136,"Regeneration and Development",'1. All Data'!$M$3:$M$136,"Deleted")</f>
        <v>1</v>
      </c>
      <c r="K88" s="216">
        <f>J88/J89</f>
        <v>0.04</v>
      </c>
      <c r="L88" s="216">
        <f>K88</f>
        <v>0.04</v>
      </c>
      <c r="M88" s="217"/>
      <c r="N88" s="29"/>
      <c r="P88" s="215" t="s">
        <v>30</v>
      </c>
      <c r="Q88" s="208">
        <f>COUNTIFS('1. All Data'!$AB$3:$AB$136,"Regeneration and Development",'1. All Data'!$R$3:$R$136,"Deleted")</f>
        <v>0</v>
      </c>
      <c r="R88" s="216" t="e">
        <f>Q88/Q89</f>
        <v>#DIV/0!</v>
      </c>
      <c r="S88" s="216" t="e">
        <f>R88</f>
        <v>#DIV/0!</v>
      </c>
      <c r="T88" s="217"/>
      <c r="U88" s="29"/>
      <c r="W88" s="175" t="s">
        <v>30</v>
      </c>
      <c r="X88" s="208">
        <f>COUNTIFS('1. All Data'!$AB$3:$AB$136,"Regeneration and Development",'1. All Data'!$V$3:$V$136,"Deleted")</f>
        <v>0</v>
      </c>
      <c r="Y88" s="216" t="e">
        <f>X88/X89</f>
        <v>#DIV/0!</v>
      </c>
      <c r="Z88" s="216" t="e">
        <f>Y88</f>
        <v>#DIV/0!</v>
      </c>
      <c r="AA88" s="177"/>
      <c r="AB88" s="3"/>
      <c r="AC88" s="166"/>
    </row>
    <row r="89" spans="2:29" ht="15.75" customHeight="1">
      <c r="B89" s="218" t="s">
        <v>51</v>
      </c>
      <c r="C89" s="219">
        <f>SUM(C78:C88)</f>
        <v>25</v>
      </c>
      <c r="D89" s="177"/>
      <c r="E89" s="177"/>
      <c r="F89" s="220"/>
      <c r="G89" s="58"/>
      <c r="I89" s="218" t="s">
        <v>51</v>
      </c>
      <c r="J89" s="219">
        <f>SUM(J78:J88)</f>
        <v>25</v>
      </c>
      <c r="K89" s="177"/>
      <c r="L89" s="177"/>
      <c r="M89" s="220"/>
      <c r="N89" s="58"/>
      <c r="P89" s="218" t="s">
        <v>51</v>
      </c>
      <c r="Q89" s="219">
        <f>SUM(Q78:Q88)</f>
        <v>0</v>
      </c>
      <c r="R89" s="177"/>
      <c r="S89" s="177"/>
      <c r="T89" s="220"/>
      <c r="U89" s="58"/>
      <c r="W89" s="178" t="s">
        <v>51</v>
      </c>
      <c r="X89" s="219">
        <f>SUM(X78:X88)</f>
        <v>0</v>
      </c>
      <c r="Y89" s="177"/>
      <c r="Z89" s="177"/>
      <c r="AA89" s="58"/>
      <c r="AB89" s="58"/>
      <c r="AC89" s="166"/>
    </row>
    <row r="90" spans="2:29" ht="15.75" customHeight="1">
      <c r="B90" s="218" t="s">
        <v>52</v>
      </c>
      <c r="C90" s="219">
        <f>C89-C88-C87-C86-C85</f>
        <v>18</v>
      </c>
      <c r="D90" s="58"/>
      <c r="E90" s="58"/>
      <c r="F90" s="220"/>
      <c r="G90" s="58"/>
      <c r="I90" s="218" t="s">
        <v>52</v>
      </c>
      <c r="J90" s="219">
        <f>J89-J88-J87-J86-J85</f>
        <v>22</v>
      </c>
      <c r="K90" s="58"/>
      <c r="L90" s="58"/>
      <c r="M90" s="220"/>
      <c r="N90" s="58"/>
      <c r="P90" s="218" t="s">
        <v>52</v>
      </c>
      <c r="Q90" s="219">
        <f>Q89-Q88-Q87-Q86-Q85</f>
        <v>0</v>
      </c>
      <c r="R90" s="58"/>
      <c r="S90" s="58"/>
      <c r="T90" s="220"/>
      <c r="U90" s="58"/>
      <c r="W90" s="178" t="s">
        <v>52</v>
      </c>
      <c r="X90" s="219">
        <f>X89-X88-X87-X86-X85</f>
        <v>0</v>
      </c>
      <c r="Y90" s="58"/>
      <c r="Z90" s="58"/>
      <c r="AA90" s="58"/>
      <c r="AB90" s="58"/>
      <c r="AC90" s="166"/>
    </row>
    <row r="91" spans="2:29" ht="15.75" customHeight="1">
      <c r="W91" s="180"/>
      <c r="AA91" s="2"/>
      <c r="AC91" s="166"/>
    </row>
    <row r="92" spans="2:29" ht="15.75" customHeight="1">
      <c r="W92" s="165"/>
      <c r="X92" s="165"/>
      <c r="Y92" s="165"/>
      <c r="Z92" s="165"/>
      <c r="AA92" s="165"/>
      <c r="AB92" s="186"/>
      <c r="AC92" s="166"/>
    </row>
    <row r="93" spans="2:29" ht="15.75" customHeight="1">
      <c r="W93" s="165"/>
      <c r="X93" s="165"/>
      <c r="Y93" s="165"/>
      <c r="Z93" s="165"/>
      <c r="AA93" s="165"/>
      <c r="AB93" s="186"/>
      <c r="AC93" s="166"/>
    </row>
    <row r="94" spans="2:29" ht="15.75">
      <c r="B94" s="225" t="s">
        <v>115</v>
      </c>
      <c r="C94" s="204"/>
      <c r="D94" s="204"/>
      <c r="E94" s="204"/>
      <c r="F94" s="205"/>
      <c r="G94" s="204"/>
      <c r="I94" s="225" t="s">
        <v>115</v>
      </c>
      <c r="J94" s="204"/>
      <c r="K94" s="204"/>
      <c r="L94" s="204"/>
      <c r="M94" s="205"/>
      <c r="N94" s="204"/>
      <c r="O94" s="166"/>
      <c r="P94" s="225" t="s">
        <v>115</v>
      </c>
      <c r="Q94" s="204"/>
      <c r="R94" s="204"/>
      <c r="S94" s="204"/>
      <c r="T94" s="205"/>
      <c r="U94" s="204"/>
      <c r="V94" s="166"/>
      <c r="W94" s="225" t="s">
        <v>115</v>
      </c>
      <c r="X94" s="204"/>
      <c r="Y94" s="204"/>
      <c r="Z94" s="204"/>
      <c r="AA94" s="205"/>
      <c r="AB94" s="204"/>
      <c r="AC94" s="166"/>
    </row>
    <row r="95" spans="2:29" ht="47.25">
      <c r="B95" s="206" t="s">
        <v>42</v>
      </c>
      <c r="C95" s="207" t="s">
        <v>43</v>
      </c>
      <c r="D95" s="207" t="s">
        <v>44</v>
      </c>
      <c r="E95" s="207" t="s">
        <v>45</v>
      </c>
      <c r="F95" s="206" t="s">
        <v>46</v>
      </c>
      <c r="G95" s="207" t="s">
        <v>47</v>
      </c>
      <c r="I95" s="206" t="s">
        <v>42</v>
      </c>
      <c r="J95" s="207" t="s">
        <v>43</v>
      </c>
      <c r="K95" s="207" t="s">
        <v>44</v>
      </c>
      <c r="L95" s="207" t="s">
        <v>45</v>
      </c>
      <c r="M95" s="206" t="s">
        <v>46</v>
      </c>
      <c r="N95" s="207" t="s">
        <v>47</v>
      </c>
      <c r="P95" s="206" t="s">
        <v>42</v>
      </c>
      <c r="Q95" s="207" t="s">
        <v>43</v>
      </c>
      <c r="R95" s="207" t="s">
        <v>44</v>
      </c>
      <c r="S95" s="207" t="s">
        <v>45</v>
      </c>
      <c r="T95" s="206" t="s">
        <v>46</v>
      </c>
      <c r="U95" s="207" t="s">
        <v>47</v>
      </c>
      <c r="W95" s="164" t="s">
        <v>42</v>
      </c>
      <c r="X95" s="164" t="s">
        <v>43</v>
      </c>
      <c r="Y95" s="164" t="s">
        <v>44</v>
      </c>
      <c r="Z95" s="164" t="s">
        <v>45</v>
      </c>
      <c r="AA95" s="164" t="s">
        <v>46</v>
      </c>
      <c r="AB95" s="164" t="s">
        <v>47</v>
      </c>
      <c r="AC95" s="166"/>
    </row>
    <row r="96" spans="2:29" ht="15.75">
      <c r="B96" s="228" t="s">
        <v>48</v>
      </c>
      <c r="C96" s="208">
        <f>COUNTIFS('1. All Data'!$AB$3:$AB$136,"Tourism and Cultural Development",'1. All Data'!$H$3:$H$136,"Fully Achieved")</f>
        <v>1</v>
      </c>
      <c r="D96" s="254">
        <f>C96/C107</f>
        <v>4.5454545454545456E-2</v>
      </c>
      <c r="E96" s="396">
        <f>D96+D97</f>
        <v>0.72727272727272718</v>
      </c>
      <c r="F96" s="210">
        <f>C96/C108</f>
        <v>6.25E-2</v>
      </c>
      <c r="G96" s="398">
        <f>F96+F97</f>
        <v>1</v>
      </c>
      <c r="I96" s="228" t="s">
        <v>48</v>
      </c>
      <c r="J96" s="208">
        <f>COUNTIFS('1. All Data'!$AB$3:$AB$136,"Tourism and Cultural Development",'1. All Data'!$M$3:$M$136,"Fully Achieved")</f>
        <v>7</v>
      </c>
      <c r="K96" s="254">
        <f>J96/J107</f>
        <v>0.31818181818181818</v>
      </c>
      <c r="L96" s="396">
        <f>K96+K97</f>
        <v>0.86363636363636354</v>
      </c>
      <c r="M96" s="210">
        <f>J96/J108</f>
        <v>0.35</v>
      </c>
      <c r="N96" s="398">
        <f>M96+M97</f>
        <v>0.95</v>
      </c>
      <c r="P96" s="228" t="s">
        <v>48</v>
      </c>
      <c r="Q96" s="208">
        <f>COUNTIFS('1. All Data'!$AB$3:$AB$136,"Tourism and Cultural Development",'1. All Data'!$R$3:$R$136,"Fully Achieved")</f>
        <v>0</v>
      </c>
      <c r="R96" s="254" t="e">
        <f>Q96/Q107</f>
        <v>#DIV/0!</v>
      </c>
      <c r="S96" s="396" t="e">
        <f>R96+R97</f>
        <v>#DIV/0!</v>
      </c>
      <c r="T96" s="210" t="e">
        <f>Q96/Q108</f>
        <v>#DIV/0!</v>
      </c>
      <c r="U96" s="398" t="e">
        <f>T96+T97</f>
        <v>#DIV/0!</v>
      </c>
      <c r="W96" s="228" t="s">
        <v>48</v>
      </c>
      <c r="X96" s="208">
        <f>COUNTIFS('1. All Data'!$AB$3:$AB$136,"Tourism and Cultural Development",'1. All Data'!$V$3:$V$136,"Fully Achieved")</f>
        <v>0</v>
      </c>
      <c r="Y96" s="254" t="e">
        <f>X96/X107</f>
        <v>#DIV/0!</v>
      </c>
      <c r="Z96" s="396" t="e">
        <f>Y96+Y97</f>
        <v>#DIV/0!</v>
      </c>
      <c r="AA96" s="254" t="e">
        <f>X96/X108</f>
        <v>#DIV/0!</v>
      </c>
      <c r="AB96" s="377" t="e">
        <f>AA96+AA97</f>
        <v>#DIV/0!</v>
      </c>
      <c r="AC96" s="166"/>
    </row>
    <row r="97" spans="2:29" ht="15.75">
      <c r="B97" s="228" t="s">
        <v>31</v>
      </c>
      <c r="C97" s="208">
        <f>COUNTIFS('1. All Data'!$AB$3:$AB$136,"Tourism and Cultural Development",'1. All Data'!$H$3:$H$136,"On Track to be Achieved")</f>
        <v>15</v>
      </c>
      <c r="D97" s="254">
        <f>C97/C107</f>
        <v>0.68181818181818177</v>
      </c>
      <c r="E97" s="396"/>
      <c r="F97" s="210">
        <f>C97/C108</f>
        <v>0.9375</v>
      </c>
      <c r="G97" s="398"/>
      <c r="I97" s="228" t="s">
        <v>31</v>
      </c>
      <c r="J97" s="208">
        <f>COUNTIFS('1. All Data'!$AB$3:$AB$136,"Tourism and Cultural Development",'1. All Data'!$M$3:$M$136,"On Track to be Achieved")</f>
        <v>12</v>
      </c>
      <c r="K97" s="254">
        <f>J97/J107</f>
        <v>0.54545454545454541</v>
      </c>
      <c r="L97" s="396"/>
      <c r="M97" s="210">
        <f>J97/J108</f>
        <v>0.6</v>
      </c>
      <c r="N97" s="398"/>
      <c r="P97" s="228" t="s">
        <v>31</v>
      </c>
      <c r="Q97" s="208">
        <f>COUNTIFS('1. All Data'!$AB$3:$AB$136,"Tourism and Cultural Development",'1. All Data'!$R$3:$R$136,"On Track to be Achieved")</f>
        <v>0</v>
      </c>
      <c r="R97" s="254" t="e">
        <f>Q97/Q107</f>
        <v>#DIV/0!</v>
      </c>
      <c r="S97" s="396"/>
      <c r="T97" s="210" t="e">
        <f>Q97/Q108</f>
        <v>#DIV/0!</v>
      </c>
      <c r="U97" s="398"/>
      <c r="W97" s="228" t="s">
        <v>23</v>
      </c>
      <c r="X97" s="208">
        <f>COUNTIFS('1. All Data'!$AB$3:$AB$136,"Tourism and Cultural Development",'1. All Data'!$V$3:$V$136,"Numerical Outturn Within 5% Tolerance")</f>
        <v>0</v>
      </c>
      <c r="Y97" s="254" t="e">
        <f>X97/X107</f>
        <v>#DIV/0!</v>
      </c>
      <c r="Z97" s="396"/>
      <c r="AA97" s="254" t="e">
        <f>X97/X108</f>
        <v>#DIV/0!</v>
      </c>
      <c r="AB97" s="377"/>
      <c r="AC97" s="166"/>
    </row>
    <row r="98" spans="2:29" ht="15.75">
      <c r="B98" s="408" t="s">
        <v>32</v>
      </c>
      <c r="C98" s="411">
        <f>COUNTIFS('1. All Data'!$AB$3:$AB$136,"Tourism and Cultural Development",'1. All Data'!$H$3:$H$136,"In Danger of Falling Behind Target")</f>
        <v>0</v>
      </c>
      <c r="D98" s="399">
        <f>C98/C107</f>
        <v>0</v>
      </c>
      <c r="E98" s="399">
        <f>D98</f>
        <v>0</v>
      </c>
      <c r="F98" s="402">
        <f>C98/C108</f>
        <v>0</v>
      </c>
      <c r="G98" s="405">
        <f>F98</f>
        <v>0</v>
      </c>
      <c r="I98" s="408" t="s">
        <v>32</v>
      </c>
      <c r="J98" s="411">
        <f>COUNTIFS('1. All Data'!$AB$3:$AB$136,"Tourism and Cultural Development",'1. All Data'!$M$3:$M$136,"In Danger of Falling Behind Target")</f>
        <v>0</v>
      </c>
      <c r="K98" s="399">
        <f>J98/J107</f>
        <v>0</v>
      </c>
      <c r="L98" s="399">
        <f>K98</f>
        <v>0</v>
      </c>
      <c r="M98" s="402">
        <f>J98/J108</f>
        <v>0</v>
      </c>
      <c r="N98" s="405">
        <f>M98</f>
        <v>0</v>
      </c>
      <c r="P98" s="408" t="s">
        <v>32</v>
      </c>
      <c r="Q98" s="411">
        <f>COUNTIFS('1. All Data'!$AB$3:$AB$136,"Tourism and Cultural Development",'1. All Data'!$R$3:$R$136,"In Danger of Falling Behind Target")</f>
        <v>0</v>
      </c>
      <c r="R98" s="399" t="e">
        <f>Q98/Q107</f>
        <v>#DIV/0!</v>
      </c>
      <c r="S98" s="399" t="e">
        <f>R98</f>
        <v>#DIV/0!</v>
      </c>
      <c r="T98" s="402" t="e">
        <f>Q98/Q108</f>
        <v>#DIV/0!</v>
      </c>
      <c r="U98" s="405" t="e">
        <f>T98</f>
        <v>#DIV/0!</v>
      </c>
      <c r="W98" s="169" t="s">
        <v>24</v>
      </c>
      <c r="X98" s="170">
        <f>COUNTIFS('1. All Data'!$AB$3:$AB$136,"Tourism and Cultural Development",'1. All Data'!$V$3:$V$136,"Numerical Outturn Within 10% Tolerance")</f>
        <v>0</v>
      </c>
      <c r="Y98" s="253" t="e">
        <f>X98/X107</f>
        <v>#DIV/0!</v>
      </c>
      <c r="Z98" s="375" t="e">
        <f>SUM(Y98:Y100)</f>
        <v>#DIV/0!</v>
      </c>
      <c r="AA98" s="253" t="e">
        <f>X98/X108</f>
        <v>#DIV/0!</v>
      </c>
      <c r="AB98" s="384" t="e">
        <f>SUM(AA98:AA100)</f>
        <v>#DIV/0!</v>
      </c>
      <c r="AC98" s="166"/>
    </row>
    <row r="99" spans="2:29" ht="15.75">
      <c r="B99" s="409"/>
      <c r="C99" s="412"/>
      <c r="D99" s="400"/>
      <c r="E99" s="400"/>
      <c r="F99" s="403"/>
      <c r="G99" s="406"/>
      <c r="I99" s="409"/>
      <c r="J99" s="412"/>
      <c r="K99" s="400"/>
      <c r="L99" s="400"/>
      <c r="M99" s="403"/>
      <c r="N99" s="406"/>
      <c r="P99" s="409"/>
      <c r="Q99" s="412"/>
      <c r="R99" s="400"/>
      <c r="S99" s="400"/>
      <c r="T99" s="403"/>
      <c r="U99" s="406"/>
      <c r="W99" s="169" t="s">
        <v>25</v>
      </c>
      <c r="X99" s="170">
        <f>COUNTIFS('1. All Data'!$AB$3:$AB$136,"Tourism and Cultural Development",'1. All Data'!$V$3:$V$136,"Target Partially Met")</f>
        <v>0</v>
      </c>
      <c r="Y99" s="253" t="e">
        <f>X99/X107</f>
        <v>#DIV/0!</v>
      </c>
      <c r="Z99" s="375"/>
      <c r="AA99" s="253" t="e">
        <f>X99/X108</f>
        <v>#DIV/0!</v>
      </c>
      <c r="AB99" s="384"/>
      <c r="AC99" s="166"/>
    </row>
    <row r="100" spans="2:29" ht="15.75">
      <c r="B100" s="410"/>
      <c r="C100" s="413"/>
      <c r="D100" s="401"/>
      <c r="E100" s="401"/>
      <c r="F100" s="404"/>
      <c r="G100" s="407"/>
      <c r="I100" s="410"/>
      <c r="J100" s="413"/>
      <c r="K100" s="401"/>
      <c r="L100" s="401"/>
      <c r="M100" s="404"/>
      <c r="N100" s="407"/>
      <c r="P100" s="410"/>
      <c r="Q100" s="413"/>
      <c r="R100" s="401"/>
      <c r="S100" s="401"/>
      <c r="T100" s="404"/>
      <c r="U100" s="407"/>
      <c r="W100" s="169" t="s">
        <v>28</v>
      </c>
      <c r="X100" s="170">
        <f>COUNTIFS('1. All Data'!$AB$3:$AB$136,"Tourism and Cultural Development",'1. All Data'!$V$3:$V$136,"Completion Date Within Reasonable Tolerance")</f>
        <v>0</v>
      </c>
      <c r="Y100" s="253" t="e">
        <f>X100/X107</f>
        <v>#DIV/0!</v>
      </c>
      <c r="Z100" s="375"/>
      <c r="AA100" s="253" t="e">
        <f>X100/X108</f>
        <v>#DIV/0!</v>
      </c>
      <c r="AB100" s="384"/>
      <c r="AC100" s="166"/>
    </row>
    <row r="101" spans="2:29" ht="31.5">
      <c r="B101" s="211" t="s">
        <v>33</v>
      </c>
      <c r="C101" s="208">
        <f>COUNTIFS('1. All Data'!$AB$3:$AB$136,"Tourism and Cultural Development",'1. All Data'!$H$3:$H$136,"Completed Behind Schedule")</f>
        <v>0</v>
      </c>
      <c r="D101" s="254">
        <f>C101/C107</f>
        <v>0</v>
      </c>
      <c r="E101" s="396">
        <f>D101+D102</f>
        <v>0</v>
      </c>
      <c r="F101" s="210">
        <f>C101/C108</f>
        <v>0</v>
      </c>
      <c r="G101" s="397">
        <f>F101+F102</f>
        <v>0</v>
      </c>
      <c r="I101" s="211" t="s">
        <v>33</v>
      </c>
      <c r="J101" s="208">
        <f>COUNTIFS('1. All Data'!$AB$3:$AB$136,"Tourism and Cultural Development",'1. All Data'!$M$3:$M$136,"Completed Behind Schedule")</f>
        <v>0</v>
      </c>
      <c r="K101" s="254">
        <f>J101/J107</f>
        <v>0</v>
      </c>
      <c r="L101" s="396">
        <f>K101+K102</f>
        <v>4.5454545454545456E-2</v>
      </c>
      <c r="M101" s="210">
        <f>J101/J108</f>
        <v>0</v>
      </c>
      <c r="N101" s="397">
        <f>M101+M102</f>
        <v>0.05</v>
      </c>
      <c r="P101" s="211" t="s">
        <v>33</v>
      </c>
      <c r="Q101" s="208">
        <f>COUNTIFS('1. All Data'!$AB$3:$AB$136,"Tourism and Cultural Development",'1. All Data'!$R$3:$R$136,"Completed Behind Schedule")</f>
        <v>0</v>
      </c>
      <c r="R101" s="254" t="e">
        <f>Q101/Q107</f>
        <v>#DIV/0!</v>
      </c>
      <c r="S101" s="396" t="e">
        <f>R101+R102</f>
        <v>#DIV/0!</v>
      </c>
      <c r="T101" s="210" t="e">
        <f>Q101/Q108</f>
        <v>#DIV/0!</v>
      </c>
      <c r="U101" s="397" t="e">
        <f>T101+T102</f>
        <v>#DIV/0!</v>
      </c>
      <c r="W101" s="171" t="s">
        <v>27</v>
      </c>
      <c r="X101" s="208">
        <f>COUNTIFS('1. All Data'!$AB$3:$AB$136,"Tourism and Cultural Development",'1. All Data'!$V$3:$V$136,"Completed Significantly After Target Deadline")</f>
        <v>0</v>
      </c>
      <c r="Y101" s="254" t="e">
        <f>X101/X107</f>
        <v>#DIV/0!</v>
      </c>
      <c r="Z101" s="396" t="e">
        <f>Y101+Y102</f>
        <v>#DIV/0!</v>
      </c>
      <c r="AA101" s="253" t="e">
        <f>X101/X108</f>
        <v>#DIV/0!</v>
      </c>
      <c r="AB101" s="376" t="e">
        <f>AA101+AA102</f>
        <v>#DIV/0!</v>
      </c>
      <c r="AC101" s="166"/>
    </row>
    <row r="102" spans="2:29" ht="15.75">
      <c r="B102" s="211" t="s">
        <v>26</v>
      </c>
      <c r="C102" s="208">
        <f>COUNTIFS('1. All Data'!$AB$3:$AB$136,"Tourism and Cultural Development",'1. All Data'!$H$3:$H$136,"Off Target")</f>
        <v>0</v>
      </c>
      <c r="D102" s="254">
        <f>C102/C107</f>
        <v>0</v>
      </c>
      <c r="E102" s="396"/>
      <c r="F102" s="210">
        <f>C102/C108</f>
        <v>0</v>
      </c>
      <c r="G102" s="397"/>
      <c r="I102" s="211" t="s">
        <v>26</v>
      </c>
      <c r="J102" s="208">
        <f>COUNTIFS('1. All Data'!$AB$3:$AB$136,"Tourism and Cultural Development",'1. All Data'!$M$3:$M$136,"Off Target")</f>
        <v>1</v>
      </c>
      <c r="K102" s="254">
        <f>J102/J107</f>
        <v>4.5454545454545456E-2</v>
      </c>
      <c r="L102" s="396"/>
      <c r="M102" s="210">
        <f>J102/J108</f>
        <v>0.05</v>
      </c>
      <c r="N102" s="397"/>
      <c r="P102" s="211" t="s">
        <v>26</v>
      </c>
      <c r="Q102" s="208">
        <f>COUNTIFS('1. All Data'!$AB$3:$AB$136,"Tourism and Cultural Development",'1. All Data'!$R$3:$R$136,"Off Target")</f>
        <v>0</v>
      </c>
      <c r="R102" s="254" t="e">
        <f>Q102/Q107</f>
        <v>#DIV/0!</v>
      </c>
      <c r="S102" s="396"/>
      <c r="T102" s="210" t="e">
        <f>Q102/Q108</f>
        <v>#DIV/0!</v>
      </c>
      <c r="U102" s="397"/>
      <c r="W102" s="171" t="s">
        <v>26</v>
      </c>
      <c r="X102" s="208">
        <f>COUNTIFS('1. All Data'!$AB$3:$AB$136,"Tourism and Cultural Development",'1. All Data'!$V$3:$V$136,"Off Target")</f>
        <v>0</v>
      </c>
      <c r="Y102" s="254" t="e">
        <f>X102/X107</f>
        <v>#DIV/0!</v>
      </c>
      <c r="Z102" s="396"/>
      <c r="AA102" s="253" t="e">
        <f>X102/X108</f>
        <v>#DIV/0!</v>
      </c>
      <c r="AB102" s="376"/>
      <c r="AC102" s="166"/>
    </row>
    <row r="103" spans="2:29" ht="15.75">
      <c r="B103" s="212" t="s">
        <v>49</v>
      </c>
      <c r="C103" s="208">
        <f>COUNTIFS('1. All Data'!$AB$3:$AB$136,"Tourism and Cultural Development",'1. All Data'!$H$3:$H$136,"Not yet due")</f>
        <v>6</v>
      </c>
      <c r="D103" s="213">
        <f>C103/C107</f>
        <v>0.27272727272727271</v>
      </c>
      <c r="E103" s="213">
        <f>D103</f>
        <v>0.27272727272727271</v>
      </c>
      <c r="F103" s="214"/>
      <c r="G103" s="58"/>
      <c r="I103" s="212" t="s">
        <v>49</v>
      </c>
      <c r="J103" s="208">
        <f>COUNTIFS('1. All Data'!$AB$3:$AB$136,"Tourism and Cultural Development",'1. All Data'!$M$3:$M$136,"Not yet due")</f>
        <v>1</v>
      </c>
      <c r="K103" s="213">
        <f>J103/J107</f>
        <v>4.5454545454545456E-2</v>
      </c>
      <c r="L103" s="213">
        <f>K103</f>
        <v>4.5454545454545456E-2</v>
      </c>
      <c r="M103" s="214"/>
      <c r="N103" s="58"/>
      <c r="P103" s="212" t="s">
        <v>49</v>
      </c>
      <c r="Q103" s="208">
        <f>COUNTIFS('1. All Data'!$AB$3:$AB$136,"Tourism and Cultural Development",'1. All Data'!$R$3:$R$136,"Not yet due")</f>
        <v>0</v>
      </c>
      <c r="R103" s="213" t="e">
        <f>Q103/Q107</f>
        <v>#DIV/0!</v>
      </c>
      <c r="S103" s="213" t="e">
        <f>R103</f>
        <v>#DIV/0!</v>
      </c>
      <c r="T103" s="214"/>
      <c r="U103" s="58"/>
      <c r="W103" s="172" t="s">
        <v>49</v>
      </c>
      <c r="X103" s="208">
        <f>COUNTIFS('1. All Data'!$AB$3:$AB$136,"Tourism and Cultural Development",'1. All Data'!$V$3:$V$136,"Not yet due")</f>
        <v>0</v>
      </c>
      <c r="Y103" s="213" t="e">
        <f>X103/X107</f>
        <v>#DIV/0!</v>
      </c>
      <c r="Z103" s="213" t="e">
        <f>Y103</f>
        <v>#DIV/0!</v>
      </c>
      <c r="AA103" s="174"/>
      <c r="AB103" s="58"/>
      <c r="AC103" s="166"/>
    </row>
    <row r="104" spans="2:29" ht="15.75">
      <c r="B104" s="212" t="s">
        <v>21</v>
      </c>
      <c r="C104" s="208">
        <f>COUNTIFS('1. All Data'!$AB$3:$AB$136,"Tourism and Cultural Development",'1. All Data'!$H$3:$H$136,"Update not provided")</f>
        <v>0</v>
      </c>
      <c r="D104" s="213">
        <f>C104/C107</f>
        <v>0</v>
      </c>
      <c r="E104" s="213">
        <f>D104</f>
        <v>0</v>
      </c>
      <c r="F104" s="214"/>
      <c r="G104" s="2"/>
      <c r="I104" s="212" t="s">
        <v>21</v>
      </c>
      <c r="J104" s="208">
        <f>COUNTIFS('1. All Data'!$AB$3:$AB$136,"Tourism and Cultural Development",'1. All Data'!$M$3:$M$136,"Update not provided")</f>
        <v>0</v>
      </c>
      <c r="K104" s="213">
        <f>J104/J107</f>
        <v>0</v>
      </c>
      <c r="L104" s="213">
        <f>K104</f>
        <v>0</v>
      </c>
      <c r="M104" s="214"/>
      <c r="N104" s="2"/>
      <c r="P104" s="212" t="s">
        <v>21</v>
      </c>
      <c r="Q104" s="208">
        <f>COUNTIFS('1. All Data'!$AB$3:$AB$136,"Tourism and Cultural Development",'1. All Data'!$R$3:$R$136,"Update not provided")</f>
        <v>0</v>
      </c>
      <c r="R104" s="213" t="e">
        <f>Q104/Q107</f>
        <v>#DIV/0!</v>
      </c>
      <c r="S104" s="213" t="e">
        <f>R104</f>
        <v>#DIV/0!</v>
      </c>
      <c r="T104" s="214"/>
      <c r="U104" s="2"/>
      <c r="W104" s="172" t="s">
        <v>21</v>
      </c>
      <c r="X104" s="208">
        <f>COUNTIFS('1. All Data'!$AB$3:$AB$136,"Tourism and Cultural Development",'1. All Data'!$V$3:$V$136,"Update not provided")</f>
        <v>0</v>
      </c>
      <c r="Y104" s="213" t="e">
        <f>X104/X107</f>
        <v>#DIV/0!</v>
      </c>
      <c r="Z104" s="213" t="e">
        <f>Y104</f>
        <v>#DIV/0!</v>
      </c>
      <c r="AA104" s="174"/>
      <c r="AB104" s="2"/>
      <c r="AC104" s="166"/>
    </row>
    <row r="105" spans="2:29" ht="15.75">
      <c r="B105" s="215" t="s">
        <v>29</v>
      </c>
      <c r="C105" s="208">
        <f>COUNTIFS('1. All Data'!$AB$3:$AB$136,"Tourism and Cultural Development",'1. All Data'!$H$3:$H$136,"Deferred")</f>
        <v>0</v>
      </c>
      <c r="D105" s="216">
        <f>C105/C107</f>
        <v>0</v>
      </c>
      <c r="E105" s="216">
        <f>D105</f>
        <v>0</v>
      </c>
      <c r="F105" s="217"/>
      <c r="G105" s="58"/>
      <c r="I105" s="215" t="s">
        <v>29</v>
      </c>
      <c r="J105" s="208">
        <f>COUNTIFS('1. All Data'!$AB$3:$AB$136,"Tourism and Cultural Development",'1. All Data'!$M$3:$M$136,"Deferred")</f>
        <v>0</v>
      </c>
      <c r="K105" s="216">
        <f>J105/J107</f>
        <v>0</v>
      </c>
      <c r="L105" s="216">
        <f>K105</f>
        <v>0</v>
      </c>
      <c r="M105" s="217"/>
      <c r="N105" s="58"/>
      <c r="P105" s="215" t="s">
        <v>29</v>
      </c>
      <c r="Q105" s="208">
        <f>COUNTIFS('1. All Data'!$AB$3:$AB$136,"Tourism and Cultural Development",'1. All Data'!$R$3:$R$136,"Deferred")</f>
        <v>0</v>
      </c>
      <c r="R105" s="216" t="e">
        <f>Q105/Q107</f>
        <v>#DIV/0!</v>
      </c>
      <c r="S105" s="216" t="e">
        <f>R105</f>
        <v>#DIV/0!</v>
      </c>
      <c r="T105" s="217"/>
      <c r="U105" s="58"/>
      <c r="W105" s="175" t="s">
        <v>29</v>
      </c>
      <c r="X105" s="208">
        <f>COUNTIFS('1. All Data'!$AB$3:$AB$136,"Tourism and Cultural Development",'1. All Data'!$V$3:$V$136,"Deferred")</f>
        <v>0</v>
      </c>
      <c r="Y105" s="216" t="e">
        <f>X105/X107</f>
        <v>#DIV/0!</v>
      </c>
      <c r="Z105" s="216" t="e">
        <f>Y105</f>
        <v>#DIV/0!</v>
      </c>
      <c r="AA105" s="177"/>
      <c r="AB105" s="58"/>
      <c r="AC105" s="166"/>
    </row>
    <row r="106" spans="2:29" ht="15.75">
      <c r="B106" s="215" t="s">
        <v>30</v>
      </c>
      <c r="C106" s="208">
        <f>COUNTIFS('1. All Data'!$AB$3:$AB$136,"Tourism and Cultural Development",'1. All Data'!$H$3:$H$136,"Deleted")</f>
        <v>0</v>
      </c>
      <c r="D106" s="216">
        <f>C106/C107</f>
        <v>0</v>
      </c>
      <c r="E106" s="216">
        <f>D106</f>
        <v>0</v>
      </c>
      <c r="F106" s="217"/>
      <c r="G106" s="29"/>
      <c r="I106" s="215" t="s">
        <v>30</v>
      </c>
      <c r="J106" s="208">
        <f>COUNTIFS('1. All Data'!$AB$3:$AB$136,"Tourism and Cultural Development",'1. All Data'!$M$3:$M$136,"Deleted")</f>
        <v>1</v>
      </c>
      <c r="K106" s="216">
        <f>J106/J107</f>
        <v>4.5454545454545456E-2</v>
      </c>
      <c r="L106" s="216">
        <f>K106</f>
        <v>4.5454545454545456E-2</v>
      </c>
      <c r="M106" s="217"/>
      <c r="N106" s="29"/>
      <c r="P106" s="215" t="s">
        <v>30</v>
      </c>
      <c r="Q106" s="208">
        <f>COUNTIFS('1. All Data'!$AB$3:$AB$136,"Tourism and Cultural Development",'1. All Data'!$R$3:$R$136,"Deleted")</f>
        <v>0</v>
      </c>
      <c r="R106" s="216" t="e">
        <f>Q106/Q107</f>
        <v>#DIV/0!</v>
      </c>
      <c r="S106" s="216" t="e">
        <f>R106</f>
        <v>#DIV/0!</v>
      </c>
      <c r="T106" s="217"/>
      <c r="U106" s="29"/>
      <c r="W106" s="175" t="s">
        <v>30</v>
      </c>
      <c r="X106" s="208">
        <f>COUNTIFS('1. All Data'!$AB$3:$AB$136,"Tourism and Cultural Development",'1. All Data'!$V$3:$V$136,"Deleted")</f>
        <v>0</v>
      </c>
      <c r="Y106" s="216" t="e">
        <f>X106/X107</f>
        <v>#DIV/0!</v>
      </c>
      <c r="Z106" s="216" t="e">
        <f>Y106</f>
        <v>#DIV/0!</v>
      </c>
      <c r="AA106" s="177"/>
      <c r="AB106" s="3"/>
      <c r="AC106" s="166"/>
    </row>
    <row r="107" spans="2:29" ht="15.75">
      <c r="B107" s="218" t="s">
        <v>51</v>
      </c>
      <c r="C107" s="219">
        <f>SUM(C96:C106)</f>
        <v>22</v>
      </c>
      <c r="D107" s="177"/>
      <c r="E107" s="177"/>
      <c r="F107" s="220"/>
      <c r="G107" s="58"/>
      <c r="I107" s="218" t="s">
        <v>51</v>
      </c>
      <c r="J107" s="219">
        <f>SUM(J96:J106)</f>
        <v>22</v>
      </c>
      <c r="K107" s="177"/>
      <c r="L107" s="177"/>
      <c r="M107" s="220"/>
      <c r="N107" s="58"/>
      <c r="P107" s="218" t="s">
        <v>51</v>
      </c>
      <c r="Q107" s="219">
        <f>SUM(Q96:Q106)</f>
        <v>0</v>
      </c>
      <c r="R107" s="177"/>
      <c r="S107" s="177"/>
      <c r="T107" s="220"/>
      <c r="U107" s="58"/>
      <c r="W107" s="178" t="s">
        <v>51</v>
      </c>
      <c r="X107" s="219">
        <f>SUM(X96:X106)</f>
        <v>0</v>
      </c>
      <c r="Y107" s="177"/>
      <c r="Z107" s="177"/>
      <c r="AA107" s="58"/>
      <c r="AB107" s="58"/>
      <c r="AC107" s="166"/>
    </row>
    <row r="108" spans="2:29" ht="15.75">
      <c r="B108" s="218" t="s">
        <v>52</v>
      </c>
      <c r="C108" s="219">
        <f>C107-C106-C105-C104-C103</f>
        <v>16</v>
      </c>
      <c r="D108" s="58"/>
      <c r="E108" s="58"/>
      <c r="F108" s="220"/>
      <c r="G108" s="58"/>
      <c r="I108" s="218" t="s">
        <v>52</v>
      </c>
      <c r="J108" s="219">
        <f>J107-J106-J105-J104-J103</f>
        <v>20</v>
      </c>
      <c r="K108" s="58"/>
      <c r="L108" s="58"/>
      <c r="M108" s="220"/>
      <c r="N108" s="58"/>
      <c r="P108" s="218" t="s">
        <v>52</v>
      </c>
      <c r="Q108" s="219">
        <f>Q107-Q106-Q105-Q104-Q103</f>
        <v>0</v>
      </c>
      <c r="R108" s="58"/>
      <c r="S108" s="58"/>
      <c r="T108" s="220"/>
      <c r="U108" s="58"/>
      <c r="W108" s="178" t="s">
        <v>52</v>
      </c>
      <c r="X108" s="219">
        <f>X107-X106-X105-X104-X103</f>
        <v>0</v>
      </c>
      <c r="Y108" s="58"/>
      <c r="Z108" s="58"/>
      <c r="AA108" s="58"/>
      <c r="AB108" s="58"/>
      <c r="AC108" s="166"/>
    </row>
    <row r="109" spans="2:29">
      <c r="W109" s="165"/>
      <c r="X109" s="165"/>
      <c r="Y109" s="165"/>
      <c r="Z109" s="165"/>
      <c r="AA109" s="165"/>
      <c r="AB109" s="186"/>
      <c r="AC109" s="166"/>
    </row>
    <row r="110" spans="2:29">
      <c r="W110" s="165"/>
      <c r="X110" s="165"/>
      <c r="Y110" s="165"/>
      <c r="Z110" s="165"/>
      <c r="AA110" s="165"/>
      <c r="AB110" s="186"/>
      <c r="AC110" s="166"/>
    </row>
    <row r="111" spans="2:29">
      <c r="W111" s="165"/>
      <c r="X111" s="165"/>
      <c r="Y111" s="165"/>
      <c r="Z111" s="165"/>
      <c r="AA111" s="165"/>
      <c r="AB111" s="186"/>
      <c r="AC111" s="166"/>
    </row>
    <row r="112" spans="2:29">
      <c r="W112" s="165"/>
      <c r="X112" s="165"/>
      <c r="Y112" s="165"/>
      <c r="Z112" s="165"/>
      <c r="AA112" s="165"/>
      <c r="AB112" s="186"/>
      <c r="AC112" s="166"/>
    </row>
    <row r="113" spans="23:29">
      <c r="W113" s="165"/>
      <c r="X113" s="165"/>
      <c r="Y113" s="165"/>
      <c r="Z113" s="165"/>
      <c r="AA113" s="165"/>
      <c r="AB113" s="186"/>
      <c r="AC113" s="166"/>
    </row>
    <row r="114" spans="23:29">
      <c r="W114" s="165"/>
      <c r="X114" s="165"/>
      <c r="Y114" s="165"/>
      <c r="Z114" s="165"/>
      <c r="AA114" s="165"/>
      <c r="AB114" s="186"/>
      <c r="AC114" s="166"/>
    </row>
    <row r="115" spans="23:29">
      <c r="W115" s="165"/>
      <c r="X115" s="165"/>
      <c r="Y115" s="165"/>
      <c r="Z115" s="165"/>
      <c r="AA115" s="165"/>
      <c r="AB115" s="186"/>
      <c r="AC115" s="166"/>
    </row>
    <row r="116" spans="23:29">
      <c r="W116" s="165"/>
      <c r="X116" s="165"/>
      <c r="Y116" s="165"/>
      <c r="Z116" s="165"/>
      <c r="AA116" s="165"/>
      <c r="AB116" s="186"/>
      <c r="AC116" s="166"/>
    </row>
    <row r="117" spans="23:29">
      <c r="W117" s="165"/>
      <c r="X117" s="165"/>
      <c r="Y117" s="165"/>
      <c r="Z117" s="165"/>
      <c r="AA117" s="165"/>
      <c r="AB117" s="186"/>
      <c r="AC117" s="166"/>
    </row>
    <row r="118" spans="23:29">
      <c r="W118" s="165"/>
      <c r="X118" s="165"/>
      <c r="Y118" s="165"/>
      <c r="Z118" s="165"/>
      <c r="AA118" s="165"/>
      <c r="AB118" s="186"/>
      <c r="AC118" s="166"/>
    </row>
    <row r="119" spans="23:29">
      <c r="W119" s="165"/>
      <c r="X119" s="165"/>
      <c r="Y119" s="165"/>
      <c r="Z119" s="165"/>
      <c r="AA119" s="165"/>
      <c r="AB119" s="186"/>
      <c r="AC119" s="166"/>
    </row>
    <row r="120" spans="23:29">
      <c r="W120" s="165"/>
      <c r="X120" s="165"/>
      <c r="Y120" s="165"/>
      <c r="Z120" s="165"/>
      <c r="AA120" s="165"/>
      <c r="AB120" s="186"/>
      <c r="AC120" s="166"/>
    </row>
    <row r="121" spans="23:29">
      <c r="W121" s="165"/>
      <c r="X121" s="165"/>
      <c r="Y121" s="165"/>
      <c r="Z121" s="165"/>
      <c r="AA121" s="165"/>
      <c r="AB121" s="186"/>
      <c r="AC121" s="166"/>
    </row>
    <row r="122" spans="23:29">
      <c r="W122" s="165"/>
      <c r="X122" s="165"/>
      <c r="Y122" s="165"/>
      <c r="Z122" s="165"/>
      <c r="AA122" s="165"/>
      <c r="AB122" s="186"/>
      <c r="AC122" s="166"/>
    </row>
    <row r="123" spans="23:29">
      <c r="W123" s="165"/>
      <c r="X123" s="165"/>
      <c r="Y123" s="165"/>
      <c r="Z123" s="165"/>
      <c r="AA123" s="165"/>
      <c r="AB123" s="186"/>
      <c r="AC123" s="166"/>
    </row>
    <row r="124" spans="23:29">
      <c r="W124" s="165"/>
      <c r="X124" s="165"/>
      <c r="Y124" s="165"/>
      <c r="Z124" s="165"/>
      <c r="AA124" s="165"/>
      <c r="AB124" s="186"/>
      <c r="AC124" s="166"/>
    </row>
    <row r="125" spans="23:29">
      <c r="W125" s="165"/>
      <c r="X125" s="165"/>
      <c r="Y125" s="165"/>
      <c r="Z125" s="165"/>
      <c r="AA125" s="165"/>
      <c r="AB125" s="186"/>
      <c r="AC125" s="166"/>
    </row>
    <row r="126" spans="23:29">
      <c r="W126" s="165"/>
      <c r="X126" s="165"/>
      <c r="Y126" s="165"/>
      <c r="Z126" s="165"/>
      <c r="AA126" s="165"/>
      <c r="AB126" s="186"/>
      <c r="AC126" s="166"/>
    </row>
    <row r="127" spans="23:29">
      <c r="W127" s="165"/>
      <c r="X127" s="165"/>
      <c r="Y127" s="165"/>
      <c r="Z127" s="165"/>
      <c r="AA127" s="165"/>
      <c r="AB127" s="186"/>
      <c r="AC127" s="166"/>
    </row>
    <row r="128" spans="23:29">
      <c r="W128" s="165"/>
      <c r="X128" s="165"/>
      <c r="Y128" s="165"/>
      <c r="Z128" s="165"/>
      <c r="AA128" s="165"/>
      <c r="AB128" s="186"/>
      <c r="AC128" s="166"/>
    </row>
    <row r="129" spans="23:29">
      <c r="W129" s="165"/>
      <c r="X129" s="165"/>
      <c r="Y129" s="165"/>
      <c r="Z129" s="165"/>
      <c r="AA129" s="165"/>
      <c r="AB129" s="186"/>
      <c r="AC129" s="166"/>
    </row>
    <row r="130" spans="23:29">
      <c r="W130" s="165"/>
      <c r="X130" s="165"/>
      <c r="Y130" s="165"/>
      <c r="Z130" s="165"/>
      <c r="AA130" s="165"/>
      <c r="AB130" s="186"/>
      <c r="AC130" s="166"/>
    </row>
    <row r="131" spans="23:29">
      <c r="W131" s="165"/>
      <c r="X131" s="165"/>
      <c r="Y131" s="165"/>
      <c r="Z131" s="165"/>
      <c r="AA131" s="165"/>
      <c r="AB131" s="186"/>
      <c r="AC131" s="166"/>
    </row>
    <row r="132" spans="23:29">
      <c r="W132" s="165"/>
      <c r="X132" s="165"/>
      <c r="Y132" s="165"/>
      <c r="Z132" s="165"/>
      <c r="AA132" s="165"/>
      <c r="AB132" s="186"/>
      <c r="AC132" s="166"/>
    </row>
    <row r="133" spans="23:29">
      <c r="W133" s="165"/>
      <c r="X133" s="165"/>
      <c r="Y133" s="165"/>
      <c r="Z133" s="165"/>
      <c r="AA133" s="165"/>
      <c r="AB133" s="186"/>
      <c r="AC133" s="166"/>
    </row>
    <row r="134" spans="23:29">
      <c r="W134" s="165"/>
      <c r="X134" s="165"/>
      <c r="Y134" s="165"/>
      <c r="Z134" s="165"/>
      <c r="AA134" s="165"/>
      <c r="AB134" s="186"/>
      <c r="AC134" s="166"/>
    </row>
    <row r="135" spans="23:29">
      <c r="W135" s="165"/>
      <c r="X135" s="165"/>
      <c r="Y135" s="165"/>
      <c r="Z135" s="165"/>
      <c r="AA135" s="165"/>
      <c r="AB135" s="186"/>
      <c r="AC135" s="166"/>
    </row>
    <row r="136" spans="23:29">
      <c r="W136" s="165"/>
      <c r="X136" s="165"/>
      <c r="Y136" s="165"/>
      <c r="Z136" s="165"/>
      <c r="AA136" s="165"/>
      <c r="AB136" s="186"/>
      <c r="AC136" s="166"/>
    </row>
    <row r="137" spans="23:29">
      <c r="W137" s="165"/>
      <c r="X137" s="165"/>
      <c r="Y137" s="165"/>
      <c r="Z137" s="165"/>
      <c r="AA137" s="165"/>
      <c r="AB137" s="186"/>
      <c r="AC137" s="166"/>
    </row>
    <row r="138" spans="23:29">
      <c r="W138" s="165"/>
      <c r="X138" s="165"/>
      <c r="Y138" s="165"/>
      <c r="Z138" s="165"/>
      <c r="AA138" s="165"/>
      <c r="AB138" s="186"/>
      <c r="AC138" s="166"/>
    </row>
    <row r="139" spans="23:29">
      <c r="W139" s="165"/>
      <c r="X139" s="165"/>
      <c r="Y139" s="165"/>
      <c r="Z139" s="165"/>
      <c r="AA139" s="165"/>
      <c r="AB139" s="186"/>
      <c r="AC139" s="166"/>
    </row>
    <row r="140" spans="23:29">
      <c r="W140" s="165"/>
      <c r="X140" s="165"/>
      <c r="Y140" s="165"/>
      <c r="Z140" s="165"/>
      <c r="AA140" s="165"/>
      <c r="AB140" s="186"/>
      <c r="AC140" s="166"/>
    </row>
    <row r="141" spans="23:29">
      <c r="W141" s="165"/>
      <c r="X141" s="165"/>
      <c r="Y141" s="165"/>
      <c r="Z141" s="165"/>
      <c r="AA141" s="165"/>
      <c r="AB141" s="186"/>
      <c r="AC141" s="166"/>
    </row>
    <row r="142" spans="23:29">
      <c r="W142" s="165"/>
      <c r="X142" s="165"/>
      <c r="Y142" s="165"/>
      <c r="Z142" s="165"/>
      <c r="AA142" s="165"/>
      <c r="AB142" s="186"/>
      <c r="AC142" s="166"/>
    </row>
    <row r="143" spans="23:29">
      <c r="W143" s="165"/>
      <c r="X143" s="165"/>
      <c r="Y143" s="165"/>
      <c r="Z143" s="165"/>
      <c r="AA143" s="165"/>
      <c r="AB143" s="186"/>
      <c r="AC143" s="166"/>
    </row>
    <row r="144" spans="23:29">
      <c r="W144" s="165"/>
      <c r="X144" s="165"/>
      <c r="Y144" s="165"/>
      <c r="Z144" s="165"/>
      <c r="AA144" s="165"/>
      <c r="AB144" s="186"/>
      <c r="AC144" s="166"/>
    </row>
    <row r="145" spans="23:29">
      <c r="W145" s="165"/>
      <c r="X145" s="165"/>
      <c r="Y145" s="165"/>
      <c r="Z145" s="165"/>
      <c r="AA145" s="165"/>
      <c r="AB145" s="186"/>
      <c r="AC145" s="166"/>
    </row>
    <row r="146" spans="23:29">
      <c r="W146" s="165"/>
      <c r="X146" s="165"/>
      <c r="Y146" s="165"/>
      <c r="Z146" s="165"/>
      <c r="AA146" s="165"/>
      <c r="AB146" s="186"/>
      <c r="AC146" s="166"/>
    </row>
    <row r="147" spans="23:29">
      <c r="W147" s="165"/>
      <c r="X147" s="165"/>
      <c r="Y147" s="165"/>
      <c r="Z147" s="165"/>
      <c r="AA147" s="165"/>
      <c r="AB147" s="186"/>
      <c r="AC147" s="166"/>
    </row>
    <row r="148" spans="23:29">
      <c r="W148" s="165"/>
      <c r="X148" s="165"/>
      <c r="Y148" s="165"/>
      <c r="Z148" s="165"/>
      <c r="AA148" s="165"/>
      <c r="AB148" s="186"/>
      <c r="AC148" s="166"/>
    </row>
    <row r="149" spans="23:29">
      <c r="W149" s="165"/>
      <c r="X149" s="165"/>
      <c r="Y149" s="165"/>
      <c r="Z149" s="165"/>
      <c r="AA149" s="165"/>
      <c r="AB149" s="186"/>
      <c r="AC149" s="166"/>
    </row>
    <row r="150" spans="23:29">
      <c r="W150" s="165"/>
      <c r="X150" s="165"/>
      <c r="Y150" s="165"/>
      <c r="Z150" s="165"/>
      <c r="AA150" s="165"/>
      <c r="AB150" s="186"/>
      <c r="AC150" s="166"/>
    </row>
    <row r="151" spans="23:29">
      <c r="W151" s="165"/>
      <c r="X151" s="165"/>
      <c r="Y151" s="165"/>
      <c r="Z151" s="165"/>
      <c r="AA151" s="165"/>
      <c r="AB151" s="186"/>
      <c r="AC151" s="166"/>
    </row>
    <row r="152" spans="23:29">
      <c r="W152" s="165"/>
      <c r="X152" s="165"/>
      <c r="Y152" s="165"/>
      <c r="Z152" s="165"/>
      <c r="AA152" s="165"/>
      <c r="AB152" s="186"/>
      <c r="AC152" s="166"/>
    </row>
    <row r="153" spans="23:29">
      <c r="W153" s="165"/>
      <c r="X153" s="165"/>
      <c r="Y153" s="165"/>
      <c r="Z153" s="165"/>
      <c r="AA153" s="165"/>
      <c r="AB153" s="186"/>
      <c r="AC153" s="166"/>
    </row>
    <row r="154" spans="23:29">
      <c r="W154" s="165"/>
      <c r="X154" s="165"/>
      <c r="Y154" s="165"/>
      <c r="Z154" s="165"/>
      <c r="AA154" s="165"/>
      <c r="AB154" s="186"/>
      <c r="AC154" s="166"/>
    </row>
    <row r="155" spans="23:29">
      <c r="W155" s="165"/>
      <c r="X155" s="165"/>
      <c r="Y155" s="165"/>
      <c r="Z155" s="165"/>
      <c r="AA155" s="165"/>
      <c r="AB155" s="186"/>
      <c r="AC155" s="166"/>
    </row>
    <row r="156" spans="23:29">
      <c r="W156" s="165"/>
      <c r="X156" s="165"/>
      <c r="Y156" s="165"/>
      <c r="Z156" s="165"/>
      <c r="AA156" s="165"/>
      <c r="AB156" s="186"/>
      <c r="AC156" s="166"/>
    </row>
    <row r="157" spans="23:29">
      <c r="W157" s="165"/>
      <c r="X157" s="165"/>
      <c r="Y157" s="165"/>
      <c r="Z157" s="165"/>
      <c r="AA157" s="165"/>
      <c r="AB157" s="186"/>
      <c r="AC157" s="166"/>
    </row>
    <row r="158" spans="23:29">
      <c r="W158" s="165"/>
      <c r="X158" s="165"/>
      <c r="Y158" s="165"/>
      <c r="Z158" s="165"/>
      <c r="AA158" s="165"/>
      <c r="AB158" s="186"/>
      <c r="AC158" s="166"/>
    </row>
    <row r="159" spans="23:29">
      <c r="W159" s="165"/>
      <c r="X159" s="165"/>
      <c r="Y159" s="165"/>
      <c r="Z159" s="165"/>
      <c r="AA159" s="165"/>
      <c r="AB159" s="186"/>
      <c r="AC159" s="166"/>
    </row>
    <row r="160" spans="23:29">
      <c r="W160" s="165"/>
      <c r="X160" s="165"/>
      <c r="Y160" s="165"/>
      <c r="Z160" s="165"/>
      <c r="AA160" s="165"/>
      <c r="AB160" s="186"/>
      <c r="AC160" s="166"/>
    </row>
    <row r="161" spans="23:29">
      <c r="W161" s="165"/>
      <c r="X161" s="165"/>
      <c r="Y161" s="165"/>
      <c r="Z161" s="165"/>
      <c r="AA161" s="165"/>
      <c r="AB161" s="186"/>
      <c r="AC161" s="166"/>
    </row>
    <row r="162" spans="23:29">
      <c r="W162" s="165"/>
      <c r="X162" s="165"/>
      <c r="Y162" s="165"/>
      <c r="Z162" s="165"/>
      <c r="AA162" s="165"/>
      <c r="AB162" s="186"/>
      <c r="AC162" s="166"/>
    </row>
    <row r="163" spans="23:29">
      <c r="W163" s="165"/>
      <c r="X163" s="165"/>
      <c r="Y163" s="165"/>
      <c r="Z163" s="165"/>
      <c r="AA163" s="165"/>
      <c r="AB163" s="186"/>
      <c r="AC163" s="166"/>
    </row>
    <row r="164" spans="23:29">
      <c r="W164" s="165"/>
      <c r="X164" s="165"/>
      <c r="Y164" s="165"/>
      <c r="Z164" s="165"/>
      <c r="AA164" s="165"/>
      <c r="AB164" s="186"/>
      <c r="AC164" s="166"/>
    </row>
    <row r="165" spans="23:29">
      <c r="W165" s="165"/>
      <c r="X165" s="165"/>
      <c r="Y165" s="165"/>
      <c r="Z165" s="165"/>
      <c r="AA165" s="165"/>
      <c r="AB165" s="186"/>
      <c r="AC165" s="166"/>
    </row>
    <row r="166" spans="23:29">
      <c r="W166" s="165"/>
      <c r="X166" s="165"/>
      <c r="Y166" s="165"/>
      <c r="Z166" s="165"/>
      <c r="AA166" s="165"/>
      <c r="AB166" s="186"/>
      <c r="AC166" s="166"/>
    </row>
    <row r="167" spans="23:29">
      <c r="W167" s="165"/>
      <c r="X167" s="165"/>
      <c r="Y167" s="165"/>
      <c r="Z167" s="165"/>
      <c r="AA167" s="165"/>
      <c r="AB167" s="186"/>
      <c r="AC167" s="166"/>
    </row>
    <row r="168" spans="23:29">
      <c r="W168" s="165"/>
      <c r="X168" s="165"/>
      <c r="Y168" s="165"/>
      <c r="Z168" s="165"/>
      <c r="AA168" s="165"/>
      <c r="AB168" s="186"/>
      <c r="AC168" s="166"/>
    </row>
    <row r="169" spans="23:29">
      <c r="W169" s="165"/>
      <c r="X169" s="165"/>
      <c r="Y169" s="165"/>
      <c r="Z169" s="165"/>
      <c r="AA169" s="165"/>
      <c r="AB169" s="186"/>
      <c r="AC169" s="166"/>
    </row>
    <row r="170" spans="23:29">
      <c r="W170" s="165"/>
      <c r="X170" s="165"/>
      <c r="Y170" s="165"/>
      <c r="Z170" s="165"/>
      <c r="AA170" s="165"/>
      <c r="AB170" s="186"/>
      <c r="AC170" s="166"/>
    </row>
    <row r="171" spans="23:29">
      <c r="W171" s="165"/>
      <c r="X171" s="165"/>
      <c r="Y171" s="165"/>
      <c r="Z171" s="165"/>
      <c r="AA171" s="165"/>
      <c r="AB171" s="186"/>
      <c r="AC171" s="166"/>
    </row>
    <row r="172" spans="23:29">
      <c r="W172" s="165"/>
      <c r="X172" s="165"/>
      <c r="Y172" s="165"/>
      <c r="Z172" s="165"/>
      <c r="AA172" s="165"/>
      <c r="AB172" s="186"/>
      <c r="AC172" s="166"/>
    </row>
    <row r="173" spans="23:29">
      <c r="W173" s="165"/>
      <c r="X173" s="165"/>
      <c r="Y173" s="165"/>
      <c r="Z173" s="165"/>
      <c r="AA173" s="165"/>
      <c r="AB173" s="186"/>
      <c r="AC173" s="166"/>
    </row>
    <row r="174" spans="23:29">
      <c r="W174" s="165"/>
      <c r="X174" s="165"/>
      <c r="Y174" s="165"/>
      <c r="Z174" s="165"/>
      <c r="AA174" s="165"/>
      <c r="AB174" s="186"/>
      <c r="AC174" s="166"/>
    </row>
    <row r="175" spans="23:29">
      <c r="W175" s="165"/>
      <c r="X175" s="165"/>
      <c r="Y175" s="165"/>
      <c r="Z175" s="165"/>
      <c r="AA175" s="165"/>
      <c r="AB175" s="186"/>
      <c r="AC175" s="166"/>
    </row>
    <row r="176" spans="23:29">
      <c r="W176" s="165"/>
      <c r="X176" s="165"/>
      <c r="Y176" s="165"/>
      <c r="Z176" s="165"/>
      <c r="AA176" s="165"/>
      <c r="AB176" s="186"/>
      <c r="AC176" s="166"/>
    </row>
    <row r="177" spans="23:29">
      <c r="W177" s="165"/>
      <c r="X177" s="165"/>
      <c r="Y177" s="165"/>
      <c r="Z177" s="165"/>
      <c r="AA177" s="165"/>
      <c r="AB177" s="186"/>
      <c r="AC177" s="166"/>
    </row>
    <row r="178" spans="23:29">
      <c r="W178" s="165"/>
      <c r="X178" s="165"/>
      <c r="Y178" s="165"/>
      <c r="Z178" s="165"/>
      <c r="AA178" s="165"/>
      <c r="AB178" s="186"/>
      <c r="AC178" s="166"/>
    </row>
    <row r="179" spans="23:29">
      <c r="W179" s="165"/>
      <c r="X179" s="165"/>
      <c r="Y179" s="165"/>
      <c r="Z179" s="165"/>
      <c r="AA179" s="165"/>
      <c r="AB179" s="186"/>
      <c r="AC179" s="166"/>
    </row>
    <row r="180" spans="23:29">
      <c r="W180" s="165"/>
      <c r="X180" s="165"/>
      <c r="Y180" s="165"/>
      <c r="Z180" s="165"/>
      <c r="AA180" s="165"/>
      <c r="AB180" s="186"/>
      <c r="AC180" s="166"/>
    </row>
    <row r="181" spans="23:29">
      <c r="W181" s="165"/>
      <c r="X181" s="165"/>
      <c r="Y181" s="165"/>
      <c r="Z181" s="165"/>
      <c r="AA181" s="165"/>
      <c r="AB181" s="186"/>
      <c r="AC181" s="166"/>
    </row>
    <row r="182" spans="23:29">
      <c r="W182" s="165"/>
      <c r="X182" s="165"/>
      <c r="Y182" s="165"/>
      <c r="Z182" s="165"/>
      <c r="AA182" s="165"/>
      <c r="AB182" s="186"/>
      <c r="AC182" s="166"/>
    </row>
    <row r="183" spans="23:29">
      <c r="W183" s="165"/>
      <c r="X183" s="165"/>
      <c r="Y183" s="165"/>
      <c r="Z183" s="165"/>
      <c r="AA183" s="165"/>
      <c r="AB183" s="186"/>
      <c r="AC183" s="166"/>
    </row>
    <row r="184" spans="23:29">
      <c r="W184" s="165"/>
      <c r="X184" s="165"/>
      <c r="Y184" s="165"/>
      <c r="Z184" s="165"/>
      <c r="AA184" s="165"/>
      <c r="AB184" s="186"/>
      <c r="AC184" s="166"/>
    </row>
    <row r="185" spans="23:29">
      <c r="W185" s="165"/>
      <c r="X185" s="165"/>
      <c r="Y185" s="165"/>
      <c r="Z185" s="165"/>
      <c r="AA185" s="165"/>
      <c r="AB185" s="186"/>
      <c r="AC185" s="166"/>
    </row>
    <row r="186" spans="23:29">
      <c r="W186" s="165"/>
      <c r="X186" s="165"/>
      <c r="Y186" s="165"/>
      <c r="Z186" s="165"/>
      <c r="AA186" s="165"/>
      <c r="AB186" s="186"/>
      <c r="AC186" s="166"/>
    </row>
    <row r="187" spans="23:29">
      <c r="W187" s="165"/>
      <c r="X187" s="165"/>
      <c r="Y187" s="165"/>
      <c r="Z187" s="165"/>
      <c r="AA187" s="165"/>
      <c r="AB187" s="186"/>
      <c r="AC187" s="166"/>
    </row>
    <row r="188" spans="23:29">
      <c r="W188" s="165"/>
      <c r="X188" s="165"/>
      <c r="Y188" s="165"/>
      <c r="Z188" s="165"/>
      <c r="AA188" s="165"/>
      <c r="AB188" s="186"/>
      <c r="AC188" s="166"/>
    </row>
    <row r="189" spans="23:29">
      <c r="W189" s="165"/>
      <c r="X189" s="165"/>
      <c r="Y189" s="165"/>
      <c r="Z189" s="165"/>
      <c r="AA189" s="165"/>
      <c r="AB189" s="186"/>
      <c r="AC189" s="166"/>
    </row>
    <row r="190" spans="23:29">
      <c r="W190" s="165"/>
      <c r="X190" s="165"/>
      <c r="Y190" s="165"/>
      <c r="Z190" s="165"/>
      <c r="AA190" s="165"/>
      <c r="AB190" s="186"/>
      <c r="AC190" s="166"/>
    </row>
    <row r="191" spans="23:29">
      <c r="W191" s="165"/>
      <c r="X191" s="165"/>
      <c r="Y191" s="165"/>
      <c r="Z191" s="165"/>
      <c r="AA191" s="165"/>
      <c r="AB191" s="186"/>
      <c r="AC191" s="166"/>
    </row>
    <row r="192" spans="23:29">
      <c r="W192" s="165"/>
      <c r="X192" s="165"/>
      <c r="Y192" s="165"/>
      <c r="Z192" s="165"/>
      <c r="AA192" s="165"/>
      <c r="AB192" s="186"/>
      <c r="AC192" s="166"/>
    </row>
    <row r="193" spans="23:29">
      <c r="W193" s="165"/>
      <c r="X193" s="165"/>
      <c r="Y193" s="165"/>
      <c r="Z193" s="165"/>
      <c r="AA193" s="165"/>
      <c r="AB193" s="186"/>
      <c r="AC193" s="166"/>
    </row>
    <row r="194" spans="23:29">
      <c r="W194" s="165"/>
      <c r="X194" s="165"/>
      <c r="Y194" s="165"/>
      <c r="Z194" s="165"/>
      <c r="AA194" s="165"/>
      <c r="AB194" s="186"/>
      <c r="AC194" s="166"/>
    </row>
    <row r="195" spans="23:29">
      <c r="W195" s="165"/>
      <c r="X195" s="165"/>
      <c r="Y195" s="165"/>
      <c r="Z195" s="165"/>
      <c r="AA195" s="165"/>
      <c r="AB195" s="186"/>
      <c r="AC195" s="166"/>
    </row>
    <row r="196" spans="23:29">
      <c r="W196" s="165"/>
      <c r="X196" s="165"/>
      <c r="Y196" s="165"/>
      <c r="Z196" s="165"/>
      <c r="AA196" s="165"/>
      <c r="AB196" s="186"/>
      <c r="AC196" s="166"/>
    </row>
    <row r="197" spans="23:29">
      <c r="W197" s="165"/>
      <c r="X197" s="165"/>
      <c r="Y197" s="165"/>
      <c r="Z197" s="165"/>
      <c r="AA197" s="165"/>
      <c r="AB197" s="186"/>
      <c r="AC197" s="166"/>
    </row>
  </sheetData>
  <sheetProtection algorithmName="SHA-512" hashValue="qmPiNfI8TL0eL/rN7VyoToHgtbXP2dXxLGO5VrMqPNAS+B+1vBD7LaV2Fc6XXdsW9DDze7JalsqPAWR3L2xtTg==" saltValue="j61i3PZPpCtgZTwy/OwMGA==" spinCount="100000" sheet="1" objects="1" scenarios="1"/>
  <mergeCells count="216">
    <mergeCell ref="M80:M82"/>
    <mergeCell ref="N80:N82"/>
    <mergeCell ref="P80:P82"/>
    <mergeCell ref="Q80:Q82"/>
    <mergeCell ref="Z83:Z84"/>
    <mergeCell ref="AB83:AB84"/>
    <mergeCell ref="E83:E84"/>
    <mergeCell ref="G83:G84"/>
    <mergeCell ref="L83:L84"/>
    <mergeCell ref="N83:N84"/>
    <mergeCell ref="S83:S84"/>
    <mergeCell ref="U83:U8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M44:M46"/>
    <mergeCell ref="N44:N46"/>
    <mergeCell ref="P44:P46"/>
    <mergeCell ref="Q44:Q46"/>
    <mergeCell ref="B62:B64"/>
    <mergeCell ref="C62:C64"/>
    <mergeCell ref="D62:D64"/>
    <mergeCell ref="E62:E64"/>
    <mergeCell ref="F62:F64"/>
    <mergeCell ref="G62:G64"/>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M7:M9"/>
    <mergeCell ref="N7:N9"/>
    <mergeCell ref="P7:P9"/>
    <mergeCell ref="Q7:Q9"/>
    <mergeCell ref="B26:B28"/>
    <mergeCell ref="C26:C28"/>
    <mergeCell ref="D26:D28"/>
    <mergeCell ref="E26:E28"/>
    <mergeCell ref="F26:F28"/>
    <mergeCell ref="G26:G28"/>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E96:E97"/>
    <mergeCell ref="G96:G97"/>
    <mergeCell ref="B98:B100"/>
    <mergeCell ref="C98:C100"/>
    <mergeCell ref="D98:D100"/>
    <mergeCell ref="E98:E100"/>
    <mergeCell ref="F98:F100"/>
    <mergeCell ref="G98:G100"/>
    <mergeCell ref="E101:E102"/>
    <mergeCell ref="G101:G102"/>
    <mergeCell ref="I98:I100"/>
    <mergeCell ref="J98:J100"/>
    <mergeCell ref="K98:K100"/>
    <mergeCell ref="L98:L100"/>
    <mergeCell ref="M98:M100"/>
    <mergeCell ref="N98:N100"/>
    <mergeCell ref="P98:P100"/>
    <mergeCell ref="Q98:Q100"/>
    <mergeCell ref="R98:R100"/>
    <mergeCell ref="L101:L102"/>
    <mergeCell ref="N101:N102"/>
    <mergeCell ref="S101:S102"/>
    <mergeCell ref="U101:U102"/>
    <mergeCell ref="Z101:Z102"/>
    <mergeCell ref="AB101:AB102"/>
    <mergeCell ref="L96:L97"/>
    <mergeCell ref="N96:N97"/>
    <mergeCell ref="S96:S97"/>
    <mergeCell ref="U96:U97"/>
    <mergeCell ref="Z96:Z97"/>
    <mergeCell ref="AB96:AB97"/>
    <mergeCell ref="S98:S100"/>
    <mergeCell ref="T98:T100"/>
    <mergeCell ref="U98:U100"/>
    <mergeCell ref="Z98:Z100"/>
    <mergeCell ref="AB98:AB100"/>
  </mergeCells>
  <pageMargins left="0.7" right="0.7" top="0.75" bottom="0.75" header="0.3" footer="0.3"/>
  <pageSetup paperSize="8" orientation="portrait" r:id="rId1"/>
  <rowBreaks count="1" manualBreakCount="1">
    <brk id="55" max="6"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D116"/>
  <sheetViews>
    <sheetView workbookViewId="0">
      <selection activeCell="D1" sqref="D1"/>
    </sheetView>
  </sheetViews>
  <sheetFormatPr defaultColWidth="9.28515625" defaultRowHeight="15"/>
  <cols>
    <col min="1" max="1" width="3.42578125" style="68" customWidth="1"/>
    <col min="2" max="9" width="9.28515625" style="68"/>
    <col min="10" max="10" width="3.42578125" style="68" customWidth="1"/>
    <col min="11" max="11" width="9.28515625" style="69" customWidth="1"/>
    <col min="12" max="18" width="9.28515625" style="68" customWidth="1"/>
    <col min="19" max="19" width="3.42578125" style="68" customWidth="1"/>
    <col min="20" max="27" width="9.28515625" style="68" customWidth="1"/>
    <col min="28" max="28" width="3.42578125" style="68" customWidth="1"/>
    <col min="29" max="36" width="9.28515625" style="68" customWidth="1"/>
    <col min="37" max="37" width="3.42578125" style="68" customWidth="1"/>
    <col min="38" max="47" width="9.28515625" style="68" customWidth="1"/>
    <col min="48" max="50" width="9.28515625" style="68"/>
    <col min="51" max="51" width="9.28515625" style="74"/>
    <col min="52" max="55" width="10" style="74" customWidth="1"/>
    <col min="56" max="16384" width="9.28515625" style="68"/>
  </cols>
  <sheetData>
    <row r="1" spans="2:56" s="67" customFormat="1" ht="35.25" customHeight="1">
      <c r="B1" s="73" t="s">
        <v>63</v>
      </c>
      <c r="K1" s="414"/>
      <c r="L1" s="414"/>
      <c r="M1" s="414"/>
      <c r="N1" s="414"/>
      <c r="O1" s="414"/>
      <c r="P1" s="414"/>
      <c r="Q1" s="414"/>
      <c r="R1" s="414"/>
      <c r="S1" s="414"/>
      <c r="T1" s="414"/>
      <c r="U1" s="414"/>
      <c r="V1" s="414"/>
      <c r="W1" s="414"/>
      <c r="X1" s="414"/>
      <c r="AY1" s="73"/>
      <c r="AZ1" s="73"/>
      <c r="BA1" s="73"/>
      <c r="BB1" s="73"/>
      <c r="BC1" s="73"/>
    </row>
    <row r="2" spans="2:56" s="67" customFormat="1" ht="35.25" hidden="1">
      <c r="K2" s="414"/>
      <c r="L2" s="414"/>
      <c r="M2" s="414"/>
      <c r="N2" s="414"/>
      <c r="O2" s="414"/>
      <c r="P2" s="414"/>
      <c r="Q2" s="414"/>
      <c r="R2" s="414"/>
      <c r="S2" s="414"/>
      <c r="T2" s="414"/>
      <c r="U2" s="414"/>
      <c r="V2" s="414"/>
      <c r="W2" s="414"/>
      <c r="X2" s="414"/>
      <c r="AY2" s="73"/>
      <c r="AZ2" s="73"/>
      <c r="BA2" s="73"/>
      <c r="BB2" s="73"/>
      <c r="BC2" s="73"/>
    </row>
    <row r="3" spans="2:56" s="67" customFormat="1" ht="35.25" hidden="1">
      <c r="K3" s="414"/>
      <c r="L3" s="414"/>
      <c r="M3" s="414"/>
      <c r="N3" s="414"/>
      <c r="O3" s="414"/>
      <c r="P3" s="414"/>
      <c r="Q3" s="414"/>
      <c r="R3" s="414"/>
      <c r="S3" s="414"/>
      <c r="T3" s="414"/>
      <c r="U3" s="414"/>
      <c r="V3" s="414"/>
      <c r="W3" s="414"/>
      <c r="X3" s="414"/>
      <c r="AY3" s="73"/>
      <c r="AZ3" s="73"/>
      <c r="BA3" s="73"/>
      <c r="BB3" s="73"/>
      <c r="BC3" s="73"/>
    </row>
    <row r="4" spans="2:56">
      <c r="N4" s="70"/>
      <c r="W4" s="70"/>
      <c r="AF4" s="70"/>
      <c r="AO4" s="70"/>
    </row>
    <row r="5" spans="2:56">
      <c r="AY5" s="75" t="s">
        <v>209</v>
      </c>
      <c r="AZ5" s="76"/>
      <c r="BA5" s="76"/>
      <c r="BB5" s="76"/>
      <c r="BC5" s="76"/>
      <c r="BD5" s="69"/>
    </row>
    <row r="6" spans="2:56">
      <c r="AY6" s="77"/>
      <c r="AZ6" s="78" t="s">
        <v>13</v>
      </c>
      <c r="BA6" s="78" t="s">
        <v>14</v>
      </c>
      <c r="BB6" s="78" t="s">
        <v>15</v>
      </c>
      <c r="BC6" s="78" t="s">
        <v>12</v>
      </c>
      <c r="BD6" s="69"/>
    </row>
    <row r="7" spans="2:56">
      <c r="AY7" s="79" t="s">
        <v>55</v>
      </c>
      <c r="AZ7" s="80">
        <f>'3a. % by Portfolio'!G5</f>
        <v>0.94444444444444442</v>
      </c>
      <c r="BA7" s="80">
        <f>'3a. % by Portfolio'!N5</f>
        <v>0.95454545454545459</v>
      </c>
      <c r="BB7" s="80" t="e">
        <f>'3a. % by Portfolio'!U5</f>
        <v>#DIV/0!</v>
      </c>
      <c r="BC7" s="80" t="e">
        <f>'3a. % by Portfolio'!AB5</f>
        <v>#DIV/0!</v>
      </c>
      <c r="BD7" s="69"/>
    </row>
    <row r="8" spans="2:56">
      <c r="L8" s="71"/>
      <c r="M8" s="71"/>
      <c r="AY8" s="79" t="s">
        <v>56</v>
      </c>
      <c r="AZ8" s="80">
        <f>'3a. % by Portfolio'!G7</f>
        <v>5.5555555555555552E-2</v>
      </c>
      <c r="BA8" s="80">
        <f>'3a. % by Portfolio'!N7</f>
        <v>0</v>
      </c>
      <c r="BB8" s="80" t="e">
        <f>'3a. % by Portfolio'!U7</f>
        <v>#DIV/0!</v>
      </c>
      <c r="BC8" s="80" t="e">
        <f>'3a. % by Portfolio'!AB7</f>
        <v>#DIV/0!</v>
      </c>
      <c r="BD8" s="69"/>
    </row>
    <row r="9" spans="2:56">
      <c r="L9" s="71"/>
      <c r="M9" s="71"/>
      <c r="AY9" s="79" t="s">
        <v>57</v>
      </c>
      <c r="AZ9" s="80">
        <f>'3a. % by Portfolio'!G10</f>
        <v>0</v>
      </c>
      <c r="BA9" s="80">
        <f>'3a. % by Portfolio'!N10</f>
        <v>4.5454545454545456E-2</v>
      </c>
      <c r="BB9" s="80" t="e">
        <f>'3a. % by Portfolio'!U10</f>
        <v>#DIV/0!</v>
      </c>
      <c r="BC9" s="80" t="e">
        <f>'3a. % by Portfolio'!AB10</f>
        <v>#DIV/0!</v>
      </c>
      <c r="BD9" s="69"/>
    </row>
    <row r="10" spans="2:56">
      <c r="L10" s="71"/>
      <c r="M10" s="71"/>
      <c r="AY10" s="77"/>
      <c r="AZ10" s="81"/>
      <c r="BA10" s="81"/>
      <c r="BB10" s="81"/>
      <c r="BC10" s="81"/>
      <c r="BD10" s="69"/>
    </row>
    <row r="11" spans="2:56">
      <c r="AY11" s="82"/>
      <c r="AZ11" s="83"/>
      <c r="BA11" s="83"/>
      <c r="BB11" s="83"/>
      <c r="BC11" s="83"/>
      <c r="BD11" s="69"/>
    </row>
    <row r="12" spans="2:56">
      <c r="AY12" s="82"/>
      <c r="AZ12" s="83"/>
      <c r="BA12" s="83"/>
      <c r="BB12" s="83"/>
      <c r="BC12" s="83"/>
      <c r="BD12" s="69"/>
    </row>
    <row r="13" spans="2:56">
      <c r="AY13" s="82"/>
      <c r="AZ13" s="83"/>
      <c r="BA13" s="83"/>
      <c r="BB13" s="83"/>
      <c r="BC13" s="83"/>
      <c r="BD13" s="69"/>
    </row>
    <row r="14" spans="2:56">
      <c r="AY14" s="76"/>
      <c r="AZ14" s="76"/>
      <c r="BA14" s="76"/>
      <c r="BB14" s="76"/>
      <c r="BC14" s="76"/>
      <c r="BD14" s="69"/>
    </row>
    <row r="15" spans="2:56">
      <c r="AY15" s="76"/>
      <c r="AZ15" s="76"/>
      <c r="BA15" s="76"/>
      <c r="BB15" s="76"/>
      <c r="BC15" s="76"/>
      <c r="BD15" s="69"/>
    </row>
    <row r="16" spans="2:56">
      <c r="AY16" s="76"/>
      <c r="AZ16" s="76"/>
      <c r="BA16" s="76"/>
      <c r="BB16" s="76"/>
      <c r="BC16" s="76"/>
      <c r="BD16" s="69"/>
    </row>
    <row r="17" spans="12:56">
      <c r="AY17" s="76"/>
      <c r="AZ17" s="76"/>
      <c r="BA17" s="76"/>
      <c r="BB17" s="76"/>
      <c r="BC17" s="76"/>
      <c r="BD17" s="69"/>
    </row>
    <row r="18" spans="12:56">
      <c r="AY18" s="76"/>
      <c r="AZ18" s="76"/>
      <c r="BA18" s="76"/>
      <c r="BB18" s="76"/>
      <c r="BC18" s="76"/>
      <c r="BD18" s="69"/>
    </row>
    <row r="19" spans="12:56">
      <c r="AY19" s="76"/>
      <c r="AZ19" s="76"/>
      <c r="BA19" s="76"/>
      <c r="BB19" s="76"/>
      <c r="BC19" s="76"/>
      <c r="BD19" s="69"/>
    </row>
    <row r="20" spans="12:56">
      <c r="N20" s="70"/>
      <c r="W20" s="70"/>
      <c r="AF20" s="70"/>
      <c r="AO20" s="70"/>
      <c r="AY20" s="76"/>
      <c r="AZ20" s="76"/>
      <c r="BA20" s="76"/>
      <c r="BB20" s="76"/>
      <c r="BC20" s="76"/>
      <c r="BD20" s="69"/>
    </row>
    <row r="21" spans="12:56">
      <c r="AY21" s="75" t="s">
        <v>116</v>
      </c>
      <c r="AZ21" s="76"/>
      <c r="BA21" s="76"/>
      <c r="BB21" s="76"/>
      <c r="BC21" s="76"/>
      <c r="BD21" s="69"/>
    </row>
    <row r="22" spans="12:56">
      <c r="AY22" s="77"/>
      <c r="AZ22" s="78" t="s">
        <v>13</v>
      </c>
      <c r="BA22" s="78" t="s">
        <v>14</v>
      </c>
      <c r="BB22" s="78" t="s">
        <v>15</v>
      </c>
      <c r="BC22" s="78" t="s">
        <v>12</v>
      </c>
      <c r="BD22" s="69"/>
    </row>
    <row r="23" spans="12:56">
      <c r="AY23" s="79" t="s">
        <v>55</v>
      </c>
      <c r="AZ23" s="80">
        <f>'3a. % by Portfolio'!G24</f>
        <v>0.83333333333333326</v>
      </c>
      <c r="BA23" s="80">
        <f>'3a. % by Portfolio'!N24</f>
        <v>0.90322580645161299</v>
      </c>
      <c r="BB23" s="80" t="e">
        <f>'3a. % by Portfolio'!U24</f>
        <v>#DIV/0!</v>
      </c>
      <c r="BC23" s="80" t="e">
        <f>'3a. % by Portfolio'!AB24</f>
        <v>#DIV/0!</v>
      </c>
      <c r="BD23" s="69"/>
    </row>
    <row r="24" spans="12:56">
      <c r="L24" s="71"/>
      <c r="M24" s="71"/>
      <c r="AY24" s="79" t="s">
        <v>56</v>
      </c>
      <c r="AZ24" s="80">
        <f>'3a. % by Portfolio'!G26</f>
        <v>0.16666666666666666</v>
      </c>
      <c r="BA24" s="80">
        <f>'3a. % by Portfolio'!N26</f>
        <v>6.4516129032258063E-2</v>
      </c>
      <c r="BB24" s="80" t="e">
        <f>'3a. % by Portfolio'!U26</f>
        <v>#DIV/0!</v>
      </c>
      <c r="BC24" s="80" t="e">
        <f>'3a. % by Portfolio'!AB26</f>
        <v>#DIV/0!</v>
      </c>
      <c r="BD24" s="69"/>
    </row>
    <row r="25" spans="12:56">
      <c r="L25" s="71"/>
      <c r="M25" s="71"/>
      <c r="AY25" s="79" t="s">
        <v>57</v>
      </c>
      <c r="AZ25" s="80">
        <f>'3a. % by Portfolio'!G29</f>
        <v>0</v>
      </c>
      <c r="BA25" s="80">
        <f>'3a. % by Portfolio'!N29</f>
        <v>3.2258064516129031E-2</v>
      </c>
      <c r="BB25" s="80" t="e">
        <f>'3a. % by Portfolio'!U29</f>
        <v>#DIV/0!</v>
      </c>
      <c r="BC25" s="80" t="e">
        <f>'3a. % by Portfolio'!AB29</f>
        <v>#DIV/0!</v>
      </c>
      <c r="BD25" s="69"/>
    </row>
    <row r="26" spans="12:56">
      <c r="L26" s="71"/>
      <c r="M26" s="71"/>
      <c r="AY26" s="76"/>
      <c r="AZ26" s="76"/>
      <c r="BA26" s="76"/>
      <c r="BB26" s="76"/>
      <c r="BC26" s="76"/>
      <c r="BD26" s="69"/>
    </row>
    <row r="27" spans="12:56">
      <c r="AY27" s="82"/>
      <c r="AZ27" s="76"/>
      <c r="BA27" s="76"/>
      <c r="BB27" s="76"/>
      <c r="BC27" s="76"/>
      <c r="BD27" s="69"/>
    </row>
    <row r="28" spans="12:56">
      <c r="AY28" s="82"/>
      <c r="AZ28" s="76"/>
      <c r="BA28" s="76"/>
      <c r="BB28" s="76"/>
      <c r="BC28" s="76"/>
      <c r="BD28" s="69"/>
    </row>
    <row r="29" spans="12:56">
      <c r="AY29" s="82"/>
      <c r="AZ29" s="76"/>
      <c r="BA29" s="76"/>
      <c r="BB29" s="76"/>
      <c r="BC29" s="76"/>
      <c r="BD29" s="69"/>
    </row>
    <row r="30" spans="12:56">
      <c r="AY30" s="76"/>
      <c r="AZ30" s="76"/>
      <c r="BA30" s="76"/>
      <c r="BB30" s="76"/>
      <c r="BC30" s="76"/>
      <c r="BD30" s="69"/>
    </row>
    <row r="31" spans="12:56">
      <c r="AY31" s="76"/>
      <c r="AZ31" s="76"/>
      <c r="BA31" s="76"/>
      <c r="BB31" s="76"/>
      <c r="BC31" s="76"/>
      <c r="BD31" s="69"/>
    </row>
    <row r="32" spans="12:56">
      <c r="AY32" s="76"/>
      <c r="AZ32" s="76"/>
      <c r="BA32" s="76"/>
      <c r="BB32" s="76"/>
      <c r="BC32" s="76"/>
      <c r="BD32" s="69"/>
    </row>
    <row r="33" spans="11:56">
      <c r="AY33" s="76"/>
      <c r="AZ33" s="76"/>
      <c r="BA33" s="76"/>
      <c r="BB33" s="76"/>
      <c r="BC33" s="76"/>
      <c r="BD33" s="69"/>
    </row>
    <row r="34" spans="11:56">
      <c r="AY34" s="76"/>
      <c r="AZ34" s="76"/>
      <c r="BA34" s="76"/>
      <c r="BB34" s="76"/>
      <c r="BC34" s="76"/>
      <c r="BD34" s="69"/>
    </row>
    <row r="35" spans="11:56">
      <c r="AY35" s="76"/>
      <c r="AZ35" s="76"/>
      <c r="BA35" s="76"/>
      <c r="BB35" s="76"/>
      <c r="BC35" s="76"/>
      <c r="BD35" s="69"/>
    </row>
    <row r="36" spans="11:56">
      <c r="N36" s="70"/>
      <c r="W36" s="70"/>
      <c r="AF36" s="70"/>
      <c r="AO36" s="70"/>
      <c r="AY36" s="76"/>
      <c r="AZ36" s="76"/>
      <c r="BA36" s="76"/>
      <c r="BB36" s="76"/>
      <c r="BC36" s="76"/>
      <c r="BD36" s="69"/>
    </row>
    <row r="37" spans="11:56">
      <c r="AY37" s="75" t="s">
        <v>211</v>
      </c>
      <c r="AZ37" s="84"/>
      <c r="BA37" s="84"/>
      <c r="BB37" s="84"/>
      <c r="BC37" s="84"/>
      <c r="BD37" s="72"/>
    </row>
    <row r="38" spans="11:56">
      <c r="AY38" s="85"/>
      <c r="AZ38" s="78" t="s">
        <v>13</v>
      </c>
      <c r="BA38" s="78" t="s">
        <v>14</v>
      </c>
      <c r="BB38" s="78" t="s">
        <v>15</v>
      </c>
      <c r="BC38" s="78" t="s">
        <v>12</v>
      </c>
      <c r="BD38" s="72"/>
    </row>
    <row r="39" spans="11:56">
      <c r="AY39" s="79" t="s">
        <v>55</v>
      </c>
      <c r="AZ39" s="80">
        <f>'3a. % by Portfolio'!G42</f>
        <v>1</v>
      </c>
      <c r="BA39" s="80">
        <f>'3a. % by Portfolio'!N42</f>
        <v>1</v>
      </c>
      <c r="BB39" s="80" t="e">
        <f>'3a. % by Portfolio'!U42</f>
        <v>#DIV/0!</v>
      </c>
      <c r="BC39" s="80" t="e">
        <f>'3a. % by Portfolio'!AB42</f>
        <v>#DIV/0!</v>
      </c>
      <c r="BD39" s="72"/>
    </row>
    <row r="40" spans="11:56">
      <c r="K40" s="71"/>
      <c r="L40" s="71"/>
      <c r="AY40" s="79" t="s">
        <v>56</v>
      </c>
      <c r="AZ40" s="80">
        <f>'3a. % by Portfolio'!G44</f>
        <v>0</v>
      </c>
      <c r="BA40" s="80">
        <f>'3a. % by Portfolio'!N44</f>
        <v>0</v>
      </c>
      <c r="BB40" s="80" t="e">
        <f>'3a. % by Portfolio'!U44</f>
        <v>#DIV/0!</v>
      </c>
      <c r="BC40" s="80" t="e">
        <f>'3a. % by Portfolio'!AB44</f>
        <v>#DIV/0!</v>
      </c>
      <c r="BD40" s="72"/>
    </row>
    <row r="41" spans="11:56">
      <c r="K41" s="71"/>
      <c r="L41" s="71"/>
      <c r="AY41" s="79" t="s">
        <v>57</v>
      </c>
      <c r="AZ41" s="80">
        <f>'3a. % by Portfolio'!G47</f>
        <v>0</v>
      </c>
      <c r="BA41" s="80">
        <f>'3a. % by Portfolio'!N47</f>
        <v>0</v>
      </c>
      <c r="BB41" s="80" t="e">
        <f>'3a. % by Portfolio'!U47</f>
        <v>#DIV/0!</v>
      </c>
      <c r="BC41" s="80" t="e">
        <f>'3a. % by Portfolio'!AB47</f>
        <v>#DIV/0!</v>
      </c>
      <c r="BD41" s="72"/>
    </row>
    <row r="42" spans="11:56">
      <c r="K42" s="71"/>
      <c r="L42" s="71"/>
      <c r="AY42" s="76"/>
      <c r="AZ42" s="76"/>
      <c r="BA42" s="76"/>
      <c r="BB42" s="76"/>
      <c r="BC42" s="76"/>
      <c r="BD42" s="69"/>
    </row>
    <row r="43" spans="11:56">
      <c r="AY43" s="82"/>
      <c r="AZ43" s="76"/>
      <c r="BA43" s="76"/>
      <c r="BB43" s="76"/>
      <c r="BC43" s="76"/>
      <c r="BD43" s="69"/>
    </row>
    <row r="44" spans="11:56">
      <c r="AY44" s="82"/>
      <c r="AZ44" s="76"/>
      <c r="BA44" s="76"/>
      <c r="BB44" s="76"/>
      <c r="BC44" s="76"/>
      <c r="BD44" s="69"/>
    </row>
    <row r="45" spans="11:56">
      <c r="AY45" s="82"/>
      <c r="AZ45" s="76"/>
      <c r="BA45" s="76"/>
      <c r="BB45" s="76"/>
      <c r="BC45" s="76"/>
      <c r="BD45" s="69"/>
    </row>
    <row r="46" spans="11:56">
      <c r="AY46" s="76"/>
      <c r="AZ46" s="76"/>
      <c r="BA46" s="76"/>
      <c r="BB46" s="76"/>
      <c r="BC46" s="76"/>
      <c r="BD46" s="69"/>
    </row>
    <row r="47" spans="11:56">
      <c r="AY47" s="76"/>
      <c r="AZ47" s="76"/>
      <c r="BA47" s="76"/>
      <c r="BB47" s="76"/>
      <c r="BC47" s="76"/>
      <c r="BD47" s="69"/>
    </row>
    <row r="48" spans="11:56">
      <c r="AY48" s="76"/>
      <c r="AZ48" s="76"/>
      <c r="BA48" s="76"/>
      <c r="BB48" s="76"/>
      <c r="BC48" s="76"/>
      <c r="BD48" s="69"/>
    </row>
    <row r="49" spans="12:56">
      <c r="AY49" s="76"/>
      <c r="AZ49" s="76"/>
      <c r="BA49" s="76"/>
      <c r="BB49" s="76"/>
      <c r="BC49" s="76"/>
      <c r="BD49" s="69"/>
    </row>
    <row r="50" spans="12:56">
      <c r="AY50" s="76"/>
      <c r="AZ50" s="76"/>
      <c r="BA50" s="76"/>
      <c r="BB50" s="76"/>
      <c r="BC50" s="76"/>
      <c r="BD50" s="69"/>
    </row>
    <row r="51" spans="12:56">
      <c r="AY51" s="76"/>
      <c r="AZ51" s="76"/>
      <c r="BA51" s="76"/>
      <c r="BB51" s="76"/>
      <c r="BC51" s="76"/>
      <c r="BD51" s="69"/>
    </row>
    <row r="52" spans="12:56">
      <c r="N52" s="70"/>
      <c r="W52" s="70"/>
      <c r="AF52" s="70"/>
      <c r="AO52" s="70"/>
      <c r="AY52" s="76"/>
      <c r="AZ52" s="76"/>
      <c r="BA52" s="76"/>
      <c r="BB52" s="76"/>
      <c r="BC52" s="76"/>
      <c r="BD52" s="69"/>
    </row>
    <row r="53" spans="12:56">
      <c r="AY53" s="75" t="s">
        <v>429</v>
      </c>
      <c r="AZ53" s="84"/>
      <c r="BA53" s="84"/>
      <c r="BB53" s="84"/>
      <c r="BC53" s="84"/>
      <c r="BD53" s="69"/>
    </row>
    <row r="54" spans="12:56">
      <c r="AY54" s="85"/>
      <c r="AZ54" s="78" t="s">
        <v>13</v>
      </c>
      <c r="BA54" s="78" t="s">
        <v>14</v>
      </c>
      <c r="BB54" s="78" t="s">
        <v>15</v>
      </c>
      <c r="BC54" s="78" t="s">
        <v>12</v>
      </c>
      <c r="BD54" s="69"/>
    </row>
    <row r="55" spans="12:56">
      <c r="AY55" s="79" t="s">
        <v>55</v>
      </c>
      <c r="AZ55" s="80">
        <f>'3a. % by Portfolio'!G60</f>
        <v>1</v>
      </c>
      <c r="BA55" s="80">
        <f>'3a. % by Portfolio'!N60</f>
        <v>1</v>
      </c>
      <c r="BB55" s="80" t="e">
        <f>'3a. % by Portfolio'!U60</f>
        <v>#DIV/0!</v>
      </c>
      <c r="BC55" s="80" t="e">
        <f>'3a. % by Portfolio'!AB60</f>
        <v>#DIV/0!</v>
      </c>
      <c r="BD55" s="69"/>
    </row>
    <row r="56" spans="12:56">
      <c r="L56" s="71"/>
      <c r="M56" s="71"/>
      <c r="AY56" s="79" t="s">
        <v>56</v>
      </c>
      <c r="AZ56" s="80">
        <f>'3a. % by Portfolio'!G62</f>
        <v>0</v>
      </c>
      <c r="BA56" s="80">
        <f>'3a. % by Portfolio'!N62</f>
        <v>0</v>
      </c>
      <c r="BB56" s="80" t="e">
        <f>'3a. % by Portfolio'!U62</f>
        <v>#DIV/0!</v>
      </c>
      <c r="BC56" s="80" t="e">
        <f>'3a. % by Portfolio'!AB62</f>
        <v>#DIV/0!</v>
      </c>
      <c r="BD56" s="69"/>
    </row>
    <row r="57" spans="12:56">
      <c r="L57" s="71"/>
      <c r="M57" s="71"/>
      <c r="AY57" s="79" t="s">
        <v>57</v>
      </c>
      <c r="AZ57" s="80">
        <f>'3a. % by Portfolio'!G65</f>
        <v>0</v>
      </c>
      <c r="BA57" s="80">
        <f>'3a. % by Portfolio'!N65</f>
        <v>0</v>
      </c>
      <c r="BB57" s="80" t="e">
        <f>'3a. % by Portfolio'!U65</f>
        <v>#DIV/0!</v>
      </c>
      <c r="BC57" s="80" t="e">
        <f>'3a. % by Portfolio'!AB65</f>
        <v>#DIV/0!</v>
      </c>
      <c r="BD57" s="69"/>
    </row>
    <row r="58" spans="12:56">
      <c r="L58" s="71"/>
      <c r="M58" s="71"/>
      <c r="AY58" s="76"/>
      <c r="AZ58" s="76"/>
      <c r="BA58" s="76"/>
      <c r="BB58" s="76"/>
      <c r="BC58" s="76"/>
      <c r="BD58" s="69"/>
    </row>
    <row r="59" spans="12:56">
      <c r="AY59" s="82"/>
      <c r="AZ59" s="76"/>
      <c r="BA59" s="76"/>
      <c r="BB59" s="76"/>
      <c r="BC59" s="76"/>
      <c r="BD59" s="69"/>
    </row>
    <row r="60" spans="12:56">
      <c r="AY60" s="82"/>
      <c r="AZ60" s="76"/>
      <c r="BA60" s="76"/>
      <c r="BB60" s="76"/>
      <c r="BC60" s="76"/>
      <c r="BD60" s="69"/>
    </row>
    <row r="61" spans="12:56">
      <c r="AY61" s="82"/>
      <c r="AZ61" s="76"/>
      <c r="BA61" s="76"/>
      <c r="BB61" s="76"/>
      <c r="BC61" s="76"/>
      <c r="BD61" s="69"/>
    </row>
    <row r="62" spans="12:56">
      <c r="AY62" s="76"/>
      <c r="AZ62" s="76"/>
      <c r="BA62" s="76"/>
      <c r="BB62" s="76"/>
      <c r="BC62" s="76"/>
      <c r="BD62" s="69"/>
    </row>
    <row r="63" spans="12:56">
      <c r="AY63" s="76"/>
      <c r="AZ63" s="76"/>
      <c r="BA63" s="76"/>
      <c r="BB63" s="76"/>
      <c r="BC63" s="76"/>
      <c r="BD63" s="69"/>
    </row>
    <row r="64" spans="12:56">
      <c r="AY64" s="76"/>
      <c r="AZ64" s="76"/>
      <c r="BA64" s="76"/>
      <c r="BB64" s="76"/>
      <c r="BC64" s="76"/>
      <c r="BD64" s="69"/>
    </row>
    <row r="65" spans="14:56">
      <c r="AY65" s="76"/>
      <c r="AZ65" s="76"/>
      <c r="BA65" s="76"/>
      <c r="BB65" s="76"/>
      <c r="BC65" s="76"/>
      <c r="BD65" s="69"/>
    </row>
    <row r="66" spans="14:56">
      <c r="AY66" s="76"/>
      <c r="AZ66" s="76"/>
      <c r="BA66" s="76"/>
      <c r="BB66" s="76"/>
      <c r="BC66" s="76"/>
      <c r="BD66" s="69"/>
    </row>
    <row r="68" spans="14:56">
      <c r="N68" s="70"/>
      <c r="W68" s="70"/>
      <c r="AF68" s="70"/>
      <c r="AO68" s="70"/>
      <c r="AY68" s="76"/>
      <c r="AZ68" s="76"/>
      <c r="BA68" s="76"/>
      <c r="BB68" s="76"/>
      <c r="BC68" s="76"/>
      <c r="BD68" s="69"/>
    </row>
    <row r="69" spans="14:56">
      <c r="AY69" s="75" t="s">
        <v>208</v>
      </c>
      <c r="AZ69" s="84"/>
      <c r="BA69" s="84"/>
      <c r="BB69" s="84"/>
      <c r="BC69" s="84"/>
    </row>
    <row r="70" spans="14:56">
      <c r="AY70" s="85"/>
      <c r="AZ70" s="78" t="s">
        <v>13</v>
      </c>
      <c r="BA70" s="78" t="s">
        <v>14</v>
      </c>
      <c r="BB70" s="78" t="s">
        <v>15</v>
      </c>
      <c r="BC70" s="78" t="s">
        <v>12</v>
      </c>
    </row>
    <row r="71" spans="14:56">
      <c r="AY71" s="79" t="s">
        <v>55</v>
      </c>
      <c r="AZ71" s="80">
        <f>'3a. % by Portfolio'!G78</f>
        <v>0.88888888888888884</v>
      </c>
      <c r="BA71" s="80">
        <f>'3a. % by Portfolio'!N78</f>
        <v>0.90909090909090906</v>
      </c>
      <c r="BB71" s="80" t="e">
        <f>'3a. % by Portfolio'!U78</f>
        <v>#DIV/0!</v>
      </c>
      <c r="BC71" s="80" t="e">
        <f>'3a. % by Portfolio'!AB78</f>
        <v>#DIV/0!</v>
      </c>
    </row>
    <row r="72" spans="14:56">
      <c r="AY72" s="79" t="s">
        <v>56</v>
      </c>
      <c r="AZ72" s="80">
        <f>'3a. % by Portfolio'!G80</f>
        <v>0.1111111111111111</v>
      </c>
      <c r="BA72" s="80">
        <f>'3a. % by Portfolio'!N80</f>
        <v>0</v>
      </c>
      <c r="BB72" s="80" t="e">
        <f>'3a. % by Portfolio'!U80</f>
        <v>#DIV/0!</v>
      </c>
      <c r="BC72" s="80" t="e">
        <f>'3a. % by Portfolio'!AB80</f>
        <v>#DIV/0!</v>
      </c>
    </row>
    <row r="73" spans="14:56">
      <c r="AY73" s="79" t="s">
        <v>57</v>
      </c>
      <c r="AZ73" s="80">
        <f>'3a. % by Portfolio'!G83</f>
        <v>0</v>
      </c>
      <c r="BA73" s="80">
        <f>'3a. % by Portfolio'!N83</f>
        <v>9.0909090909090912E-2</v>
      </c>
      <c r="BB73" s="80" t="e">
        <f>'3a. % by Portfolio'!U83</f>
        <v>#DIV/0!</v>
      </c>
      <c r="BC73" s="80" t="e">
        <f>'3a. % by Portfolio'!AB83</f>
        <v>#DIV/0!</v>
      </c>
    </row>
    <row r="84" spans="14:56">
      <c r="N84" s="70"/>
      <c r="W84" s="70"/>
      <c r="AF84" s="70"/>
      <c r="AO84" s="70"/>
    </row>
    <row r="85" spans="14:56">
      <c r="AY85" s="75" t="s">
        <v>115</v>
      </c>
      <c r="AZ85" s="84"/>
      <c r="BA85" s="84"/>
      <c r="BB85" s="84"/>
      <c r="BC85" s="84"/>
    </row>
    <row r="86" spans="14:56">
      <c r="AY86" s="85"/>
      <c r="AZ86" s="78" t="s">
        <v>13</v>
      </c>
      <c r="BA86" s="78" t="s">
        <v>14</v>
      </c>
      <c r="BB86" s="78" t="s">
        <v>15</v>
      </c>
      <c r="BC86" s="78" t="s">
        <v>12</v>
      </c>
    </row>
    <row r="87" spans="14:56">
      <c r="AY87" s="79" t="s">
        <v>55</v>
      </c>
      <c r="AZ87" s="80">
        <f>'3a. % by Portfolio'!G96</f>
        <v>1</v>
      </c>
      <c r="BA87" s="80">
        <f>'3a. % by Portfolio'!N96</f>
        <v>0.95</v>
      </c>
      <c r="BB87" s="80" t="e">
        <f>'3a. % by Portfolio'!U96</f>
        <v>#DIV/0!</v>
      </c>
      <c r="BC87" s="80" t="e">
        <f>'3a. % by Portfolio'!AB96</f>
        <v>#DIV/0!</v>
      </c>
    </row>
    <row r="88" spans="14:56">
      <c r="AY88" s="79" t="s">
        <v>56</v>
      </c>
      <c r="AZ88" s="80">
        <f>'3a. % by Portfolio'!G98</f>
        <v>0</v>
      </c>
      <c r="BA88" s="80">
        <f>'3a. % by Portfolio'!N98</f>
        <v>0</v>
      </c>
      <c r="BB88" s="80" t="e">
        <f>'3a. % by Portfolio'!U98</f>
        <v>#DIV/0!</v>
      </c>
      <c r="BC88" s="80" t="e">
        <f>'3a. % by Portfolio'!AB98</f>
        <v>#DIV/0!</v>
      </c>
    </row>
    <row r="89" spans="14:56">
      <c r="AY89" s="79" t="s">
        <v>57</v>
      </c>
      <c r="AZ89" s="80">
        <f>'3a. % by Portfolio'!G101</f>
        <v>0</v>
      </c>
      <c r="BA89" s="80">
        <f>'3a. % by Portfolio'!N101</f>
        <v>0.05</v>
      </c>
      <c r="BB89" s="80" t="e">
        <f>'3a. % by Portfolio'!U101</f>
        <v>#DIV/0!</v>
      </c>
      <c r="BC89" s="80" t="e">
        <f>'3a. % by Portfolio'!AB101</f>
        <v>#DIV/0!</v>
      </c>
    </row>
    <row r="95" spans="14:56">
      <c r="AY95" s="86"/>
      <c r="AZ95" s="86"/>
      <c r="BA95" s="86"/>
      <c r="BB95" s="86"/>
      <c r="BC95" s="86"/>
      <c r="BD95" s="87"/>
    </row>
    <row r="96" spans="14:56">
      <c r="AY96" s="86"/>
      <c r="AZ96" s="86"/>
      <c r="BA96" s="86"/>
      <c r="BB96" s="86"/>
      <c r="BC96" s="86"/>
      <c r="BD96" s="87"/>
    </row>
    <row r="97" spans="14:56">
      <c r="AY97" s="86"/>
      <c r="AZ97" s="86"/>
      <c r="BA97" s="86"/>
      <c r="BB97" s="86"/>
      <c r="BC97" s="86"/>
      <c r="BD97" s="87"/>
    </row>
    <row r="98" spans="14:56">
      <c r="AY98" s="86"/>
      <c r="AZ98" s="86"/>
      <c r="BA98" s="86"/>
      <c r="BB98" s="86"/>
      <c r="BC98" s="86"/>
      <c r="BD98" s="87"/>
    </row>
    <row r="99" spans="14:56">
      <c r="AY99" s="86"/>
      <c r="AZ99" s="86"/>
      <c r="BA99" s="86"/>
      <c r="BB99" s="86"/>
      <c r="BC99" s="86"/>
      <c r="BD99" s="87"/>
    </row>
    <row r="100" spans="14:56">
      <c r="N100" s="70"/>
      <c r="W100" s="70"/>
      <c r="AF100" s="70"/>
      <c r="AO100" s="70"/>
      <c r="AY100" s="86"/>
      <c r="AZ100" s="86"/>
      <c r="BA100" s="86"/>
      <c r="BB100" s="86"/>
      <c r="BC100" s="86"/>
      <c r="BD100" s="87"/>
    </row>
    <row r="101" spans="14:56">
      <c r="AY101" s="88"/>
      <c r="AZ101" s="85"/>
      <c r="BA101" s="85"/>
      <c r="BB101" s="85"/>
      <c r="BC101" s="85"/>
      <c r="BD101" s="87"/>
    </row>
    <row r="102" spans="14:56">
      <c r="AY102" s="85"/>
      <c r="AZ102" s="81"/>
      <c r="BA102" s="81"/>
      <c r="BB102" s="81"/>
      <c r="BC102" s="81"/>
      <c r="BD102" s="87"/>
    </row>
    <row r="103" spans="14:56">
      <c r="AY103" s="85"/>
      <c r="AZ103" s="83"/>
      <c r="BA103" s="83"/>
      <c r="BB103" s="83"/>
      <c r="BC103" s="83"/>
      <c r="BD103" s="87"/>
    </row>
    <row r="104" spans="14:56">
      <c r="AY104" s="85"/>
      <c r="AZ104" s="83"/>
      <c r="BA104" s="83"/>
      <c r="BB104" s="83"/>
      <c r="BC104" s="83"/>
      <c r="BD104" s="87"/>
    </row>
    <row r="105" spans="14:56">
      <c r="AY105" s="85"/>
      <c r="AZ105" s="83"/>
      <c r="BA105" s="83"/>
      <c r="BB105" s="83"/>
      <c r="BC105" s="83"/>
      <c r="BD105" s="87"/>
    </row>
    <row r="106" spans="14:56">
      <c r="AY106" s="86"/>
      <c r="AZ106" s="86"/>
      <c r="BA106" s="86"/>
      <c r="BB106" s="86"/>
      <c r="BC106" s="86"/>
      <c r="BD106" s="87"/>
    </row>
    <row r="116" spans="14:41">
      <c r="N116" s="70" t="s">
        <v>50</v>
      </c>
      <c r="W116" s="70" t="s">
        <v>50</v>
      </c>
      <c r="AF116" s="70" t="s">
        <v>50</v>
      </c>
      <c r="AO116" s="70" t="s">
        <v>50</v>
      </c>
    </row>
  </sheetData>
  <sheetProtection algorithmName="SHA-512" hashValue="GWcRMoY39yh15LXY2DuC0qIPyo9do9brC4efnyDbm5F3pEhQ0y2OmJSttxocfpFfdCbABlrGGFA+DwOvOTrsZg==" saltValue="Hro1Mxce4Lp8XtirqwvIlw=="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25" right="0.25" top="0.75" bottom="0.75" header="0.3" footer="0.3"/>
  <pageSetup paperSize="8" scale="51" orientation="landscape" r:id="rId1"/>
  <colBreaks count="1" manualBreakCount="1">
    <brk id="46" max="11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'2a. % By Priority'!Print_Area</vt:lpstr>
      <vt:lpstr>'2b. Charts by Priority'!Print_Area</vt:lpstr>
      <vt:lpstr>'3a. % by Portfolio'!Print_Area</vt:lpstr>
      <vt:lpstr>'3b. Charts by Portfolio'!Print_Area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Jennifer Norman</cp:lastModifiedBy>
  <cp:lastPrinted>2023-07-05T18:47:41Z</cp:lastPrinted>
  <dcterms:created xsi:type="dcterms:W3CDTF">2019-02-13T13:28:16Z</dcterms:created>
  <dcterms:modified xsi:type="dcterms:W3CDTF">2023-11-15T18:22:00Z</dcterms:modified>
</cp:coreProperties>
</file>