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omments3.xml" ContentType="application/vnd.openxmlformats-officedocument.spreadsheetml.comments+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201920\Quarter 1\03 Cabinet\"/>
    </mc:Choice>
  </mc:AlternateContent>
  <bookViews>
    <workbookView xWindow="0" yWindow="0" windowWidth="21600" windowHeight="9735" tabRatio="884" firstSheet="1" activeTab="1"/>
  </bookViews>
  <sheets>
    <sheet name="Index" sheetId="13" r:id="rId1"/>
    <sheet name="1. All Data" sheetId="1" r:id="rId2"/>
    <sheet name="Q1 Summary" sheetId="9" r:id="rId3"/>
    <sheet name="2a. % By Priority" sheetId="5" r:id="rId4"/>
    <sheet name="2b. Charts by Priority" sheetId="6" r:id="rId5"/>
    <sheet name="3a. % by Portfolio" sheetId="7" r:id="rId6"/>
    <sheet name="3b. Charts by Portfolio" sheetId="8" r:id="rId7"/>
    <sheet name="4. Status Tracking" sheetId="10" r:id="rId8"/>
    <sheet name="Custom Pivot" sheetId="11" r:id="rId9"/>
  </sheets>
  <definedNames>
    <definedName name="_xlnm._FilterDatabase" localSheetId="1" hidden="1">'1. All Data'!$A$2:$AD$110</definedName>
    <definedName name="_Toc382250483" localSheetId="1">'1. All Data'!$B$69</definedName>
    <definedName name="OLE_LINK3" localSheetId="1">'1. All Data'!$D$40</definedName>
    <definedName name="_xlnm.Print_Area" localSheetId="1">'1. All Data'!$B$1:$U$110</definedName>
    <definedName name="_xlnm.Print_Titles" localSheetId="1">'1. All Data'!$2:$2</definedName>
  </definedNames>
  <calcPr calcId="152511"/>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 l="1"/>
  <c r="C9" i="5"/>
  <c r="C6" i="5"/>
  <c r="J4" i="10" l="1"/>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J52" i="7"/>
  <c r="C54" i="7"/>
  <c r="AB102" i="7" l="1"/>
  <c r="BC73" i="8" s="1"/>
  <c r="AB98" i="7"/>
  <c r="BC72" i="8" s="1"/>
  <c r="AB95" i="7"/>
  <c r="BC71" i="8" s="1"/>
  <c r="AB80" i="7"/>
  <c r="BC57" i="8" s="1"/>
  <c r="AB76" i="7"/>
  <c r="BC56" i="8" s="1"/>
  <c r="AB73" i="7"/>
  <c r="BC55" i="8" s="1"/>
  <c r="AB58" i="7"/>
  <c r="BC41" i="8" s="1"/>
  <c r="AB54" i="7"/>
  <c r="BC40" i="8" s="1"/>
  <c r="AB51" i="7"/>
  <c r="BC39" i="8" s="1"/>
  <c r="AB36" i="7"/>
  <c r="BC25" i="8" s="1"/>
  <c r="AB32" i="7"/>
  <c r="BC24" i="8" s="1"/>
  <c r="AB29" i="7"/>
  <c r="BC23" i="8" s="1"/>
  <c r="AB13" i="7"/>
  <c r="BC9" i="8" s="1"/>
  <c r="AB9" i="7"/>
  <c r="BC8" i="8" s="1"/>
  <c r="AB6" i="7"/>
  <c r="BC7" i="8" s="1"/>
  <c r="Q108" i="7"/>
  <c r="Q107" i="7"/>
  <c r="Q106" i="7"/>
  <c r="Q105" i="7"/>
  <c r="Q103" i="7"/>
  <c r="Q102" i="7"/>
  <c r="Q98" i="7"/>
  <c r="Q96" i="7"/>
  <c r="Q95" i="7"/>
  <c r="Q86" i="7"/>
  <c r="Q85" i="7"/>
  <c r="Q84" i="7"/>
  <c r="Q83" i="7"/>
  <c r="Q81" i="7"/>
  <c r="Q80" i="7"/>
  <c r="Q76" i="7"/>
  <c r="Q74" i="7"/>
  <c r="Q73" i="7"/>
  <c r="Q64" i="7"/>
  <c r="Q63" i="7"/>
  <c r="Q62" i="7"/>
  <c r="Q61" i="7"/>
  <c r="Q59" i="7"/>
  <c r="Q58" i="7"/>
  <c r="Q54" i="7"/>
  <c r="Q52" i="7"/>
  <c r="Q51" i="7"/>
  <c r="Q42" i="7"/>
  <c r="Q41" i="7"/>
  <c r="Q40" i="7"/>
  <c r="Q39" i="7"/>
  <c r="Q37" i="7"/>
  <c r="Q36" i="7"/>
  <c r="Q32" i="7"/>
  <c r="Q30" i="7"/>
  <c r="Q29" i="7"/>
  <c r="Q19" i="7"/>
  <c r="Q18" i="7"/>
  <c r="Q17" i="7"/>
  <c r="Q16" i="7"/>
  <c r="Q14" i="7"/>
  <c r="Q13" i="7"/>
  <c r="Q9" i="7"/>
  <c r="Q7" i="7"/>
  <c r="Q6" i="7"/>
  <c r="J108" i="7"/>
  <c r="J107" i="7"/>
  <c r="J106" i="7"/>
  <c r="J105" i="7"/>
  <c r="J103" i="7"/>
  <c r="J102" i="7"/>
  <c r="J98" i="7"/>
  <c r="J95" i="7"/>
  <c r="J96" i="7"/>
  <c r="J86" i="7"/>
  <c r="J85" i="7"/>
  <c r="J84" i="7"/>
  <c r="J83" i="7"/>
  <c r="J81" i="7"/>
  <c r="J80" i="7"/>
  <c r="J76" i="7"/>
  <c r="J74" i="7"/>
  <c r="J73" i="7"/>
  <c r="J64" i="7"/>
  <c r="J63" i="7"/>
  <c r="J62" i="7"/>
  <c r="J61" i="7"/>
  <c r="J59" i="7"/>
  <c r="J58" i="7"/>
  <c r="J51" i="7"/>
  <c r="J42" i="7"/>
  <c r="J41" i="7"/>
  <c r="J40" i="7"/>
  <c r="J39" i="7"/>
  <c r="J37" i="7"/>
  <c r="J36" i="7"/>
  <c r="J32" i="7"/>
  <c r="J30" i="7"/>
  <c r="J29" i="7"/>
  <c r="J19" i="7"/>
  <c r="J18" i="7"/>
  <c r="J17" i="7"/>
  <c r="J16" i="7"/>
  <c r="J14" i="7"/>
  <c r="J13" i="7"/>
  <c r="J9" i="7"/>
  <c r="J7" i="7"/>
  <c r="J6" i="7"/>
  <c r="Q100" i="7"/>
  <c r="Q99" i="7"/>
  <c r="Q78" i="7"/>
  <c r="Q77" i="7"/>
  <c r="Q56" i="7"/>
  <c r="Q55" i="7"/>
  <c r="Q34" i="7"/>
  <c r="Q33" i="7"/>
  <c r="Q11" i="7"/>
  <c r="Q10" i="7"/>
  <c r="J100" i="7"/>
  <c r="J99" i="7"/>
  <c r="J78" i="7"/>
  <c r="J77" i="7"/>
  <c r="J56" i="7"/>
  <c r="J55" i="7"/>
  <c r="J34" i="7"/>
  <c r="J33" i="7"/>
  <c r="J11" i="7"/>
  <c r="J10"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4" i="9" l="1"/>
  <c r="C109" i="7"/>
  <c r="C110" i="7" s="1"/>
  <c r="F102" i="7" s="1"/>
  <c r="J43" i="7"/>
  <c r="K36" i="7" s="1"/>
  <c r="Q109" i="7"/>
  <c r="R103" i="7" s="1"/>
  <c r="Q87" i="7"/>
  <c r="R86" i="7" s="1"/>
  <c r="S86" i="7" s="1"/>
  <c r="Q43" i="7"/>
  <c r="R40" i="7" s="1"/>
  <c r="S40" i="7" s="1"/>
  <c r="Q20" i="7"/>
  <c r="Q21" i="7" s="1"/>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2" i="9"/>
  <c r="G11" i="9"/>
  <c r="E15" i="9"/>
  <c r="E14" i="9"/>
  <c r="E13" i="9"/>
  <c r="E12" i="9"/>
  <c r="E11" i="9"/>
  <c r="C15" i="9"/>
  <c r="C14" i="9"/>
  <c r="C13" i="9"/>
  <c r="C12" i="9"/>
  <c r="C11" i="9"/>
  <c r="J83" i="5"/>
  <c r="J75" i="5"/>
  <c r="J72" i="5"/>
  <c r="J14" i="5"/>
  <c r="J13" i="5"/>
  <c r="D108" i="7" l="1"/>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R9" i="7"/>
  <c r="S9"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L6" i="7" s="1"/>
  <c r="J21" i="7"/>
  <c r="M7" i="7" s="1"/>
  <c r="K13" i="7"/>
  <c r="R84" i="7"/>
  <c r="S84" i="7" s="1"/>
  <c r="R73" i="7"/>
  <c r="R85" i="7"/>
  <c r="S85" i="7" s="1"/>
  <c r="R80" i="7"/>
  <c r="R81" i="7"/>
  <c r="R74" i="7"/>
  <c r="S73" i="7" s="1"/>
  <c r="Q88" i="7"/>
  <c r="T80" i="7" s="1"/>
  <c r="T7" i="7"/>
  <c r="T13" i="7"/>
  <c r="T9" i="7"/>
  <c r="U9" i="7" s="1"/>
  <c r="BB8" i="8" s="1"/>
  <c r="T14" i="7"/>
  <c r="T6"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AZ9" i="8" s="1"/>
  <c r="D73" i="7"/>
  <c r="F9" i="7"/>
  <c r="G9" i="7" s="1"/>
  <c r="AZ8" i="8" s="1"/>
  <c r="F59" i="7"/>
  <c r="F51" i="7"/>
  <c r="F54" i="7"/>
  <c r="G54" i="7" s="1"/>
  <c r="F98" i="7"/>
  <c r="G98" i="7" s="1"/>
  <c r="F95" i="7"/>
  <c r="F7" i="7"/>
  <c r="F6" i="7"/>
  <c r="D7" i="7"/>
  <c r="AB79" i="5"/>
  <c r="BC57" i="6" s="1"/>
  <c r="AB75" i="5"/>
  <c r="BC56" i="6" s="1"/>
  <c r="AB72" i="5"/>
  <c r="BC55" i="6" s="1"/>
  <c r="AB57" i="5"/>
  <c r="BC41" i="6" s="1"/>
  <c r="AB53" i="5"/>
  <c r="BC40" i="6" s="1"/>
  <c r="AB50" i="5"/>
  <c r="BC39" i="6" s="1"/>
  <c r="AB35" i="5"/>
  <c r="BC25" i="6" s="1"/>
  <c r="AB31" i="5"/>
  <c r="BC24" i="6" s="1"/>
  <c r="AB28" i="5"/>
  <c r="BC23" i="6" s="1"/>
  <c r="Q85" i="5"/>
  <c r="Q84" i="5"/>
  <c r="Q83" i="5"/>
  <c r="Q82" i="5"/>
  <c r="Q80" i="5"/>
  <c r="Q79" i="5"/>
  <c r="Q75" i="5"/>
  <c r="Q73" i="5"/>
  <c r="Q72" i="5"/>
  <c r="Q63" i="5"/>
  <c r="Q62" i="5"/>
  <c r="Q61" i="5"/>
  <c r="Q60" i="5"/>
  <c r="Q58" i="5"/>
  <c r="Q57" i="5"/>
  <c r="Q53" i="5"/>
  <c r="Q51" i="5"/>
  <c r="Q50" i="5"/>
  <c r="Q41" i="5"/>
  <c r="Q40" i="5"/>
  <c r="Q39" i="5"/>
  <c r="Q38" i="5"/>
  <c r="Q36" i="5"/>
  <c r="Q35" i="5"/>
  <c r="Q31" i="5"/>
  <c r="Q29" i="5"/>
  <c r="Q28" i="5"/>
  <c r="Q19" i="5"/>
  <c r="Q18" i="5"/>
  <c r="Q17" i="5"/>
  <c r="Q16" i="5"/>
  <c r="Q14" i="5"/>
  <c r="Q13" i="5"/>
  <c r="Q9" i="5"/>
  <c r="Q7" i="5"/>
  <c r="Q6" i="5"/>
  <c r="J85" i="5"/>
  <c r="J84" i="5"/>
  <c r="J82" i="5"/>
  <c r="J80" i="5"/>
  <c r="J79" i="5"/>
  <c r="J73" i="5"/>
  <c r="J63" i="5"/>
  <c r="J62" i="5"/>
  <c r="J61" i="5"/>
  <c r="J60" i="5"/>
  <c r="J58" i="5"/>
  <c r="J57" i="5"/>
  <c r="J53" i="5"/>
  <c r="J51" i="5"/>
  <c r="J50" i="5"/>
  <c r="J41" i="5"/>
  <c r="J40" i="5"/>
  <c r="J39" i="5"/>
  <c r="J38" i="5"/>
  <c r="J36" i="5"/>
  <c r="J35" i="5"/>
  <c r="J31" i="5"/>
  <c r="J29" i="5"/>
  <c r="J28" i="5"/>
  <c r="J7" i="5"/>
  <c r="J6" i="5"/>
  <c r="J19" i="5"/>
  <c r="J18" i="5"/>
  <c r="J17" i="5"/>
  <c r="J16" i="5"/>
  <c r="J9" i="5"/>
  <c r="C19" i="5"/>
  <c r="Q77" i="5"/>
  <c r="Q76" i="5"/>
  <c r="Q55" i="5"/>
  <c r="Q54" i="5"/>
  <c r="Q33" i="5"/>
  <c r="Q32" i="5"/>
  <c r="Q11" i="5"/>
  <c r="Q10" i="5"/>
  <c r="J77" i="5"/>
  <c r="J76" i="5"/>
  <c r="J55" i="5"/>
  <c r="J54" i="5"/>
  <c r="J33" i="5"/>
  <c r="J32" i="5"/>
  <c r="J11" i="5"/>
  <c r="J10" i="5"/>
  <c r="C85" i="5"/>
  <c r="C84" i="5"/>
  <c r="C83" i="5"/>
  <c r="C82" i="5"/>
  <c r="C80" i="5"/>
  <c r="C79" i="5"/>
  <c r="C75" i="5"/>
  <c r="E9" i="9" s="1"/>
  <c r="C73" i="5"/>
  <c r="C72" i="5"/>
  <c r="C63" i="5"/>
  <c r="C62" i="5"/>
  <c r="C61" i="5"/>
  <c r="C60" i="5"/>
  <c r="C58" i="5"/>
  <c r="C57" i="5"/>
  <c r="C53" i="5"/>
  <c r="E8" i="9" s="1"/>
  <c r="C51" i="5"/>
  <c r="C50" i="5"/>
  <c r="C41" i="5"/>
  <c r="C40" i="5"/>
  <c r="C39" i="5"/>
  <c r="C38" i="5"/>
  <c r="C36" i="5"/>
  <c r="C35" i="5"/>
  <c r="C31" i="5"/>
  <c r="E7" i="9" s="1"/>
  <c r="C29" i="5"/>
  <c r="C28" i="5"/>
  <c r="C18" i="5"/>
  <c r="C17" i="5"/>
  <c r="C16" i="5"/>
  <c r="C14" i="5"/>
  <c r="C13" i="5"/>
  <c r="E5" i="9"/>
  <c r="C7" i="5"/>
  <c r="C5" i="9" s="1"/>
  <c r="U6" i="7" l="1"/>
  <c r="BB7" i="8" s="1"/>
  <c r="C20" i="5"/>
  <c r="D6" i="5" s="1"/>
  <c r="T103" i="7"/>
  <c r="M96" i="7"/>
  <c r="E95" i="7"/>
  <c r="L95" i="7"/>
  <c r="E102" i="7"/>
  <c r="T36" i="7"/>
  <c r="H15" i="9"/>
  <c r="AZ73" i="8"/>
  <c r="F15" i="9"/>
  <c r="AZ72" i="8"/>
  <c r="S36" i="7"/>
  <c r="T37" i="7"/>
  <c r="T29" i="7"/>
  <c r="U29" i="7" s="1"/>
  <c r="BB23" i="8" s="1"/>
  <c r="T32" i="7"/>
  <c r="U32" i="7" s="1"/>
  <c r="BB24" i="8" s="1"/>
  <c r="S29" i="7"/>
  <c r="S51" i="7"/>
  <c r="G95" i="7"/>
  <c r="G51" i="7"/>
  <c r="AZ39" i="8" s="1"/>
  <c r="M76" i="7"/>
  <c r="N76" i="7" s="1"/>
  <c r="BA56" i="8" s="1"/>
  <c r="G58" i="7"/>
  <c r="H13" i="9" s="1"/>
  <c r="M80" i="7"/>
  <c r="E36" i="7"/>
  <c r="M98" i="7"/>
  <c r="N98" i="7" s="1"/>
  <c r="BA72" i="8" s="1"/>
  <c r="M102" i="7"/>
  <c r="N102" i="7" s="1"/>
  <c r="BA73" i="8" s="1"/>
  <c r="E80" i="7"/>
  <c r="E51" i="7"/>
  <c r="E58" i="7"/>
  <c r="L29" i="7"/>
  <c r="S6" i="7"/>
  <c r="M95" i="7"/>
  <c r="N95" i="7" s="1"/>
  <c r="BA71" i="8" s="1"/>
  <c r="T95" i="7"/>
  <c r="U95" i="7" s="1"/>
  <c r="BB71" i="8" s="1"/>
  <c r="S95" i="7"/>
  <c r="L102" i="7"/>
  <c r="S13" i="7"/>
  <c r="G6" i="7"/>
  <c r="AZ7" i="8" s="1"/>
  <c r="F32" i="7"/>
  <c r="G32" i="7" s="1"/>
  <c r="F30" i="7"/>
  <c r="F29" i="7"/>
  <c r="M14" i="7"/>
  <c r="T102" i="7"/>
  <c r="M36" i="7"/>
  <c r="M81" i="7"/>
  <c r="F36" i="7"/>
  <c r="G36" i="7" s="1"/>
  <c r="E73" i="7"/>
  <c r="M32" i="7"/>
  <c r="N32" i="7" s="1"/>
  <c r="BA24" i="8" s="1"/>
  <c r="M29" i="7"/>
  <c r="N29" i="7" s="1"/>
  <c r="BA23" i="8" s="1"/>
  <c r="M37" i="7"/>
  <c r="T98" i="7"/>
  <c r="U98" i="7" s="1"/>
  <c r="BB72" i="8" s="1"/>
  <c r="F13" i="9"/>
  <c r="AZ40" i="8"/>
  <c r="C7" i="9"/>
  <c r="L73" i="7"/>
  <c r="M74" i="7"/>
  <c r="N73" i="7" s="1"/>
  <c r="BA55" i="8" s="1"/>
  <c r="M9" i="7"/>
  <c r="N9" i="7" s="1"/>
  <c r="BA8" i="8" s="1"/>
  <c r="M6" i="7"/>
  <c r="N6" i="7" s="1"/>
  <c r="BA7" i="8" s="1"/>
  <c r="L13" i="7"/>
  <c r="L58" i="7"/>
  <c r="M13" i="7"/>
  <c r="T76" i="7"/>
  <c r="U76" i="7" s="1"/>
  <c r="BB56" i="8" s="1"/>
  <c r="S80" i="7"/>
  <c r="T81" i="7"/>
  <c r="U80" i="7" s="1"/>
  <c r="BB57" i="8" s="1"/>
  <c r="T74" i="7"/>
  <c r="T73" i="7"/>
  <c r="U13" i="7"/>
  <c r="BB9" i="8" s="1"/>
  <c r="L80" i="7"/>
  <c r="T59" i="7"/>
  <c r="T54" i="7"/>
  <c r="U54" i="7" s="1"/>
  <c r="BB40" i="8" s="1"/>
  <c r="T52" i="7"/>
  <c r="T51" i="7"/>
  <c r="T58" i="7"/>
  <c r="M59" i="7"/>
  <c r="M54" i="7"/>
  <c r="N54" i="7" s="1"/>
  <c r="BA40" i="8"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AB9" i="5"/>
  <c r="BC8" i="6" s="1"/>
  <c r="Q20" i="5"/>
  <c r="R19" i="5" s="1"/>
  <c r="S19" i="5" s="1"/>
  <c r="J20" i="5"/>
  <c r="K16" i="5" s="1"/>
  <c r="L16" i="5" s="1"/>
  <c r="J86" i="5"/>
  <c r="K82" i="5" s="1"/>
  <c r="L82" i="5" s="1"/>
  <c r="Q86" i="5"/>
  <c r="R83" i="5" s="1"/>
  <c r="S83" i="5" s="1"/>
  <c r="J64" i="5"/>
  <c r="K60" i="5" s="1"/>
  <c r="L60" i="5" s="1"/>
  <c r="Q64" i="5"/>
  <c r="R60" i="5" s="1"/>
  <c r="S60" i="5" s="1"/>
  <c r="Q42" i="5"/>
  <c r="R40" i="5" s="1"/>
  <c r="S40" i="5" s="1"/>
  <c r="J42" i="5"/>
  <c r="K41" i="5" s="1"/>
  <c r="L41" i="5" s="1"/>
  <c r="C42" i="5"/>
  <c r="C43" i="5" s="1"/>
  <c r="U102" i="7" l="1"/>
  <c r="BB73" i="8" s="1"/>
  <c r="U58" i="7"/>
  <c r="BB41" i="8" s="1"/>
  <c r="U36" i="7"/>
  <c r="BB25" i="8" s="1"/>
  <c r="N80" i="7"/>
  <c r="BA57" i="8" s="1"/>
  <c r="F14" i="9"/>
  <c r="AZ56" i="8"/>
  <c r="D15" i="9"/>
  <c r="AZ71" i="8"/>
  <c r="D14" i="9"/>
  <c r="AZ55" i="8"/>
  <c r="D13" i="9"/>
  <c r="D61" i="5"/>
  <c r="E61" i="5" s="1"/>
  <c r="AZ41" i="8"/>
  <c r="N36" i="7"/>
  <c r="BA25" i="8" s="1"/>
  <c r="G29" i="7"/>
  <c r="D12" i="9" s="1"/>
  <c r="N13" i="7"/>
  <c r="BA9" i="8" s="1"/>
  <c r="F12" i="9"/>
  <c r="AZ24" i="8"/>
  <c r="D72" i="5"/>
  <c r="H12" i="9"/>
  <c r="AZ25" i="8"/>
  <c r="N51" i="7"/>
  <c r="BA39" i="8" s="1"/>
  <c r="U73" i="7"/>
  <c r="BB55" i="8" s="1"/>
  <c r="U51" i="7"/>
  <c r="BB39" i="8" s="1"/>
  <c r="N58" i="7"/>
  <c r="BA41" i="8" s="1"/>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Q21" i="5"/>
  <c r="T6" i="5" s="1"/>
  <c r="R6" i="5"/>
  <c r="R7" i="5"/>
  <c r="R9" i="5"/>
  <c r="S9" i="5" s="1"/>
  <c r="R13" i="5"/>
  <c r="R18" i="5"/>
  <c r="S18" i="5" s="1"/>
  <c r="R16" i="5"/>
  <c r="S16" i="5" s="1"/>
  <c r="R14" i="5"/>
  <c r="R17" i="5"/>
  <c r="S17" i="5" s="1"/>
  <c r="J21" i="5"/>
  <c r="M13" i="5" s="1"/>
  <c r="K9" i="5"/>
  <c r="L9" i="5" s="1"/>
  <c r="K6" i="5"/>
  <c r="K19" i="5"/>
  <c r="L19" i="5" s="1"/>
  <c r="AB6" i="5"/>
  <c r="BC7" i="6" s="1"/>
  <c r="AB13" i="5"/>
  <c r="BC9" i="6" s="1"/>
  <c r="J87" i="5"/>
  <c r="M75" i="5" s="1"/>
  <c r="N75" i="5" s="1"/>
  <c r="BA56" i="6" s="1"/>
  <c r="K73" i="5"/>
  <c r="K85" i="5"/>
  <c r="L85" i="5" s="1"/>
  <c r="K83" i="5"/>
  <c r="L83" i="5" s="1"/>
  <c r="K72" i="5"/>
  <c r="K75" i="5"/>
  <c r="L75" i="5" s="1"/>
  <c r="K79" i="5"/>
  <c r="K84" i="5"/>
  <c r="L84" i="5" s="1"/>
  <c r="K80" i="5"/>
  <c r="K61" i="5"/>
  <c r="L61" i="5" s="1"/>
  <c r="K50" i="5"/>
  <c r="K51" i="5"/>
  <c r="K53" i="5"/>
  <c r="L53" i="5" s="1"/>
  <c r="K57" i="5"/>
  <c r="J65" i="5"/>
  <c r="M51" i="5" s="1"/>
  <c r="K58" i="5"/>
  <c r="K62" i="5"/>
  <c r="L62" i="5" s="1"/>
  <c r="K63" i="5"/>
  <c r="L63" i="5" s="1"/>
  <c r="R62" i="5"/>
  <c r="S62" i="5" s="1"/>
  <c r="R61" i="5"/>
  <c r="S61" i="5" s="1"/>
  <c r="R58" i="5"/>
  <c r="Q65" i="5"/>
  <c r="R51" i="5"/>
  <c r="R50" i="5"/>
  <c r="R57" i="5"/>
  <c r="R63" i="5"/>
  <c r="S63" i="5" s="1"/>
  <c r="R53" i="5"/>
  <c r="S53" i="5" s="1"/>
  <c r="K14" i="5"/>
  <c r="K13" i="5"/>
  <c r="K7" i="5"/>
  <c r="K18" i="5"/>
  <c r="L18" i="5" s="1"/>
  <c r="F72" i="5"/>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31" i="5"/>
  <c r="S31" i="5" s="1"/>
  <c r="R29" i="5"/>
  <c r="R39" i="5"/>
  <c r="S39" i="5" s="1"/>
  <c r="R28" i="5"/>
  <c r="R38" i="5"/>
  <c r="S38" i="5" s="1"/>
  <c r="R41" i="5"/>
  <c r="S41" i="5" s="1"/>
  <c r="R36" i="5"/>
  <c r="Q43" i="5"/>
  <c r="R35" i="5"/>
  <c r="K39" i="5"/>
  <c r="L39" i="5" s="1"/>
  <c r="J43" i="5"/>
  <c r="K31" i="5"/>
  <c r="L31" i="5" s="1"/>
  <c r="K35" i="5"/>
  <c r="K29" i="5"/>
  <c r="F36" i="5"/>
  <c r="F29" i="5"/>
  <c r="F35" i="5"/>
  <c r="D7" i="5"/>
  <c r="E6" i="5" s="1"/>
  <c r="D9" i="5"/>
  <c r="E9" i="5" s="1"/>
  <c r="C21" i="5"/>
  <c r="D19" i="5"/>
  <c r="E19" i="5" s="1"/>
  <c r="D18" i="5"/>
  <c r="E18" i="5" s="1"/>
  <c r="D16" i="5"/>
  <c r="E16" i="5" s="1"/>
  <c r="D17" i="5"/>
  <c r="E17" i="5" s="1"/>
  <c r="D14" i="5"/>
  <c r="D13" i="5"/>
  <c r="E57" i="5" l="1"/>
  <c r="F80" i="5"/>
  <c r="E50" i="5"/>
  <c r="H14" i="9"/>
  <c r="AZ57" i="8"/>
  <c r="S79" i="5"/>
  <c r="S6" i="5"/>
  <c r="F51" i="5"/>
  <c r="E72" i="5"/>
  <c r="F50" i="5"/>
  <c r="AZ23" i="8"/>
  <c r="G28" i="5"/>
  <c r="E28" i="5"/>
  <c r="M53" i="5"/>
  <c r="N53" i="5" s="1"/>
  <c r="BA40" i="6" s="1"/>
  <c r="T14" i="5"/>
  <c r="F53" i="5"/>
  <c r="G53" i="5" s="1"/>
  <c r="AZ40" i="6" s="1"/>
  <c r="T13" i="5"/>
  <c r="T7" i="5"/>
  <c r="U6" i="5" s="1"/>
  <c r="BB7" i="6" s="1"/>
  <c r="T9" i="5"/>
  <c r="U9" i="5" s="1"/>
  <c r="BB8" i="6" s="1"/>
  <c r="F58" i="5"/>
  <c r="G57" i="5" s="1"/>
  <c r="H8" i="9" s="1"/>
  <c r="F75" i="5"/>
  <c r="G75" i="5" s="1"/>
  <c r="F73" i="5"/>
  <c r="G72" i="5" s="1"/>
  <c r="F6" i="5"/>
  <c r="F7" i="5"/>
  <c r="AZ24" i="6"/>
  <c r="F7" i="9"/>
  <c r="H11" i="9"/>
  <c r="D11" i="9"/>
  <c r="M14" i="5"/>
  <c r="N13" i="5" s="1"/>
  <c r="BA9" i="6" s="1"/>
  <c r="M80" i="5"/>
  <c r="M6" i="5"/>
  <c r="M9" i="5"/>
  <c r="N9" i="5" s="1"/>
  <c r="BA8" i="6" s="1"/>
  <c r="M7" i="5"/>
  <c r="L6" i="5"/>
  <c r="S57" i="5"/>
  <c r="S13" i="5"/>
  <c r="G35" i="5"/>
  <c r="L13" i="5"/>
  <c r="M73" i="5"/>
  <c r="L50" i="5"/>
  <c r="M57" i="5"/>
  <c r="M72" i="5"/>
  <c r="M79" i="5"/>
  <c r="L72" i="5"/>
  <c r="L79" i="5"/>
  <c r="L57" i="5"/>
  <c r="M50" i="5"/>
  <c r="N50" i="5" s="1"/>
  <c r="BA39" i="6" s="1"/>
  <c r="M58" i="5"/>
  <c r="S72" i="5"/>
  <c r="S50" i="5"/>
  <c r="T58" i="5"/>
  <c r="T51" i="5"/>
  <c r="T57" i="5"/>
  <c r="T50" i="5"/>
  <c r="T53" i="5"/>
  <c r="U53" i="5" s="1"/>
  <c r="BB40" i="6" s="1"/>
  <c r="L28" i="5"/>
  <c r="L35" i="5"/>
  <c r="G79" i="5"/>
  <c r="E35" i="5"/>
  <c r="T73" i="5"/>
  <c r="T75" i="5"/>
  <c r="U75" i="5" s="1"/>
  <c r="BB56" i="6" s="1"/>
  <c r="T79" i="5"/>
  <c r="T72" i="5"/>
  <c r="T80" i="5"/>
  <c r="S35" i="5"/>
  <c r="T36" i="5"/>
  <c r="T35" i="5"/>
  <c r="T28" i="5"/>
  <c r="T29" i="5"/>
  <c r="T31" i="5"/>
  <c r="U31" i="5" s="1"/>
  <c r="BB24" i="6" s="1"/>
  <c r="S28" i="5"/>
  <c r="M31" i="5"/>
  <c r="N31" i="5" s="1"/>
  <c r="BA24" i="6" s="1"/>
  <c r="M29" i="5"/>
  <c r="M28" i="5"/>
  <c r="M35" i="5"/>
  <c r="M36" i="5"/>
  <c r="E13" i="5"/>
  <c r="F13" i="5"/>
  <c r="F14" i="5"/>
  <c r="F9" i="5"/>
  <c r="G9" i="5" s="1"/>
  <c r="AZ23" i="6" l="1"/>
  <c r="D7" i="9"/>
  <c r="F8" i="9"/>
  <c r="AZ41" i="6"/>
  <c r="G50" i="5"/>
  <c r="D8" i="9" s="1"/>
  <c r="U13" i="5"/>
  <c r="BB9" i="6" s="1"/>
  <c r="AZ57" i="6"/>
  <c r="H9" i="9"/>
  <c r="AZ8" i="6"/>
  <c r="F5" i="9"/>
  <c r="AZ25" i="6"/>
  <c r="H7" i="9"/>
  <c r="AZ55" i="6"/>
  <c r="D9" i="9"/>
  <c r="AZ56" i="6"/>
  <c r="F9" i="9"/>
  <c r="N6" i="5"/>
  <c r="BA7" i="6" s="1"/>
  <c r="N79" i="5"/>
  <c r="BA57" i="6" s="1"/>
  <c r="N72" i="5"/>
  <c r="BA55" i="6" s="1"/>
  <c r="N57" i="5"/>
  <c r="BA41" i="6" s="1"/>
  <c r="U50" i="5"/>
  <c r="BB39" i="6" s="1"/>
  <c r="U57" i="5"/>
  <c r="BB41" i="6" s="1"/>
  <c r="U35" i="5"/>
  <c r="BB25" i="6" s="1"/>
  <c r="U79" i="5"/>
  <c r="BB57" i="6" s="1"/>
  <c r="N28" i="5"/>
  <c r="BA23" i="6" s="1"/>
  <c r="U72" i="5"/>
  <c r="BB55" i="6" s="1"/>
  <c r="N35" i="5"/>
  <c r="BA25" i="6" s="1"/>
  <c r="U28" i="5"/>
  <c r="BB23" i="6" s="1"/>
  <c r="G6" i="5"/>
  <c r="D5" i="9" s="1"/>
  <c r="G13" i="5"/>
  <c r="AZ39" i="6" l="1"/>
  <c r="AZ9" i="6"/>
  <c r="H5" i="9"/>
  <c r="AZ7" i="6"/>
</calcChain>
</file>

<file path=xl/comments1.xml><?xml version="1.0" encoding="utf-8"?>
<comments xmlns="http://schemas.openxmlformats.org/spreadsheetml/2006/main">
  <authors>
    <author>Jennifer Norman</author>
  </authors>
  <commentList>
    <comment ref="D29" authorId="0" shapeId="0">
      <text>
        <r>
          <rPr>
            <sz val="9"/>
            <color indexed="81"/>
            <rFont val="Tahoma"/>
            <family val="2"/>
          </rPr>
          <t>…"to showcase the Council and raise the profile of its services". (p26)</t>
        </r>
      </text>
    </comment>
    <comment ref="D30" authorId="0" shapeId="0">
      <text>
        <r>
          <rPr>
            <sz val="9"/>
            <color indexed="81"/>
            <rFont val="Tahoma"/>
            <family val="2"/>
          </rPr>
          <t>…"to showcase the Council and raise the profile of its services". (p26)</t>
        </r>
      </text>
    </comment>
    <comment ref="D37" authorId="0" shapeId="0">
      <text>
        <r>
          <rPr>
            <sz val="9"/>
            <color indexed="81"/>
            <rFont val="Tahoma"/>
            <family val="2"/>
          </rPr>
          <t>in relation to waste management p.27</t>
        </r>
      </text>
    </comment>
  </commentList>
</comments>
</file>

<file path=xl/comments2.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1" authorId="0" shapeId="0">
      <text>
        <r>
          <rPr>
            <b/>
            <sz val="9"/>
            <color indexed="81"/>
            <rFont val="Tahoma"/>
            <family val="2"/>
          </rPr>
          <t>Jennifer Norman:</t>
        </r>
        <r>
          <rPr>
            <sz val="9"/>
            <color indexed="81"/>
            <rFont val="Tahoma"/>
            <family val="2"/>
          </rPr>
          <t xml:space="preserve">
Only Red and Green statuses for Year End??</t>
        </r>
      </text>
    </comment>
    <comment ref="W53" authorId="0" shapeId="0">
      <text>
        <r>
          <rPr>
            <b/>
            <sz val="9"/>
            <color indexed="81"/>
            <rFont val="Tahoma"/>
            <family val="2"/>
          </rPr>
          <t>Jennifer Norman:</t>
        </r>
        <r>
          <rPr>
            <sz val="9"/>
            <color indexed="81"/>
            <rFont val="Tahoma"/>
            <family val="2"/>
          </rPr>
          <t xml:space="preserve">
Only Red and Green statuses for Year End??</t>
        </r>
      </text>
    </comment>
    <comment ref="W75"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comments3.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2" authorId="0" shapeId="0">
      <text>
        <r>
          <rPr>
            <b/>
            <sz val="9"/>
            <color indexed="81"/>
            <rFont val="Tahoma"/>
            <family val="2"/>
          </rPr>
          <t>Jennifer Norman:</t>
        </r>
        <r>
          <rPr>
            <sz val="9"/>
            <color indexed="81"/>
            <rFont val="Tahoma"/>
            <family val="2"/>
          </rPr>
          <t xml:space="preserve">
Only Red and Green statuses for Year End??</t>
        </r>
      </text>
    </comment>
    <comment ref="W54" authorId="0" shapeId="0">
      <text>
        <r>
          <rPr>
            <b/>
            <sz val="9"/>
            <color indexed="81"/>
            <rFont val="Tahoma"/>
            <family val="2"/>
          </rPr>
          <t>Jennifer Norman:</t>
        </r>
        <r>
          <rPr>
            <sz val="9"/>
            <color indexed="81"/>
            <rFont val="Tahoma"/>
            <family val="2"/>
          </rPr>
          <t xml:space="preserve">
Only Red and Green statuses for Year End??</t>
        </r>
      </text>
    </comment>
    <comment ref="W76" authorId="0" shapeId="0">
      <text>
        <r>
          <rPr>
            <b/>
            <sz val="9"/>
            <color indexed="81"/>
            <rFont val="Tahoma"/>
            <family val="2"/>
          </rPr>
          <t>Jennifer Norman:</t>
        </r>
        <r>
          <rPr>
            <sz val="9"/>
            <color indexed="81"/>
            <rFont val="Tahoma"/>
            <family val="2"/>
          </rPr>
          <t xml:space="preserve">
Only Red and Green statuses for Year End??</t>
        </r>
      </text>
    </comment>
    <comment ref="W98"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sharedStrings.xml><?xml version="1.0" encoding="utf-8"?>
<sst xmlns="http://schemas.openxmlformats.org/spreadsheetml/2006/main" count="2635" uniqueCount="595">
  <si>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</si>
  <si>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</si>
  <si>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</si>
  <si>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</si>
  <si>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</si>
  <si>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</si>
  <si>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</si>
  <si>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</si>
  <si>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</si>
  <si>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</si>
  <si>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</si>
  <si>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</si>
  <si>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</si>
  <si>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</si>
  <si>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</si>
  <si>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</si>
  <si>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</si>
  <si>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</si>
  <si>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</si>
  <si>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</si>
  <si>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</si>
  <si>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</si>
  <si>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</si>
  <si>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</si>
  <si>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</si>
  <si>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</si>
  <si>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</si>
  <si>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</si>
  <si>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</si>
  <si>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</si>
  <si>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</si>
  <si>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</si>
  <si>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</si>
  <si>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</si>
  <si>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</si>
  <si>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</si>
  <si>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</si>
  <si>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</si>
  <si>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</si>
  <si>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</si>
  <si>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</si>
  <si>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</si>
  <si>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</si>
  <si>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</si>
  <si>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</si>
  <si>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</si>
  <si>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</si>
  <si>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</si>
  <si>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</si>
  <si>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</si>
  <si>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</si>
  <si>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</si>
  <si>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</si>
  <si>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</si>
  <si>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</si>
  <si>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</si>
  <si>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</si>
  <si>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</si>
  <si>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</si>
  <si>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</si>
  <si>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</si>
  <si>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</si>
  <si>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</si>
  <si>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</si>
  <si>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</si>
  <si>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</si>
  <si>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</si>
  <si>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</si>
  <si>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</si>
  <si>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</si>
  <si>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</si>
  <si>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</si>
  <si>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</si>
  <si>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</si>
  <si>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</si>
  <si>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</si>
  <si>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</si>
  <si>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</si>
  <si>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</si>
  <si>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</si>
  <si>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</si>
  <si>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</si>
  <si>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</si>
  <si>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</si>
  <si>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</si>
  <si>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</si>
  <si>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</si>
  <si>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</si>
  <si>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</si>
  <si>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</si>
  <si>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</si>
  <si>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</si>
  <si>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</si>
  <si>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</si>
  <si>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VFM39</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</si>
  <si>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</si>
  <si>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</si>
  <si>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</si>
  <si>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</si>
  <si>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</si>
  <si>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</si>
  <si>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</si>
  <si>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</si>
  <si>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</si>
  <si>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</si>
  <si>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</si>
  <si>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</si>
  <si>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</si>
  <si>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</si>
  <si>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</si>
  <si>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</si>
  <si>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</si>
  <si>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</si>
  <si>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</si>
  <si>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</si>
  <si>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</si>
  <si>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</si>
  <si>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</si>
  <si>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</si>
  <si>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</si>
  <si>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</si>
  <si>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</si>
  <si>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</si>
  <si>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</si>
  <si>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</si>
  <si>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</si>
  <si>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</si>
  <si>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</si>
  <si>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</si>
  <si>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</si>
  <si>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</si>
  <si>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</si>
  <si>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</si>
  <si>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</si>
  <si>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</si>
  <si>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</si>
  <si>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</si>
  <si>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</si>
  <si>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</si>
  <si>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</si>
  <si>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</si>
  <si>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</si>
  <si>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</si>
  <si>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</si>
  <si>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</si>
  <si>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</si>
  <si>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</si>
  <si>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</si>
  <si>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</si>
  <si>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</si>
  <si>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</si>
  <si>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</si>
  <si>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</si>
  <si>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</si>
  <si>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</si>
  <si>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</si>
  <si>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</si>
  <si>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</si>
  <si>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</si>
  <si>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</si>
  <si>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</si>
  <si>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</si>
  <si>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</si>
  <si>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</si>
  <si>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</si>
  <si>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</si>
  <si>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</si>
  <si>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</si>
  <si>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</si>
  <si>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</si>
  <si>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</si>
  <si>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</si>
  <si>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</si>
  <si>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</si>
  <si>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</si>
  <si>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</si>
  <si>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</si>
  <si>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</si>
  <si>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</si>
  <si>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</si>
  <si>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</si>
  <si>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</si>
  <si>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</si>
  <si>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</si>
  <si>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</si>
  <si>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</si>
  <si>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</si>
  <si>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</si>
  <si>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</si>
  <si>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</si>
  <si>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</si>
  <si>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</si>
  <si>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</si>
  <si>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</si>
  <si>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</si>
  <si>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</si>
  <si>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</si>
  <si>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</si>
  <si>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</si>
  <si>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</si>
  <si>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</si>
  <si>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</si>
  <si>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</si>
  <si>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</si>
  <si>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</si>
  <si>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</si>
  <si>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</si>
  <si>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</si>
  <si>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</si>
  <si>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</si>
  <si>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</si>
  <si>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</si>
  <si>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</si>
  <si>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</si>
  <si>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</si>
  <si>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</si>
  <si>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</si>
  <si>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</si>
  <si>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</si>
  <si>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</si>
  <si>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</si>
  <si>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</si>
  <si>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</si>
  <si>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</si>
  <si>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</si>
  <si>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</si>
  <si>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</si>
  <si>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</si>
  <si>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</si>
  <si>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</si>
  <si>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</si>
  <si>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</si>
  <si>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</si>
  <si>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</si>
  <si>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</si>
  <si>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</si>
  <si>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</si>
  <si>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</si>
  <si>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</si>
  <si>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</si>
  <si>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</si>
  <si>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</si>
  <si>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</si>
  <si>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</si>
  <si>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 xml:space="preserve">Provide a six monthly report on Regulatory Services activity including initiatives covering licensed gambling premises, Civil Enforcement, Scrap metal compliance etc </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</si>
  <si>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</si>
  <si>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</si>
  <si>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</si>
  <si>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</si>
  <si>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</si>
  <si>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</si>
  <si>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</si>
  <si>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</si>
  <si>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</si>
  <si>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</si>
  <si>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</si>
  <si>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</si>
  <si>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</si>
  <si>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</si>
  <si>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</si>
  <si>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</si>
  <si>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</si>
  <si>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</si>
  <si>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</si>
  <si>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</si>
  <si>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</si>
  <si>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</si>
  <si>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</si>
  <si>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</si>
  <si>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</si>
  <si>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</si>
  <si>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</si>
  <si>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</si>
  <si>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</si>
  <si>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</si>
  <si>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</si>
  <si>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</si>
  <si>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</si>
  <si>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Corporate Prority</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</si>
  <si>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</si>
  <si>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</si>
  <si>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</si>
  <si>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</si>
  <si>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</si>
  <si>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</si>
  <si>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</si>
  <si>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</si>
  <si>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</si>
  <si>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</si>
  <si>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 xml:space="preserve">To be agreed post tender award </t>
  </si>
  <si>
    <t>Team</t>
  </si>
  <si>
    <t>Reporting Officer</t>
  </si>
  <si>
    <t>Finance</t>
  </si>
  <si>
    <t>ICT</t>
  </si>
  <si>
    <t>Corporate &amp; Commercial</t>
  </si>
  <si>
    <t>Chris Ebberley</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</si>
  <si>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</si>
  <si>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</si>
  <si>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</si>
  <si>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</si>
  <si>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</si>
  <si>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</si>
  <si>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</si>
  <si>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</si>
  <si>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</si>
  <si>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</si>
  <si>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</si>
  <si>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</si>
  <si>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</si>
  <si>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</si>
  <si>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</si>
  <si>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</si>
  <si>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</si>
  <si>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Anna Miller</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</si>
  <si>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</si>
  <si>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</si>
  <si>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</si>
  <si>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</si>
  <si>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</si>
  <si>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</si>
  <si>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</si>
  <si>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</si>
  <si>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</si>
  <si>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</si>
  <si>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</si>
  <si>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</si>
  <si>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</si>
  <si>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</si>
  <si>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</si>
  <si>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</si>
  <si>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</si>
  <si>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</si>
  <si>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</si>
  <si>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</si>
  <si>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</si>
  <si>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</si>
  <si>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</si>
  <si>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</si>
  <si>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</si>
  <si>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</si>
  <si>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</si>
  <si>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</si>
  <si>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</si>
  <si>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</si>
  <si>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</si>
  <si>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</si>
  <si>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</si>
  <si>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</si>
  <si>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</si>
  <si>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</si>
  <si>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</si>
  <si>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</si>
  <si>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</si>
  <si>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</si>
  <si>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</si>
  <si>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</si>
  <si>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</si>
  <si>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</si>
  <si>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</si>
  <si>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</si>
  <si>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</si>
  <si>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</si>
  <si>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</si>
  <si>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</si>
  <si>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</si>
  <si>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</si>
  <si>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</si>
  <si>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</si>
  <si>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</si>
  <si>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</si>
  <si>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</si>
  <si>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</si>
  <si>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</si>
  <si>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</si>
  <si>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</si>
  <si>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</si>
  <si>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</si>
  <si>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</si>
  <si>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</si>
  <si>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</si>
  <si>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</si>
  <si>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</si>
  <si>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</si>
  <si>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</si>
  <si>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</si>
  <si>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</si>
  <si>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</si>
  <si>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</si>
  <si>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</si>
  <si>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</si>
  <si>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</si>
  <si>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</si>
  <si>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</si>
  <si>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</si>
  <si>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</si>
  <si>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</si>
  <si>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</si>
  <si>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</si>
  <si>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</si>
  <si>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</si>
  <si>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</si>
  <si>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</si>
  <si>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</si>
  <si>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 SERVICES</t>
  </si>
  <si>
    <t>PROMOTING LOCAL ECONOMIC GROWTH</t>
  </si>
  <si>
    <t>PROTECTING AND STRENGTHENING COMMUNITIES</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</si>
  <si>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</si>
  <si>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</si>
  <si>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</si>
  <si>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</si>
  <si>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</si>
  <si>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</si>
  <si>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</si>
  <si>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</si>
  <si>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</si>
  <si>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</si>
  <si>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</si>
  <si>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</si>
  <si>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</si>
  <si>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</si>
  <si>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</si>
  <si>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</si>
  <si>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</si>
  <si>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</si>
  <si>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</si>
  <si>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</si>
  <si>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</si>
  <si>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</si>
  <si>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Quarter One (2019/20)</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</si>
  <si>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</si>
  <si>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</si>
  <si>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</si>
  <si>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</si>
  <si>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</si>
  <si>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</si>
  <si>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</si>
  <si>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</si>
  <si>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</si>
  <si>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</si>
  <si>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</si>
  <si>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</si>
  <si>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</si>
  <si>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</si>
  <si>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</si>
  <si>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</si>
  <si>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</si>
  <si>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</si>
  <si>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</si>
  <si>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</si>
  <si>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</si>
  <si>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</si>
  <si>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</si>
  <si>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</si>
  <si>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</si>
  <si>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</si>
  <si>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</si>
  <si>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</si>
  <si>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</si>
  <si>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</si>
  <si>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</si>
  <si>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</si>
  <si>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</si>
  <si>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</si>
  <si>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</si>
  <si>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</si>
  <si>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</si>
  <si>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</si>
  <si>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Grand Total</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</si>
  <si>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</si>
  <si>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</si>
  <si>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</si>
  <si>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</si>
  <si>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</si>
  <si>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</si>
  <si>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</si>
  <si>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</si>
  <si>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</si>
  <si>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</si>
  <si>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</si>
  <si>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</si>
  <si>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Count of Quarter 1 On Track?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</si>
  <si>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</si>
  <si>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</si>
  <si>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</si>
  <si>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</si>
  <si>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</si>
  <si>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The quarterly contract performance report was also presented to the Leisure Services Partmership Board on 1st July 2019. </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</si>
  <si>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</si>
  <si>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</si>
  <si>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</si>
  <si>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</si>
  <si>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</si>
  <si>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</si>
  <si>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</si>
  <si>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</si>
  <si>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</si>
  <si>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</si>
  <si>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</si>
  <si>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</si>
  <si>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Intitial discussions with Staffordshire County Council have taken place, looking at understanding the scope of technical reports that will be required.</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</si>
  <si>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</si>
  <si>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</si>
  <si>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</si>
  <si>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</si>
  <si>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</si>
  <si>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</si>
  <si>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Research has commenced into the varying forms of technology now being employed on car parks. A long list of options are being presented to the Deputy Leader on July 9th with a view to creating a preferrential short list.</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</si>
  <si>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</si>
  <si>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</si>
  <si>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</si>
  <si>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</si>
  <si>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</si>
  <si>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</si>
  <si>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</si>
  <si>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</si>
  <si>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</si>
  <si>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</si>
  <si>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</si>
  <si>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</si>
  <si>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</si>
  <si>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</si>
  <si>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</si>
  <si>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</si>
  <si>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</si>
  <si>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</si>
  <si>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</si>
  <si>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</si>
  <si>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</si>
  <si>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</si>
  <si>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</si>
  <si>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</si>
  <si>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</si>
  <si>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</si>
  <si>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</si>
  <si>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</si>
  <si>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</si>
  <si>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It is noticable that there were fewer contentious decisions than normal in Q1, and therefore the end of year forecast needs to take account of this.</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</si>
  <si>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</si>
  <si>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</si>
  <si>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</si>
  <si>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</si>
  <si>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</si>
  <si>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</si>
  <si>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</si>
  <si>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</si>
  <si>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</si>
  <si>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</si>
  <si>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</si>
  <si>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</si>
  <si>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</si>
  <si>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</si>
  <si>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</si>
  <si>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</si>
  <si>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</si>
  <si>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</si>
  <si>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</si>
  <si>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</si>
  <si>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</si>
  <si>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</si>
  <si>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</si>
  <si>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</si>
  <si>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</si>
  <si>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</si>
  <si>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</si>
  <si>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</si>
  <si>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</si>
  <si>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</si>
  <si>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</si>
  <si>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</si>
  <si>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</si>
  <si>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</si>
  <si>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</si>
  <si>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Further large scale intitiative to begin in August 2019</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</si>
  <si>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</si>
  <si>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</si>
  <si>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</si>
  <si>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</si>
  <si>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</si>
  <si>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</si>
  <si>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</si>
  <si>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</si>
  <si>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</si>
  <si>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</si>
  <si>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</si>
  <si>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</si>
  <si>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</si>
  <si>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</si>
  <si>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0.69 days</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</si>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</sst>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sz val="9"/>
      <color indexed="81"/>
      <name val="Tahoma"/>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s>
  <fills count="23">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s>
  <borders count="6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3">
    <xf numFmtId="0" fontId="0" fillId="0" borderId="0"/>
    <xf numFmtId="0" fontId="24" fillId="0" borderId="0" applyNumberFormat="0" applyFill="0" applyBorder="0" applyAlignment="0" applyProtection="0">
      <alignment vertical="top"/>
      <protection locked="0"/>
    </xf>
    <xf numFmtId="0" fontId="47" fillId="0" borderId="0"/>
  </cellStyleXfs>
  <cellXfs count="409">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5" fillId="8" borderId="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left" vertical="center" wrapText="1" indent="1"/>
      <protection locked="0"/>
    </xf>
    <xf numFmtId="0" fontId="16" fillId="8" borderId="5"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center" vertical="center" wrapText="1"/>
      <protection locked="0"/>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15" fillId="8" borderId="0" xfId="0" applyFont="1" applyFill="1" applyBorder="1" applyAlignment="1" applyProtection="1">
      <alignment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5" fillId="7" borderId="13" xfId="0" applyFont="1" applyFill="1" applyBorder="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3"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2"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1"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2" fillId="16" borderId="0" xfId="0" applyFont="1" applyFill="1"/>
    <xf numFmtId="0" fontId="27" fillId="16" borderId="0" xfId="0" applyFont="1" applyFill="1"/>
    <xf numFmtId="9" fontId="27" fillId="16" borderId="0" xfId="0" applyNumberFormat="1" applyFont="1" applyFill="1"/>
    <xf numFmtId="0" fontId="29" fillId="16" borderId="0" xfId="1" applyFont="1" applyFill="1" applyBorder="1" applyAlignment="1" applyProtection="1">
      <alignment horizontal="left"/>
    </xf>
    <xf numFmtId="0" fontId="1" fillId="16" borderId="0" xfId="0" applyFont="1" applyFill="1"/>
    <xf numFmtId="0" fontId="18" fillId="16" borderId="0" xfId="0" applyFont="1" applyFill="1"/>
    <xf numFmtId="0" fontId="29" fillId="16" borderId="0" xfId="1" applyFont="1" applyFill="1" applyBorder="1" applyAlignment="1" applyProtection="1">
      <alignment horizontal="center"/>
    </xf>
    <xf numFmtId="9" fontId="1" fillId="16" borderId="0" xfId="0" applyNumberFormat="1" applyFont="1" applyFill="1"/>
    <xf numFmtId="9" fontId="18" fillId="16" borderId="0" xfId="0" applyNumberFormat="1" applyFont="1" applyFill="1"/>
    <xf numFmtId="10" fontId="18" fillId="16" borderId="0" xfId="0" applyNumberFormat="1" applyFont="1" applyFill="1" applyBorder="1" applyAlignment="1">
      <alignment horizontal="center" vertical="center"/>
    </xf>
    <xf numFmtId="0" fontId="31" fillId="16" borderId="0" xfId="0" applyFont="1" applyFill="1" applyBorder="1"/>
    <xf numFmtId="0" fontId="30" fillId="16" borderId="0" xfId="0" applyFont="1" applyFill="1"/>
    <xf numFmtId="0" fontId="33" fillId="16" borderId="0" xfId="0" applyFont="1" applyFill="1"/>
    <xf numFmtId="9" fontId="19" fillId="16" borderId="0" xfId="0" applyNumberFormat="1" applyFont="1" applyFill="1"/>
    <xf numFmtId="0" fontId="19" fillId="16" borderId="0" xfId="0" applyFont="1" applyFill="1" applyBorder="1"/>
    <xf numFmtId="9" fontId="34" fillId="16" borderId="7" xfId="0" applyNumberFormat="1" applyFont="1" applyFill="1" applyBorder="1" applyAlignment="1">
      <alignment horizontal="center"/>
    </xf>
    <xf numFmtId="0" fontId="34" fillId="16" borderId="7" xfId="0" applyFont="1" applyFill="1" applyBorder="1"/>
    <xf numFmtId="10" fontId="19" fillId="16" borderId="7" xfId="0" applyNumberFormat="1" applyFont="1" applyFill="1" applyBorder="1" applyAlignment="1">
      <alignment horizontal="center" vertical="center"/>
    </xf>
    <xf numFmtId="9" fontId="34" fillId="16" borderId="0" xfId="0" applyNumberFormat="1" applyFont="1" applyFill="1" applyBorder="1" applyAlignment="1">
      <alignment horizontal="center"/>
    </xf>
    <xf numFmtId="0" fontId="35" fillId="16" borderId="0" xfId="0" applyFont="1" applyFill="1" applyBorder="1"/>
    <xf numFmtId="9" fontId="19" fillId="16" borderId="0" xfId="0" applyNumberFormat="1" applyFont="1" applyFill="1" applyBorder="1" applyAlignment="1">
      <alignment horizontal="center" vertical="center"/>
    </xf>
    <xf numFmtId="9" fontId="19" fillId="16" borderId="0" xfId="0" applyNumberFormat="1" applyFont="1" applyFill="1" applyBorder="1"/>
    <xf numFmtId="0" fontId="19" fillId="16" borderId="0" xfId="0" applyFont="1" applyFill="1"/>
    <xf numFmtId="9" fontId="34" fillId="16" borderId="0" xfId="0" applyNumberFormat="1" applyFont="1" applyFill="1"/>
    <xf numFmtId="0" fontId="34" fillId="16" borderId="0" xfId="0" applyFont="1" applyFill="1" applyBorder="1"/>
    <xf numFmtId="10" fontId="2" fillId="8" borderId="0" xfId="0" applyNumberFormat="1" applyFont="1" applyFill="1" applyBorder="1" applyAlignment="1">
      <alignment vertical="center" wrapText="1"/>
    </xf>
    <xf numFmtId="10" fontId="2" fillId="8" borderId="0" xfId="0" applyNumberFormat="1" applyFont="1" applyFill="1" applyBorder="1" applyAlignment="1">
      <alignment vertical="center"/>
    </xf>
    <xf numFmtId="10" fontId="15" fillId="8" borderId="0" xfId="0" applyNumberFormat="1" applyFont="1" applyFill="1" applyBorder="1" applyAlignment="1">
      <alignment vertical="center"/>
    </xf>
    <xf numFmtId="9" fontId="24" fillId="8" borderId="0" xfId="1" applyNumberFormat="1" applyFill="1" applyBorder="1" applyAlignment="1" applyProtection="1">
      <alignment horizontal="center" vertical="center"/>
    </xf>
    <xf numFmtId="0" fontId="15" fillId="8" borderId="0" xfId="0" applyFont="1" applyFill="1" applyBorder="1" applyAlignment="1">
      <alignment vertical="center"/>
    </xf>
    <xf numFmtId="0" fontId="0" fillId="8" borderId="0" xfId="0" applyFill="1" applyAlignment="1">
      <alignment vertical="center"/>
    </xf>
    <xf numFmtId="0" fontId="36" fillId="8" borderId="0" xfId="1" applyFont="1" applyFill="1" applyBorder="1" applyAlignment="1" applyProtection="1">
      <alignment horizontal="center" vertical="center"/>
    </xf>
    <xf numFmtId="9" fontId="0" fillId="8" borderId="0" xfId="0" applyNumberFormat="1" applyFill="1" applyAlignment="1">
      <alignment vertical="center"/>
    </xf>
    <xf numFmtId="0" fontId="39" fillId="8" borderId="37" xfId="0" applyFont="1" applyFill="1" applyBorder="1" applyAlignment="1">
      <alignment horizontal="center" vertical="center" wrapText="1"/>
    </xf>
    <xf numFmtId="9" fontId="39" fillId="8" borderId="37" xfId="0" applyNumberFormat="1" applyFont="1" applyFill="1" applyBorder="1" applyAlignment="1">
      <alignment horizontal="center" vertical="center" wrapText="1"/>
    </xf>
    <xf numFmtId="0" fontId="39" fillId="8" borderId="38" xfId="0" applyFont="1" applyFill="1" applyBorder="1" applyAlignment="1">
      <alignment horizontal="center" vertical="center" wrapText="1"/>
    </xf>
    <xf numFmtId="10" fontId="39" fillId="8" borderId="39"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40"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1"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40" fillId="8" borderId="42" xfId="0" applyFont="1" applyFill="1" applyBorder="1" applyAlignment="1">
      <alignment horizontal="right" vertical="center" wrapText="1"/>
    </xf>
    <xf numFmtId="0" fontId="41" fillId="8" borderId="37" xfId="0" applyFont="1" applyFill="1" applyBorder="1" applyAlignment="1">
      <alignment horizontal="center" vertical="center" wrapText="1"/>
    </xf>
    <xf numFmtId="10" fontId="39" fillId="8" borderId="37" xfId="0" applyNumberFormat="1" applyFont="1" applyFill="1" applyBorder="1" applyAlignment="1">
      <alignment horizontal="center" vertical="center" wrapText="1"/>
    </xf>
    <xf numFmtId="0" fontId="41" fillId="8" borderId="38" xfId="0" applyFont="1" applyFill="1" applyBorder="1" applyAlignment="1">
      <alignment horizontal="center" vertical="center" wrapText="1"/>
    </xf>
    <xf numFmtId="0" fontId="12" fillId="0" borderId="0" xfId="0" applyFont="1" applyAlignment="1">
      <alignment vertical="center"/>
    </xf>
    <xf numFmtId="0" fontId="17" fillId="7" borderId="40" xfId="0" applyFont="1" applyFill="1" applyBorder="1" applyAlignment="1">
      <alignment horizontal="left" vertical="center" wrapText="1"/>
    </xf>
    <xf numFmtId="0" fontId="39" fillId="7" borderId="0" xfId="0" applyFont="1" applyFill="1" applyBorder="1" applyAlignment="1">
      <alignment vertical="center" wrapText="1"/>
    </xf>
    <xf numFmtId="10" fontId="39" fillId="7" borderId="0" xfId="0" applyNumberFormat="1" applyFont="1" applyFill="1" applyBorder="1" applyAlignment="1">
      <alignment vertical="center" wrapText="1"/>
    </xf>
    <xf numFmtId="10" fontId="39" fillId="7" borderId="41" xfId="0" applyNumberFormat="1" applyFont="1" applyFill="1" applyBorder="1" applyAlignment="1">
      <alignment vertical="center" wrapText="1"/>
    </xf>
    <xf numFmtId="1" fontId="41" fillId="8" borderId="43" xfId="0" applyNumberFormat="1" applyFont="1" applyFill="1" applyBorder="1" applyAlignment="1">
      <alignment horizontal="center" vertical="center" wrapText="1"/>
    </xf>
    <xf numFmtId="9" fontId="0" fillId="0" borderId="0" xfId="0" applyNumberFormat="1" applyAlignment="1">
      <alignment vertical="center"/>
    </xf>
    <xf numFmtId="0" fontId="39" fillId="8" borderId="45" xfId="0" applyFont="1" applyFill="1" applyBorder="1" applyAlignment="1">
      <alignment horizontal="center" vertical="center" wrapText="1"/>
    </xf>
    <xf numFmtId="10" fontId="39" fillId="8" borderId="45" xfId="0" applyNumberFormat="1" applyFont="1" applyFill="1" applyBorder="1" applyAlignment="1">
      <alignment horizontal="center" vertical="center" wrapText="1"/>
    </xf>
    <xf numFmtId="0" fontId="41" fillId="8" borderId="46" xfId="0" applyFont="1" applyFill="1" applyBorder="1" applyAlignment="1">
      <alignment horizontal="center" vertical="center" wrapText="1"/>
    </xf>
    <xf numFmtId="10" fontId="39" fillId="8" borderId="46" xfId="0" applyNumberFormat="1" applyFont="1" applyFill="1" applyBorder="1" applyAlignment="1">
      <alignment horizontal="center" vertical="center" wrapText="1"/>
    </xf>
    <xf numFmtId="0" fontId="7" fillId="18" borderId="47" xfId="0" applyFont="1" applyFill="1" applyBorder="1" applyAlignment="1">
      <alignment vertical="center" wrapText="1"/>
    </xf>
    <xf numFmtId="0" fontId="2" fillId="0" borderId="47" xfId="0"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 fillId="0" borderId="47" xfId="0" applyNumberFormat="1" applyFont="1" applyFill="1" applyBorder="1" applyAlignment="1">
      <alignment vertical="center" wrapText="1"/>
    </xf>
    <xf numFmtId="0" fontId="7" fillId="12" borderId="47" xfId="0" applyFont="1" applyFill="1" applyBorder="1" applyAlignment="1">
      <alignment vertical="center" wrapText="1"/>
    </xf>
    <xf numFmtId="10" fontId="2" fillId="0" borderId="47" xfId="0" applyNumberFormat="1" applyFont="1" applyFill="1" applyBorder="1" applyAlignment="1">
      <alignment horizontal="center" vertical="center"/>
    </xf>
    <xf numFmtId="10" fontId="15" fillId="8" borderId="47" xfId="0" applyNumberFormat="1" applyFont="1" applyFill="1" applyBorder="1" applyAlignment="1">
      <alignment horizontal="center" vertical="center"/>
    </xf>
    <xf numFmtId="0" fontId="7" fillId="0" borderId="47" xfId="0" applyFont="1" applyFill="1" applyBorder="1" applyAlignment="1">
      <alignment vertical="center" wrapText="1"/>
    </xf>
    <xf numFmtId="0" fontId="15" fillId="8" borderId="47" xfId="0" applyFont="1" applyFill="1" applyBorder="1" applyAlignment="1">
      <alignment vertical="center" wrapText="1"/>
    </xf>
    <xf numFmtId="0" fontId="25" fillId="8" borderId="47" xfId="0" applyFont="1" applyFill="1" applyBorder="1" applyAlignment="1">
      <alignment vertical="center" wrapText="1"/>
    </xf>
    <xf numFmtId="0" fontId="2" fillId="8" borderId="47" xfId="0" applyFont="1" applyFill="1" applyBorder="1" applyAlignment="1">
      <alignment horizontal="center" vertical="center"/>
    </xf>
    <xf numFmtId="0" fontId="5" fillId="15" borderId="47" xfId="0" applyFont="1" applyFill="1" applyBorder="1" applyAlignment="1">
      <alignment vertical="center" wrapText="1"/>
    </xf>
    <xf numFmtId="0" fontId="15" fillId="15" borderId="47" xfId="0" applyFont="1" applyFill="1" applyBorder="1" applyAlignment="1">
      <alignment horizontal="center" vertical="center"/>
    </xf>
    <xf numFmtId="0" fontId="15" fillId="15" borderId="47" xfId="0" applyFont="1" applyFill="1" applyBorder="1" applyAlignment="1">
      <alignment vertical="center"/>
    </xf>
    <xf numFmtId="0" fontId="7" fillId="10" borderId="47" xfId="0" applyFont="1" applyFill="1" applyBorder="1" applyAlignment="1">
      <alignment vertical="center" wrapText="1"/>
    </xf>
    <xf numFmtId="0" fontId="7" fillId="10" borderId="47" xfId="0" applyFont="1" applyFill="1" applyBorder="1" applyAlignment="1">
      <alignment horizontal="center" vertical="center" wrapText="1"/>
    </xf>
    <xf numFmtId="0" fontId="17" fillId="7" borderId="0" xfId="0" applyFont="1" applyFill="1" applyBorder="1" applyAlignment="1">
      <alignment horizontal="left"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0" xfId="0" applyFont="1" applyFill="1" applyBorder="1" applyAlignment="1">
      <alignment vertical="center" wrapText="1"/>
    </xf>
    <xf numFmtId="0" fontId="5" fillId="15" borderId="47" xfId="0" applyFont="1" applyFill="1" applyBorder="1" applyAlignment="1">
      <alignment vertical="center"/>
    </xf>
    <xf numFmtId="0" fontId="15" fillId="8" borderId="0" xfId="0" applyFont="1" applyFill="1" applyBorder="1" applyAlignment="1" applyProtection="1">
      <alignment horizontal="center" vertical="center"/>
    </xf>
    <xf numFmtId="0" fontId="19" fillId="8" borderId="0" xfId="0" applyFont="1" applyFill="1" applyBorder="1" applyAlignment="1">
      <alignment horizontal="center" vertical="center"/>
    </xf>
    <xf numFmtId="0" fontId="5" fillId="8" borderId="0" xfId="0" applyFont="1" applyFill="1" applyBorder="1" applyAlignment="1">
      <alignment horizontal="left" vertical="center"/>
    </xf>
    <xf numFmtId="0" fontId="5" fillId="8" borderId="0" xfId="0" applyFont="1" applyFill="1" applyBorder="1" applyAlignment="1">
      <alignment horizontal="center" vertical="center"/>
    </xf>
    <xf numFmtId="0" fontId="13" fillId="8" borderId="0" xfId="0" applyFont="1" applyFill="1" applyBorder="1" applyAlignment="1">
      <alignment horizontal="center" vertical="center"/>
    </xf>
    <xf numFmtId="0" fontId="17" fillId="7"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10" fontId="17" fillId="7" borderId="0" xfId="0" applyNumberFormat="1" applyFont="1" applyFill="1" applyBorder="1" applyAlignment="1">
      <alignment horizontal="center" vertical="center" wrapText="1"/>
    </xf>
    <xf numFmtId="0" fontId="40" fillId="0" borderId="44" xfId="0" applyFont="1" applyFill="1" applyBorder="1" applyAlignment="1">
      <alignment horizontal="right" vertical="center" wrapText="1"/>
    </xf>
    <xf numFmtId="0" fontId="41" fillId="0" borderId="37" xfId="0" applyFont="1" applyFill="1" applyBorder="1" applyAlignment="1">
      <alignment horizontal="center" vertical="center" wrapText="1"/>
    </xf>
    <xf numFmtId="10" fontId="39" fillId="0" borderId="37" xfId="0" applyNumberFormat="1" applyFont="1" applyFill="1" applyBorder="1" applyAlignment="1">
      <alignment horizontal="center" vertical="center" wrapText="1"/>
    </xf>
    <xf numFmtId="1" fontId="41" fillId="0" borderId="43" xfId="0" applyNumberFormat="1" applyFont="1" applyFill="1" applyBorder="1" applyAlignment="1">
      <alignment horizontal="center" vertical="center" wrapText="1"/>
    </xf>
    <xf numFmtId="10" fontId="39" fillId="0" borderId="39" xfId="0" applyNumberFormat="1" applyFont="1" applyFill="1" applyBorder="1" applyAlignment="1">
      <alignment horizontal="center" vertical="center" wrapText="1"/>
    </xf>
    <xf numFmtId="0" fontId="41" fillId="0" borderId="46" xfId="0" applyFont="1" applyFill="1" applyBorder="1" applyAlignment="1">
      <alignment horizontal="center" vertical="center" wrapText="1"/>
    </xf>
    <xf numFmtId="10" fontId="39" fillId="0" borderId="46" xfId="0" applyNumberFormat="1" applyFont="1" applyFill="1" applyBorder="1" applyAlignment="1">
      <alignment horizontal="center" vertical="center" wrapText="1"/>
    </xf>
    <xf numFmtId="0" fontId="41" fillId="0" borderId="43" xfId="0" applyFont="1" applyFill="1" applyBorder="1" applyAlignment="1">
      <alignment horizontal="center" vertical="center" wrapText="1"/>
    </xf>
    <xf numFmtId="0" fontId="27" fillId="19" borderId="0" xfId="0" applyFont="1" applyFill="1"/>
    <xf numFmtId="0" fontId="1" fillId="19" borderId="0" xfId="0" applyFont="1" applyFill="1"/>
    <xf numFmtId="0" fontId="18" fillId="19" borderId="0" xfId="0" applyFont="1" applyFill="1"/>
    <xf numFmtId="0" fontId="29" fillId="19" borderId="0" xfId="1" applyFont="1" applyFill="1" applyBorder="1" applyAlignment="1" applyProtection="1">
      <alignment horizontal="center"/>
    </xf>
    <xf numFmtId="10" fontId="18" fillId="19" borderId="0" xfId="0" applyNumberFormat="1" applyFont="1" applyFill="1" applyBorder="1" applyAlignment="1">
      <alignment horizontal="center" vertical="center"/>
    </xf>
    <xf numFmtId="0" fontId="30" fillId="19" borderId="0" xfId="0" applyFont="1" applyFill="1"/>
    <xf numFmtId="0" fontId="42" fillId="19" borderId="0" xfId="0" applyFont="1" applyFill="1"/>
    <xf numFmtId="0" fontId="12" fillId="19" borderId="0" xfId="0" applyFont="1" applyFill="1"/>
    <xf numFmtId="0" fontId="33" fillId="19" borderId="0" xfId="0" applyFont="1" applyFill="1"/>
    <xf numFmtId="0" fontId="19" fillId="19" borderId="0" xfId="0" applyFont="1" applyFill="1"/>
    <xf numFmtId="0" fontId="19" fillId="19" borderId="0" xfId="0" applyFont="1" applyFill="1" applyBorder="1"/>
    <xf numFmtId="0" fontId="34" fillId="19" borderId="7" xfId="0" applyFont="1" applyFill="1" applyBorder="1" applyAlignment="1">
      <alignment horizontal="center"/>
    </xf>
    <xf numFmtId="0" fontId="34" fillId="19" borderId="7" xfId="0" applyFont="1" applyFill="1" applyBorder="1"/>
    <xf numFmtId="10" fontId="19" fillId="19" borderId="7" xfId="0" applyNumberFormat="1" applyFont="1" applyFill="1" applyBorder="1" applyAlignment="1">
      <alignment horizontal="center" vertical="center"/>
    </xf>
    <xf numFmtId="0" fontId="34" fillId="19" borderId="0" xfId="0" applyFont="1" applyFill="1" applyBorder="1" applyAlignment="1">
      <alignment horizontal="center"/>
    </xf>
    <xf numFmtId="0" fontId="35" fillId="19" borderId="0" xfId="0" applyFont="1" applyFill="1" applyBorder="1"/>
    <xf numFmtId="10" fontId="19" fillId="19" borderId="0" xfId="0" applyNumberFormat="1" applyFont="1" applyFill="1" applyBorder="1" applyAlignment="1">
      <alignment horizontal="center" vertical="center"/>
    </xf>
    <xf numFmtId="0" fontId="34" fillId="19" borderId="0" xfId="0" applyFont="1" applyFill="1"/>
    <xf numFmtId="0" fontId="34" fillId="19" borderId="0" xfId="0" applyFont="1" applyFill="1" applyBorder="1"/>
    <xf numFmtId="0" fontId="12" fillId="19" borderId="0" xfId="0" applyFont="1" applyFill="1" applyBorder="1"/>
    <xf numFmtId="0" fontId="1" fillId="19" borderId="0" xfId="0" applyFont="1" applyFill="1" applyBorder="1"/>
    <xf numFmtId="0" fontId="33" fillId="19" borderId="0" xfId="0" applyFont="1" applyFill="1" applyBorder="1"/>
    <xf numFmtId="0" fontId="44" fillId="0" borderId="0" xfId="1" applyFont="1" applyFill="1" applyBorder="1" applyAlignment="1" applyProtection="1">
      <alignment horizontal="left"/>
    </xf>
    <xf numFmtId="0" fontId="45" fillId="8" borderId="0" xfId="0" applyFont="1" applyFill="1" applyProtection="1"/>
    <xf numFmtId="0" fontId="45" fillId="8" borderId="0" xfId="0" applyFont="1" applyFill="1" applyAlignment="1" applyProtection="1">
      <alignment horizontal="left" vertical="top" wrapText="1"/>
    </xf>
    <xf numFmtId="0" fontId="48" fillId="8" borderId="0" xfId="0" applyFont="1" applyFill="1" applyProtection="1"/>
    <xf numFmtId="0" fontId="48" fillId="0" borderId="0" xfId="0" applyFont="1" applyProtection="1"/>
    <xf numFmtId="0" fontId="15" fillId="8" borderId="0" xfId="0" applyFont="1" applyFill="1" applyBorder="1" applyAlignment="1" applyProtection="1">
      <alignment horizontal="center" vertical="center" wrapText="1"/>
    </xf>
    <xf numFmtId="1" fontId="5" fillId="17" borderId="7" xfId="0" applyNumberFormat="1"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wrapText="1"/>
    </xf>
    <xf numFmtId="0" fontId="51" fillId="8" borderId="7" xfId="0" applyFont="1" applyFill="1" applyBorder="1" applyAlignment="1" applyProtection="1">
      <alignment horizontal="center" vertical="center"/>
    </xf>
    <xf numFmtId="0" fontId="0" fillId="8" borderId="0" xfId="0" applyFill="1" applyProtection="1"/>
    <xf numFmtId="0" fontId="52" fillId="8" borderId="53" xfId="0" applyFont="1" applyFill="1" applyBorder="1" applyAlignment="1" applyProtection="1">
      <alignment horizontal="center" vertical="center" wrapText="1"/>
    </xf>
    <xf numFmtId="0" fontId="0" fillId="0" borderId="0" xfId="0" applyProtection="1"/>
    <xf numFmtId="0" fontId="53" fillId="8" borderId="0" xfId="0" applyFont="1" applyFill="1" applyProtection="1"/>
    <xf numFmtId="0" fontId="51" fillId="0" borderId="7" xfId="0" applyFont="1" applyFill="1" applyBorder="1" applyAlignment="1" applyProtection="1">
      <alignment horizontal="center" vertical="center"/>
    </xf>
    <xf numFmtId="0" fontId="50" fillId="8" borderId="53" xfId="0" applyFont="1" applyFill="1" applyBorder="1" applyAlignment="1" applyProtection="1">
      <alignment horizontal="center" vertical="center" wrapText="1"/>
    </xf>
    <xf numFmtId="0" fontId="54" fillId="8" borderId="0" xfId="0" applyFont="1" applyFill="1" applyAlignment="1" applyProtection="1">
      <alignment horizontal="center" vertical="center"/>
    </xf>
    <xf numFmtId="0" fontId="55" fillId="8" borderId="51"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1" fillId="8" borderId="10" xfId="0" applyFont="1" applyFill="1" applyBorder="1" applyAlignment="1" applyProtection="1">
      <alignment horizontal="center" vertical="center"/>
    </xf>
    <xf numFmtId="1" fontId="5" fillId="17" borderId="51" xfId="0" applyNumberFormat="1" applyFont="1" applyFill="1" applyBorder="1" applyAlignment="1" applyProtection="1">
      <alignment horizontal="center" vertical="center" wrapText="1"/>
    </xf>
    <xf numFmtId="0" fontId="56" fillId="0" borderId="54" xfId="0" applyFont="1" applyFill="1" applyBorder="1" applyAlignment="1" applyProtection="1">
      <alignment horizontal="center" vertical="center"/>
    </xf>
    <xf numFmtId="0" fontId="57" fillId="8" borderId="0" xfId="0" applyFont="1" applyFill="1" applyProtection="1"/>
    <xf numFmtId="0" fontId="57" fillId="0" borderId="0" xfId="0" applyFont="1" applyProtection="1"/>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center" wrapText="1"/>
    </xf>
    <xf numFmtId="0" fontId="5"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8" fillId="8" borderId="0" xfId="0" applyFont="1" applyFill="1" applyBorder="1" applyAlignment="1" applyProtection="1">
      <alignment horizontal="center" vertical="center" wrapText="1"/>
    </xf>
    <xf numFmtId="0" fontId="56" fillId="0" borderId="8" xfId="0" applyFont="1" applyFill="1" applyBorder="1" applyAlignment="1" applyProtection="1">
      <alignment horizontal="center" vertical="center"/>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9" fillId="22" borderId="51" xfId="0" applyNumberFormat="1" applyFont="1" applyFill="1" applyBorder="1" applyAlignment="1" applyProtection="1">
      <alignment horizontal="center" vertical="center" wrapText="1"/>
    </xf>
    <xf numFmtId="17" fontId="49" fillId="22" borderId="52" xfId="0" applyNumberFormat="1" applyFont="1" applyFill="1" applyBorder="1" applyAlignment="1" applyProtection="1">
      <alignment horizontal="center" vertical="center" wrapText="1"/>
    </xf>
    <xf numFmtId="17" fontId="49" fillId="22" borderId="7" xfId="0" applyNumberFormat="1" applyFont="1" applyFill="1" applyBorder="1" applyAlignment="1" applyProtection="1">
      <alignment horizontal="center" vertical="center" wrapText="1"/>
    </xf>
    <xf numFmtId="0" fontId="59" fillId="20" borderId="51" xfId="0" applyFont="1" applyFill="1" applyBorder="1" applyAlignment="1" applyProtection="1">
      <alignment horizontal="left" vertical="center" wrapText="1"/>
    </xf>
    <xf numFmtId="0" fontId="60" fillId="21" borderId="7" xfId="0" applyFont="1" applyFill="1" applyBorder="1" applyAlignment="1" applyProtection="1">
      <alignment horizontal="left" vertical="center" wrapText="1"/>
    </xf>
    <xf numFmtId="0" fontId="60" fillId="21" borderId="51" xfId="0" applyFont="1" applyFill="1" applyBorder="1" applyAlignment="1" applyProtection="1">
      <alignment horizontal="left" vertical="center" wrapText="1"/>
    </xf>
    <xf numFmtId="0" fontId="50" fillId="8" borderId="51" xfId="0" applyFont="1" applyFill="1" applyBorder="1" applyAlignment="1" applyProtection="1">
      <alignment horizontal="center" vertical="center" wrapText="1"/>
    </xf>
    <xf numFmtId="0" fontId="51" fillId="8" borderId="51" xfId="0" applyFont="1" applyFill="1" applyBorder="1" applyAlignment="1" applyProtection="1">
      <alignment horizontal="center" vertical="center"/>
    </xf>
    <xf numFmtId="0" fontId="46"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3" fillId="8" borderId="0" xfId="0" applyFont="1" applyFill="1"/>
    <xf numFmtId="0" fontId="0" fillId="0" borderId="0" xfId="0" applyFill="1"/>
    <xf numFmtId="0" fontId="61" fillId="0" borderId="0" xfId="0" applyFont="1" applyFill="1"/>
    <xf numFmtId="0" fontId="24" fillId="8" borderId="0" xfId="1" applyFill="1" applyAlignment="1" applyProtection="1"/>
    <xf numFmtId="0" fontId="0" fillId="0" borderId="0" xfId="0" applyAlignment="1">
      <alignment horizontal="left"/>
    </xf>
    <xf numFmtId="0" fontId="0" fillId="0" borderId="0" xfId="0" applyAlignment="1">
      <alignment horizontal="left" indent="1"/>
    </xf>
    <xf numFmtId="0" fontId="0" fillId="0" borderId="0" xfId="0" applyNumberFormat="1"/>
    <xf numFmtId="17" fontId="14" fillId="8" borderId="56" xfId="0" applyNumberFormat="1" applyFont="1" applyFill="1" applyBorder="1" applyAlignment="1" applyProtection="1">
      <alignment horizontal="left" vertical="center" wrapText="1" indent="1"/>
      <protection locked="0"/>
    </xf>
    <xf numFmtId="17" fontId="15" fillId="8" borderId="56" xfId="0" applyNumberFormat="1" applyFont="1" applyFill="1" applyBorder="1" applyAlignment="1" applyProtection="1">
      <alignment horizontal="left" vertical="center" wrapText="1" indent="1"/>
      <protection locked="0"/>
    </xf>
    <xf numFmtId="0" fontId="14" fillId="8" borderId="56" xfId="0" applyFont="1" applyFill="1" applyBorder="1" applyAlignment="1" applyProtection="1">
      <alignment horizontal="left" vertical="center" wrapText="1" indent="1"/>
      <protection locked="0"/>
    </xf>
    <xf numFmtId="0" fontId="15" fillId="8" borderId="56" xfId="0" applyFont="1" applyFill="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6" xfId="0" applyNumberFormat="1" applyFont="1" applyFill="1" applyBorder="1" applyAlignment="1" applyProtection="1">
      <alignment horizontal="left" vertical="center" wrapText="1" indent="1"/>
    </xf>
    <xf numFmtId="17" fontId="14" fillId="8" borderId="55"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6" xfId="0" applyNumberFormat="1" applyFont="1" applyFill="1" applyBorder="1" applyAlignment="1" applyProtection="1">
      <alignment horizontal="left" vertical="center" wrapText="1" indent="1"/>
    </xf>
    <xf numFmtId="17" fontId="15" fillId="8" borderId="55"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6" xfId="0" applyFont="1" applyFill="1" applyBorder="1" applyAlignment="1" applyProtection="1">
      <alignment horizontal="left" vertical="center" wrapText="1" indent="1"/>
    </xf>
    <xf numFmtId="0" fontId="14" fillId="8" borderId="55"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10"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6" xfId="0" applyFont="1" applyFill="1" applyBorder="1" applyAlignment="1" applyProtection="1">
      <alignment horizontal="left" vertical="center" wrapText="1" indent="1"/>
    </xf>
    <xf numFmtId="0" fontId="16" fillId="8" borderId="55"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6" xfId="0" applyFont="1" applyFill="1" applyBorder="1" applyAlignment="1" applyProtection="1">
      <alignment horizontal="left" vertical="center" wrapText="1" indent="1"/>
    </xf>
    <xf numFmtId="0" fontId="15" fillId="8" borderId="55"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9" fontId="14" fillId="8" borderId="5" xfId="0" applyNumberFormat="1" applyFont="1" applyFill="1" applyBorder="1" applyAlignment="1" applyProtection="1">
      <alignment horizontal="left" vertical="center" wrapText="1" indent="1"/>
      <protection locked="0"/>
    </xf>
    <xf numFmtId="10" fontId="14" fillId="8" borderId="5" xfId="0" applyNumberFormat="1" applyFont="1" applyFill="1" applyBorder="1" applyAlignment="1" applyProtection="1">
      <alignment horizontal="left" vertical="center" wrapText="1" indent="1"/>
      <protection locked="0"/>
    </xf>
    <xf numFmtId="8" fontId="14" fillId="8" borderId="5" xfId="0" applyNumberFormat="1" applyFont="1" applyFill="1" applyBorder="1" applyAlignment="1" applyProtection="1">
      <alignment horizontal="left" vertical="center" wrapText="1" indent="1"/>
      <protection locked="0"/>
    </xf>
    <xf numFmtId="6" fontId="14" fillId="8" borderId="5" xfId="0" applyNumberFormat="1" applyFont="1" applyFill="1" applyBorder="1" applyAlignment="1" applyProtection="1">
      <alignment horizontal="left" vertical="center" wrapText="1" indent="1"/>
      <protection locked="0"/>
    </xf>
    <xf numFmtId="2" fontId="15" fillId="8" borderId="5" xfId="0" applyNumberFormat="1" applyFont="1" applyFill="1" applyBorder="1" applyAlignment="1" applyProtection="1">
      <alignment horizontal="left" vertical="center" wrapText="1" indent="1"/>
      <protection locked="0"/>
    </xf>
    <xf numFmtId="0" fontId="15" fillId="8" borderId="5" xfId="0" applyNumberFormat="1" applyFont="1" applyFill="1" applyBorder="1" applyAlignment="1" applyProtection="1">
      <alignment horizontal="left" vertical="center" wrapText="1" indent="1"/>
      <protection locked="0"/>
    </xf>
    <xf numFmtId="9" fontId="13" fillId="8" borderId="5" xfId="0" applyNumberFormat="1" applyFont="1" applyFill="1" applyBorder="1" applyAlignment="1" applyProtection="1">
      <alignment horizontal="left" vertical="center" wrapText="1" indent="1"/>
      <protection locked="0"/>
    </xf>
    <xf numFmtId="0" fontId="13" fillId="8" borderId="56" xfId="0" applyFont="1" applyFill="1" applyBorder="1" applyAlignment="1" applyProtection="1">
      <alignment horizontal="left" vertical="center" wrapText="1" indent="1"/>
      <protection locked="0"/>
    </xf>
    <xf numFmtId="0" fontId="13" fillId="8" borderId="5" xfId="0" applyFont="1" applyFill="1" applyBorder="1" applyAlignment="1" applyProtection="1">
      <alignment horizontal="left" vertical="center" wrapText="1" indent="1"/>
      <protection locked="0"/>
    </xf>
    <xf numFmtId="17" fontId="15" fillId="0" borderId="5" xfId="0" applyNumberFormat="1" applyFont="1" applyFill="1" applyBorder="1" applyAlignment="1" applyProtection="1">
      <alignment horizontal="left" vertical="center" wrapText="1" indent="1"/>
      <protection locked="0"/>
    </xf>
    <xf numFmtId="17" fontId="14" fillId="0" borderId="5" xfId="0" applyNumberFormat="1" applyFont="1" applyFill="1" applyBorder="1" applyAlignment="1" applyProtection="1">
      <alignment horizontal="left" vertical="center" wrapText="1" indent="1"/>
      <protection locked="0"/>
    </xf>
    <xf numFmtId="0" fontId="5" fillId="7" borderId="1" xfId="0" applyFont="1" applyFill="1" applyBorder="1" applyAlignment="1" applyProtection="1">
      <alignment horizontal="center" vertical="center" wrapText="1"/>
    </xf>
    <xf numFmtId="0" fontId="28" fillId="8" borderId="31"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37" fillId="17" borderId="32"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8" fillId="11" borderId="34" xfId="0" applyFont="1" applyFill="1" applyBorder="1" applyAlignment="1">
      <alignment horizontal="center" vertical="center" wrapText="1"/>
    </xf>
    <xf numFmtId="0" fontId="38" fillId="11" borderId="35" xfId="0" applyFont="1" applyFill="1" applyBorder="1" applyAlignment="1">
      <alignment horizontal="center" vertical="center" wrapText="1"/>
    </xf>
    <xf numFmtId="0" fontId="37" fillId="12" borderId="45"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2" fillId="11" borderId="14" xfId="0" applyNumberFormat="1" applyFont="1" applyFill="1" applyBorder="1" applyAlignment="1">
      <alignment horizontal="center" vertical="center" wrapText="1"/>
    </xf>
    <xf numFmtId="10" fontId="23" fillId="12" borderId="14" xfId="0" applyNumberFormat="1" applyFont="1" applyFill="1" applyBorder="1" applyAlignment="1">
      <alignment horizontal="center" vertical="center" wrapText="1"/>
    </xf>
    <xf numFmtId="0" fontId="7" fillId="14" borderId="15" xfId="0" applyFont="1" applyFill="1" applyBorder="1" applyAlignment="1">
      <alignment vertical="center" wrapText="1"/>
    </xf>
    <xf numFmtId="0" fontId="7" fillId="14" borderId="16" xfId="0" applyFont="1" applyFill="1" applyBorder="1" applyAlignment="1">
      <alignment vertical="center" wrapText="1"/>
    </xf>
    <xf numFmtId="0" fontId="7" fillId="14" borderId="17"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1" borderId="15" xfId="0" applyNumberFormat="1" applyFont="1" applyFill="1" applyBorder="1" applyAlignment="1">
      <alignment horizontal="center" vertical="center" wrapText="1"/>
    </xf>
    <xf numFmtId="10" fontId="22" fillId="11" borderId="16" xfId="0" applyNumberFormat="1" applyFont="1" applyFill="1" applyBorder="1" applyAlignment="1">
      <alignment horizontal="center" vertical="center" wrapText="1"/>
    </xf>
    <xf numFmtId="10" fontId="22" fillId="11" borderId="17" xfId="0" applyNumberFormat="1" applyFont="1" applyFill="1" applyBorder="1" applyAlignment="1">
      <alignment horizontal="center" vertical="center" wrapText="1"/>
    </xf>
    <xf numFmtId="10" fontId="22" fillId="13" borderId="14"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28" fillId="16" borderId="23" xfId="0" applyFont="1" applyFill="1" applyBorder="1" applyAlignment="1">
      <alignment horizontal="left" vertical="center" wrapText="1"/>
    </xf>
    <xf numFmtId="0" fontId="28" fillId="16" borderId="24" xfId="0" applyFont="1" applyFill="1" applyBorder="1" applyAlignment="1">
      <alignment horizontal="left" vertical="center" wrapText="1"/>
    </xf>
    <xf numFmtId="0" fontId="28" fillId="16" borderId="25" xfId="0" applyFont="1" applyFill="1" applyBorder="1" applyAlignment="1">
      <alignment horizontal="left" vertical="center" wrapText="1"/>
    </xf>
    <xf numFmtId="0" fontId="28" fillId="16" borderId="26" xfId="0" applyFont="1" applyFill="1" applyBorder="1" applyAlignment="1">
      <alignment horizontal="left" vertical="center" wrapText="1"/>
    </xf>
    <xf numFmtId="0" fontId="28" fillId="16" borderId="0" xfId="0" applyFont="1" applyFill="1" applyBorder="1" applyAlignment="1">
      <alignment horizontal="left" vertical="center" wrapText="1"/>
    </xf>
    <xf numFmtId="0" fontId="28" fillId="16" borderId="27" xfId="0" applyFont="1" applyFill="1" applyBorder="1" applyAlignment="1">
      <alignment horizontal="left" vertical="center" wrapText="1"/>
    </xf>
    <xf numFmtId="0" fontId="28" fillId="16" borderId="28" xfId="0" applyFont="1" applyFill="1" applyBorder="1" applyAlignment="1">
      <alignment horizontal="left" vertical="center" wrapText="1"/>
    </xf>
    <xf numFmtId="0" fontId="28" fillId="16" borderId="29" xfId="0" applyFont="1" applyFill="1" applyBorder="1" applyAlignment="1">
      <alignment horizontal="left" vertical="center" wrapText="1"/>
    </xf>
    <xf numFmtId="0" fontId="28" fillId="16" borderId="30" xfId="0" applyFont="1" applyFill="1" applyBorder="1" applyAlignment="1">
      <alignment horizontal="left" vertical="center" wrapText="1"/>
    </xf>
    <xf numFmtId="10" fontId="2" fillId="0" borderId="48" xfId="0" applyNumberFormat="1" applyFont="1" applyFill="1" applyBorder="1" applyAlignment="1">
      <alignment vertical="center" wrapText="1"/>
    </xf>
    <xf numFmtId="10" fontId="2" fillId="0" borderId="49" xfId="0" applyNumberFormat="1" applyFont="1" applyFill="1" applyBorder="1" applyAlignment="1">
      <alignment vertical="center" wrapText="1"/>
    </xf>
    <xf numFmtId="10" fontId="2" fillId="0" borderId="50" xfId="0" applyNumberFormat="1" applyFont="1" applyFill="1" applyBorder="1" applyAlignment="1">
      <alignment vertical="center" wrapText="1"/>
    </xf>
    <xf numFmtId="10" fontId="22" fillId="11" borderId="48" xfId="0" applyNumberFormat="1" applyFont="1" applyFill="1" applyBorder="1" applyAlignment="1">
      <alignment horizontal="center" vertical="center" wrapText="1"/>
    </xf>
    <xf numFmtId="10" fontId="22" fillId="11" borderId="49" xfId="0" applyNumberFormat="1" applyFont="1" applyFill="1" applyBorder="1" applyAlignment="1">
      <alignment horizontal="center" vertical="center" wrapText="1"/>
    </xf>
    <xf numFmtId="10" fontId="22" fillId="11" borderId="50" xfId="0" applyNumberFormat="1" applyFont="1" applyFill="1" applyBorder="1" applyAlignment="1">
      <alignment horizontal="center" vertical="center" wrapText="1"/>
    </xf>
    <xf numFmtId="0" fontId="7" fillId="11" borderId="48" xfId="0" applyFont="1" applyFill="1" applyBorder="1" applyAlignment="1">
      <alignment vertical="center" wrapText="1"/>
    </xf>
    <xf numFmtId="0" fontId="7" fillId="11" borderId="49" xfId="0" applyFont="1" applyFill="1" applyBorder="1" applyAlignment="1">
      <alignment vertical="center" wrapText="1"/>
    </xf>
    <xf numFmtId="0" fontId="7" fillId="11" borderId="50" xfId="0" applyFont="1" applyFill="1" applyBorder="1" applyAlignment="1">
      <alignment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2" fillId="12" borderId="47" xfId="0" applyNumberFormat="1"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10" fontId="2" fillId="0" borderId="48" xfId="0" applyNumberFormat="1" applyFont="1" applyFill="1" applyBorder="1" applyAlignment="1">
      <alignment horizontal="center" vertical="center" wrapText="1"/>
    </xf>
    <xf numFmtId="10" fontId="2" fillId="0" borderId="49" xfId="0" applyNumberFormat="1" applyFont="1" applyFill="1" applyBorder="1" applyAlignment="1">
      <alignment horizontal="center" vertical="center" wrapText="1"/>
    </xf>
    <xf numFmtId="10" fontId="2" fillId="0" borderId="50" xfId="0" applyNumberFormat="1" applyFont="1" applyFill="1" applyBorder="1" applyAlignment="1">
      <alignment horizontal="center" vertical="center" wrapText="1"/>
    </xf>
    <xf numFmtId="10" fontId="22" fillId="18" borderId="47" xfId="0" applyNumberFormat="1" applyFont="1" applyFill="1" applyBorder="1" applyAlignment="1">
      <alignment horizontal="center" vertical="center" wrapText="1"/>
    </xf>
    <xf numFmtId="0" fontId="28" fillId="19" borderId="23" xfId="0" applyFont="1" applyFill="1" applyBorder="1" applyAlignment="1">
      <alignment horizontal="left" vertical="center" wrapText="1"/>
    </xf>
    <xf numFmtId="0" fontId="28" fillId="19" borderId="24" xfId="0" applyFont="1" applyFill="1" applyBorder="1" applyAlignment="1">
      <alignment horizontal="left" vertical="center" wrapText="1"/>
    </xf>
    <xf numFmtId="0" fontId="28" fillId="19" borderId="25" xfId="0" applyFont="1" applyFill="1" applyBorder="1" applyAlignment="1">
      <alignment horizontal="left" vertical="center" wrapText="1"/>
    </xf>
    <xf numFmtId="0" fontId="28" fillId="19" borderId="26" xfId="0" applyFont="1" applyFill="1" applyBorder="1" applyAlignment="1">
      <alignment horizontal="left" vertical="center" wrapText="1"/>
    </xf>
    <xf numFmtId="0" fontId="28" fillId="19" borderId="0" xfId="0" applyFont="1" applyFill="1" applyBorder="1" applyAlignment="1">
      <alignment horizontal="left" vertical="center" wrapText="1"/>
    </xf>
    <xf numFmtId="0" fontId="28" fillId="19" borderId="27" xfId="0" applyFont="1" applyFill="1" applyBorder="1" applyAlignment="1">
      <alignment horizontal="left" vertical="center" wrapText="1"/>
    </xf>
    <xf numFmtId="0" fontId="28" fillId="19" borderId="28" xfId="0" applyFont="1" applyFill="1" applyBorder="1" applyAlignment="1">
      <alignment horizontal="left" vertical="center" wrapText="1"/>
    </xf>
    <xf numFmtId="0" fontId="28" fillId="19" borderId="29" xfId="0" applyFont="1" applyFill="1" applyBorder="1" applyAlignment="1">
      <alignment horizontal="left" vertical="center" wrapText="1"/>
    </xf>
    <xf numFmtId="0" fontId="28" fillId="19" borderId="30" xfId="0" applyFont="1" applyFill="1" applyBorder="1" applyAlignment="1">
      <alignment horizontal="left" vertical="center" wrapText="1"/>
    </xf>
  </cellXfs>
  <cellStyles count="3">
    <cellStyle name="Hyperlink" xfId="1" builtinId="8"/>
    <cellStyle name="Normal" xfId="0" builtinId="0"/>
    <cellStyle name="Normal 2 2" xfId="2"/>
  </cellStyles>
  <dxfs count="421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9900"/>
      <color rgb="FFCC0000"/>
      <color rgb="FF339933"/>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296067568"/>
        <c:axId val="296067960"/>
      </c:lineChart>
      <c:catAx>
        <c:axId val="296067568"/>
        <c:scaling>
          <c:orientation val="minMax"/>
        </c:scaling>
        <c:delete val="0"/>
        <c:axPos val="b"/>
        <c:numFmt formatCode="General" sourceLinked="0"/>
        <c:majorTickMark val="out"/>
        <c:minorTickMark val="none"/>
        <c:tickLblPos val="nextTo"/>
        <c:txPr>
          <a:bodyPr/>
          <a:lstStyle/>
          <a:p>
            <a:pPr>
              <a:defRPr lang="en-US"/>
            </a:pPr>
            <a:endParaRPr lang="en-US"/>
          </a:p>
        </c:txPr>
        <c:crossAx val="296067960"/>
        <c:crosses val="autoZero"/>
        <c:auto val="1"/>
        <c:lblAlgn val="ctr"/>
        <c:lblOffset val="100"/>
        <c:noMultiLvlLbl val="0"/>
      </c:catAx>
      <c:valAx>
        <c:axId val="2960679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60675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296063256"/>
        <c:axId val="296062080"/>
      </c:lineChart>
      <c:catAx>
        <c:axId val="296063256"/>
        <c:scaling>
          <c:orientation val="minMax"/>
        </c:scaling>
        <c:delete val="0"/>
        <c:axPos val="b"/>
        <c:numFmt formatCode="General" sourceLinked="0"/>
        <c:majorTickMark val="out"/>
        <c:minorTickMark val="none"/>
        <c:tickLblPos val="nextTo"/>
        <c:txPr>
          <a:bodyPr/>
          <a:lstStyle/>
          <a:p>
            <a:pPr>
              <a:defRPr lang="en-US"/>
            </a:pPr>
            <a:endParaRPr lang="en-US"/>
          </a:p>
        </c:txPr>
        <c:crossAx val="296062080"/>
        <c:crosses val="autoZero"/>
        <c:auto val="1"/>
        <c:lblAlgn val="ctr"/>
        <c:lblOffset val="100"/>
        <c:noMultiLvlLbl val="0"/>
      </c:catAx>
      <c:valAx>
        <c:axId val="2960620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60632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47459648"/>
        <c:axId val="447460432"/>
      </c:lineChart>
      <c:catAx>
        <c:axId val="447459648"/>
        <c:scaling>
          <c:orientation val="minMax"/>
        </c:scaling>
        <c:delete val="0"/>
        <c:axPos val="b"/>
        <c:numFmt formatCode="General" sourceLinked="1"/>
        <c:majorTickMark val="out"/>
        <c:minorTickMark val="none"/>
        <c:tickLblPos val="nextTo"/>
        <c:txPr>
          <a:bodyPr/>
          <a:lstStyle/>
          <a:p>
            <a:pPr>
              <a:defRPr lang="en-US"/>
            </a:pPr>
            <a:endParaRPr lang="en-US"/>
          </a:p>
        </c:txPr>
        <c:crossAx val="447460432"/>
        <c:crosses val="autoZero"/>
        <c:auto val="1"/>
        <c:lblAlgn val="ctr"/>
        <c:lblOffset val="100"/>
        <c:noMultiLvlLbl val="0"/>
      </c:catAx>
      <c:valAx>
        <c:axId val="4474604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74596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0.90909090909090906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9.0909090909090912E-2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296064824"/>
        <c:axId val="296066784"/>
      </c:lineChart>
      <c:catAx>
        <c:axId val="296064824"/>
        <c:scaling>
          <c:orientation val="minMax"/>
        </c:scaling>
        <c:delete val="0"/>
        <c:axPos val="b"/>
        <c:numFmt formatCode="General" sourceLinked="0"/>
        <c:majorTickMark val="out"/>
        <c:minorTickMark val="none"/>
        <c:tickLblPos val="nextTo"/>
        <c:txPr>
          <a:bodyPr/>
          <a:lstStyle/>
          <a:p>
            <a:pPr>
              <a:defRPr lang="en-US"/>
            </a:pPr>
            <a:endParaRPr lang="en-US"/>
          </a:p>
        </c:txPr>
        <c:crossAx val="296066784"/>
        <c:crosses val="autoZero"/>
        <c:auto val="1"/>
        <c:lblAlgn val="ctr"/>
        <c:lblOffset val="100"/>
        <c:noMultiLvlLbl val="0"/>
      </c:catAx>
      <c:valAx>
        <c:axId val="2960667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60648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547249608"/>
        <c:axId val="547244120"/>
      </c:lineChart>
      <c:catAx>
        <c:axId val="547249608"/>
        <c:scaling>
          <c:orientation val="minMax"/>
        </c:scaling>
        <c:delete val="0"/>
        <c:axPos val="b"/>
        <c:numFmt formatCode="General" sourceLinked="0"/>
        <c:majorTickMark val="out"/>
        <c:minorTickMark val="none"/>
        <c:tickLblPos val="nextTo"/>
        <c:txPr>
          <a:bodyPr/>
          <a:lstStyle/>
          <a:p>
            <a:pPr>
              <a:defRPr lang="en-US"/>
            </a:pPr>
            <a:endParaRPr lang="en-US"/>
          </a:p>
        </c:txPr>
        <c:crossAx val="547244120"/>
        <c:crosses val="autoZero"/>
        <c:auto val="1"/>
        <c:lblAlgn val="ctr"/>
        <c:lblOffset val="100"/>
        <c:noMultiLvlLbl val="0"/>
      </c:catAx>
      <c:valAx>
        <c:axId val="5472441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472496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0.96153846153846145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3.8461538461538464E-2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547242944"/>
        <c:axId val="547248824"/>
      </c:lineChart>
      <c:catAx>
        <c:axId val="547242944"/>
        <c:scaling>
          <c:orientation val="minMax"/>
        </c:scaling>
        <c:delete val="0"/>
        <c:axPos val="b"/>
        <c:numFmt formatCode="General" sourceLinked="0"/>
        <c:majorTickMark val="out"/>
        <c:minorTickMark val="none"/>
        <c:tickLblPos val="nextTo"/>
        <c:txPr>
          <a:bodyPr/>
          <a:lstStyle/>
          <a:p>
            <a:pPr>
              <a:defRPr lang="en-US"/>
            </a:pPr>
            <a:endParaRPr lang="en-US"/>
          </a:p>
        </c:txPr>
        <c:crossAx val="547248824"/>
        <c:crosses val="autoZero"/>
        <c:auto val="1"/>
        <c:lblAlgn val="ctr"/>
        <c:lblOffset val="100"/>
        <c:noMultiLvlLbl val="0"/>
      </c:catAx>
      <c:valAx>
        <c:axId val="54724882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472429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0.90909090909090906</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9.0909090909090912E-2</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0.96153846153846145</c:v>
                </c:pt>
                <c:pt idx="1">
                  <c:v>0</c:v>
                </c:pt>
                <c:pt idx="2">
                  <c:v>3.8461538461538464E-2</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296063648"/>
        <c:axId val="296068352"/>
      </c:lineChart>
      <c:catAx>
        <c:axId val="296063648"/>
        <c:scaling>
          <c:orientation val="minMax"/>
        </c:scaling>
        <c:delete val="0"/>
        <c:axPos val="b"/>
        <c:numFmt formatCode="General" sourceLinked="0"/>
        <c:majorTickMark val="out"/>
        <c:minorTickMark val="none"/>
        <c:tickLblPos val="nextTo"/>
        <c:txPr>
          <a:bodyPr/>
          <a:lstStyle/>
          <a:p>
            <a:pPr>
              <a:defRPr lang="en-US"/>
            </a:pPr>
            <a:endParaRPr lang="en-US"/>
          </a:p>
        </c:txPr>
        <c:crossAx val="296068352"/>
        <c:crosses val="autoZero"/>
        <c:auto val="1"/>
        <c:lblAlgn val="ctr"/>
        <c:lblOffset val="100"/>
        <c:noMultiLvlLbl val="0"/>
      </c:catAx>
      <c:valAx>
        <c:axId val="2960683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60636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296069136"/>
        <c:axId val="447461216"/>
      </c:lineChart>
      <c:catAx>
        <c:axId val="296069136"/>
        <c:scaling>
          <c:orientation val="minMax"/>
        </c:scaling>
        <c:delete val="0"/>
        <c:axPos val="b"/>
        <c:numFmt formatCode="General" sourceLinked="0"/>
        <c:majorTickMark val="out"/>
        <c:minorTickMark val="none"/>
        <c:tickLblPos val="nextTo"/>
        <c:txPr>
          <a:bodyPr/>
          <a:lstStyle/>
          <a:p>
            <a:pPr>
              <a:defRPr lang="en-US"/>
            </a:pPr>
            <a:endParaRPr lang="en-US"/>
          </a:p>
        </c:txPr>
        <c:crossAx val="447461216"/>
        <c:crosses val="autoZero"/>
        <c:auto val="1"/>
        <c:lblAlgn val="ctr"/>
        <c:lblOffset val="100"/>
        <c:noMultiLvlLbl val="0"/>
      </c:catAx>
      <c:valAx>
        <c:axId val="4474612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60691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48280288"/>
        <c:axId val="548279896"/>
      </c:lineChart>
      <c:catAx>
        <c:axId val="548280288"/>
        <c:scaling>
          <c:orientation val="minMax"/>
        </c:scaling>
        <c:delete val="0"/>
        <c:axPos val="b"/>
        <c:numFmt formatCode="General" sourceLinked="0"/>
        <c:majorTickMark val="out"/>
        <c:minorTickMark val="none"/>
        <c:tickLblPos val="nextTo"/>
        <c:txPr>
          <a:bodyPr/>
          <a:lstStyle/>
          <a:p>
            <a:pPr>
              <a:defRPr lang="en-US"/>
            </a:pPr>
            <a:endParaRPr lang="en-US"/>
          </a:p>
        </c:txPr>
        <c:crossAx val="548279896"/>
        <c:crosses val="autoZero"/>
        <c:auto val="1"/>
        <c:lblAlgn val="ctr"/>
        <c:lblOffset val="100"/>
        <c:noMultiLvlLbl val="0"/>
      </c:catAx>
      <c:valAx>
        <c:axId val="54827989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482802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641.501533564813" createdVersion="5" refreshedVersion="5" minRefreshableVersion="3" recordCount="108">
  <cacheSource type="worksheet">
    <worksheetSource ref="A2:AC110" sheet="1. All Data"/>
  </cacheSource>
  <cacheFields count="29">
    <cacheField name="Reporting Officer" numFmtId="0">
      <sharedItems count="20">
        <s v="Lisa Turner"/>
        <s v="Guy Thornhill"/>
        <s v="Chris Ebberley"/>
        <s v="Linda McDonald"/>
        <s v="Angela Wakefield"/>
        <s v="James Abbott"/>
        <s v="Michael Hovers"/>
        <s v="Paul Nephin"/>
        <s v="Chloe Brown"/>
        <s v="Nathan Gallagher"/>
        <s v="Paul Farrer"/>
        <s v="Sarah Richardson"/>
        <s v="Anna Miller"/>
        <s v="Margaret Woolley"/>
        <s v="Rachel Liddle"/>
        <s v="Michael Hovers &amp; Margaret Woolley"/>
        <s v="Thomas Deery"/>
        <s v="Catherine Grimley"/>
        <s v="Sara Botham"/>
        <s v="Brett Atkinson"/>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unt="1">
        <s v="Update Not Provided"/>
      </sharedItems>
    </cacheField>
    <cacheField name="Comments / Further action (Q1)_x000a_(IF APPLICABLE)" numFmtId="0">
      <sharedItems containsNonDate="0" containsString="0" containsBlank="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acheField>
    <cacheField name="Comments / Further action (Q2)_x000a_(IF APPLICABLE)" numFmtId="0">
      <sharedItems containsNonDate="0" containsString="0"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ount="3">
        <s v="Sal Khan"/>
        <s v="Andy O'Brien"/>
        <s v="Mark Rizk"/>
      </sharedItems>
    </cacheField>
    <cacheField name="Team" numFmtId="0">
      <sharedItems count="23">
        <s v="Finance"/>
        <s v="ICT"/>
        <s v="Corporate &amp; Commercial"/>
        <s v="Electoral Services"/>
        <s v="Human Resources"/>
        <s v="Assets &amp; Estates"/>
        <s v="Leisure Services Contract"/>
        <s v="Communities &amp; Open Spaces"/>
        <s v="Health &amp; Safety"/>
        <s v="Brewhouse, Arts &amp; Civic Function Suite"/>
        <s v="Marketing"/>
        <s v="Environment"/>
        <s v="Building Consultancy"/>
        <s v="Revenues, Benefits &amp; Customer Care"/>
        <s v="Planning"/>
        <s v="Licensing"/>
        <s v="Environmental Health"/>
        <s v="Communities &amp; Open Spaces, &amp; Licensing"/>
        <s v="Enterprise"/>
        <s v="Markets"/>
        <s v="Neighbourhood Working"/>
        <s v="Housing Options"/>
        <s v="Community &amp; Open Spaces" u="1"/>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8">
  <r>
    <x v="0"/>
    <s v="VFM01"/>
    <s v="Set the MTFS for 2020/21 onwards"/>
    <s v="Set Budget for Council Approval  "/>
    <d v="2020-02-29T00:00:00"/>
    <m/>
    <m/>
    <x v="0"/>
    <m/>
    <m/>
    <m/>
    <m/>
    <s v="Update Not Provided"/>
    <m/>
    <m/>
    <m/>
    <m/>
    <s v="Update Not Provided"/>
    <m/>
    <m/>
    <m/>
    <s v="Update not provided"/>
    <m/>
    <s v="Q4"/>
    <x v="0"/>
    <x v="0"/>
    <s v="Value for Money Council"/>
    <s v="Leader &amp; Finance"/>
    <s v="Leader"/>
  </r>
  <r>
    <x v="0"/>
    <s v="VFM02"/>
    <s v="Savings targets for 2019/20"/>
    <s v="Achieve Savings Targets as Stated in the Medium Term Financial Strategy "/>
    <d v="2020-03-31T00:00:00"/>
    <m/>
    <m/>
    <x v="0"/>
    <m/>
    <m/>
    <m/>
    <m/>
    <s v="Update Not Provided"/>
    <m/>
    <m/>
    <m/>
    <m/>
    <s v="Update Not Provided"/>
    <m/>
    <m/>
    <m/>
    <s v="Update not provided"/>
    <m/>
    <s v="Q4"/>
    <x v="0"/>
    <x v="0"/>
    <s v="Value for Money Council"/>
    <s v="Leader &amp; Finance"/>
    <s v="Leader"/>
  </r>
  <r>
    <x v="0"/>
    <s v="VFM03"/>
    <s v="Having an approved Statement of Accounts "/>
    <s v="Submit Statement of Accounts by New Statutory Deadline "/>
    <d v="2019-07-31T00:00:00"/>
    <m/>
    <m/>
    <x v="0"/>
    <m/>
    <m/>
    <m/>
    <m/>
    <s v="Update Not Provided"/>
    <m/>
    <m/>
    <m/>
    <m/>
    <s v="Update Not Provided"/>
    <m/>
    <m/>
    <m/>
    <s v="Update not provided"/>
    <m/>
    <s v="Q2"/>
    <x v="0"/>
    <x v="0"/>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m/>
    <m/>
    <x v="0"/>
    <m/>
    <m/>
    <m/>
    <m/>
    <s v="Update Not Provided"/>
    <m/>
    <m/>
    <m/>
    <m/>
    <s v="Update Not Provided"/>
    <m/>
    <m/>
    <m/>
    <s v="Update not provided"/>
    <m/>
    <s v="Q4"/>
    <x v="0"/>
    <x v="0"/>
    <s v="Value for Money Council"/>
    <s v="Leader &amp; Finance"/>
    <s v="Leader"/>
  </r>
  <r>
    <x v="0"/>
    <s v="VFM05"/>
    <s v="Internal Audit Service Procurement"/>
    <s v="Procurement concluded and new contract awarded"/>
    <d v="2020-03-31T00:00:00"/>
    <m/>
    <m/>
    <x v="0"/>
    <m/>
    <m/>
    <m/>
    <m/>
    <s v="Update Not Provided"/>
    <m/>
    <m/>
    <m/>
    <m/>
    <s v="Update Not Provided"/>
    <m/>
    <m/>
    <m/>
    <s v="Update not provided"/>
    <m/>
    <s v="Q4"/>
    <x v="0"/>
    <x v="0"/>
    <s v="Value for Money Council"/>
    <s v="Leader &amp; Finance"/>
    <s v="Leader"/>
  </r>
  <r>
    <x v="0"/>
    <s v="VFM06"/>
    <s v="Working towards the Government’s new HMRC VAT Digitalisation Compliance requirements "/>
    <s v="Compliance Report completed"/>
    <d v="2020-03-31T00:00:00"/>
    <m/>
    <m/>
    <x v="0"/>
    <m/>
    <m/>
    <m/>
    <m/>
    <s v="Update Not Provided"/>
    <m/>
    <m/>
    <m/>
    <m/>
    <s v="Update Not Provided"/>
    <m/>
    <m/>
    <m/>
    <s v="Update not provided"/>
    <m/>
    <s v="Q4"/>
    <x v="0"/>
    <x v="0"/>
    <s v="Value for Money Council"/>
    <s v="Leader &amp; Finance"/>
    <s v="Leader"/>
  </r>
  <r>
    <x v="1"/>
    <s v="VFM07"/>
    <s v="Continuing to digitise SMARTER services"/>
    <s v="Secure Integrated Service Request and Payment mechanism developed and implemented "/>
    <d v="2019-12-31T00:00:00"/>
    <m/>
    <m/>
    <x v="0"/>
    <m/>
    <m/>
    <m/>
    <m/>
    <s v="Update Not Provided"/>
    <m/>
    <m/>
    <m/>
    <m/>
    <s v="Update Not Provided"/>
    <m/>
    <m/>
    <m/>
    <s v="Update not provided"/>
    <m/>
    <s v="Q3"/>
    <x v="0"/>
    <x v="1"/>
    <s v="Value for Money Council"/>
    <s v="Leader &amp; Finance"/>
    <s v="Leader"/>
  </r>
  <r>
    <x v="2"/>
    <s v="VFM08"/>
    <s v="Continuing to digitise SMARTER services"/>
    <s v="Audio recording of Council meetings added to Corporate Website"/>
    <d v="2019-09-30T00:00:00"/>
    <m/>
    <m/>
    <x v="0"/>
    <m/>
    <m/>
    <m/>
    <m/>
    <s v="Update Not Provided"/>
    <m/>
    <m/>
    <m/>
    <m/>
    <s v="Update Not Provided"/>
    <m/>
    <m/>
    <m/>
    <s v="Update not provided"/>
    <m/>
    <s v="Q2"/>
    <x v="0"/>
    <x v="2"/>
    <s v="Value for Money Council"/>
    <s v="Leader &amp; Finance"/>
    <s v="Leader"/>
  </r>
  <r>
    <x v="2"/>
    <s v="VFM09"/>
    <s v="Continuing to digitise SMARTER services"/>
    <s v="80% of 2019/20 Milestones in New Digital Strategy Achieved"/>
    <d v="2020-03-31T00:00:00"/>
    <m/>
    <m/>
    <x v="0"/>
    <m/>
    <m/>
    <m/>
    <m/>
    <s v="Update Not Provided"/>
    <m/>
    <m/>
    <m/>
    <m/>
    <s v="Update Not Provided"/>
    <m/>
    <m/>
    <m/>
    <s v="Update not provided"/>
    <m/>
    <s v="Q4"/>
    <x v="0"/>
    <x v="2"/>
    <s v="Value for Money Council"/>
    <s v="Leader &amp; Finance"/>
    <s v="Leader"/>
  </r>
  <r>
    <x v="1"/>
    <s v="VFM10"/>
    <s v="Providing a more secure ICT working environment "/>
    <s v="Security Arrangements to Meet Requirements of PSN (or Replacement)  "/>
    <d v="2020-03-31T00:00:00"/>
    <m/>
    <m/>
    <x v="0"/>
    <m/>
    <m/>
    <m/>
    <m/>
    <s v="Update Not Provided"/>
    <m/>
    <m/>
    <m/>
    <m/>
    <s v="Update Not Provided"/>
    <m/>
    <m/>
    <m/>
    <s v="Update not provided"/>
    <m/>
    <s v="Q4"/>
    <x v="0"/>
    <x v="1"/>
    <s v="Value for Money Council"/>
    <s v="Leader &amp; Finance"/>
    <s v="Leader"/>
  </r>
  <r>
    <x v="1"/>
    <s v="VFM11"/>
    <s v="Providing a more secure ICT working environment     "/>
    <s v="Preferred biometric approach to password replacement identified and commenced"/>
    <d v="2019-12-31T00:00:00"/>
    <m/>
    <m/>
    <x v="0"/>
    <m/>
    <m/>
    <m/>
    <m/>
    <s v="Update Not Provided"/>
    <m/>
    <m/>
    <m/>
    <m/>
    <s v="Update Not Provided"/>
    <m/>
    <m/>
    <m/>
    <s v="Update not provided"/>
    <m/>
    <s v="Q3"/>
    <x v="0"/>
    <x v="1"/>
    <s v="Value for Money Council"/>
    <s v="Leader &amp; Finance"/>
    <s v="Leader"/>
  </r>
  <r>
    <x v="2"/>
    <s v="VFM12"/>
    <s v="Successfully deliver local elections  "/>
    <s v="Local elections delivered"/>
    <d v="2019-05-31T00:00:00"/>
    <m/>
    <m/>
    <x v="0"/>
    <m/>
    <m/>
    <m/>
    <m/>
    <s v="Update Not Provided"/>
    <m/>
    <m/>
    <m/>
    <m/>
    <s v="Update Not Provided"/>
    <m/>
    <m/>
    <m/>
    <s v="Update not provided"/>
    <m/>
    <s v="Q1"/>
    <x v="1"/>
    <x v="3"/>
    <s v="Value for Money Council"/>
    <s v="Leader &amp; Finance"/>
    <s v="Leader"/>
  </r>
  <r>
    <x v="2"/>
    <s v="VFM13"/>
    <s v="Carry out detailed Procurement / Contractor Consolidation / Spend Analysis"/>
    <s v="Report and way forward approved"/>
    <d v="2019-12-31T00:00:00"/>
    <m/>
    <m/>
    <x v="0"/>
    <m/>
    <m/>
    <m/>
    <m/>
    <s v="Update Not Provided"/>
    <m/>
    <m/>
    <m/>
    <m/>
    <s v="Update Not Provided"/>
    <m/>
    <m/>
    <m/>
    <s v="Update not provided"/>
    <m/>
    <s v="Q3"/>
    <x v="0"/>
    <x v="2"/>
    <s v="Value for Money Council"/>
    <s v="Leader &amp; Finance"/>
    <s v="Leader"/>
  </r>
  <r>
    <x v="3"/>
    <s v="VFM14"/>
    <s v="Increasing Staffing Availability Through Reduced Sickness"/>
    <s v="Short Term Sickness Days Average: _x000a_2.75 days"/>
    <m/>
    <m/>
    <m/>
    <x v="0"/>
    <m/>
    <m/>
    <m/>
    <m/>
    <s v="Update Not Provided"/>
    <m/>
    <m/>
    <m/>
    <m/>
    <s v="Update Not Provided"/>
    <m/>
    <m/>
    <m/>
    <s v="Update not provided"/>
    <m/>
    <s v="Qtrly"/>
    <x v="1"/>
    <x v="4"/>
    <s v="Value for Money Council"/>
    <s v="Leader &amp; Finance"/>
    <s v="Leader"/>
  </r>
  <r>
    <x v="3"/>
    <s v="VFM15"/>
    <s v="Improve On The Average Time To Pay Creditors"/>
    <s v="Average Time To Pay Creditors:_x000a_12 days"/>
    <m/>
    <m/>
    <m/>
    <x v="0"/>
    <m/>
    <m/>
    <m/>
    <m/>
    <s v="Update Not Provided"/>
    <m/>
    <m/>
    <m/>
    <m/>
    <s v="Update Not Provided"/>
    <m/>
    <m/>
    <m/>
    <s v="Update not provided"/>
    <m/>
    <s v="Qtrly"/>
    <x v="1"/>
    <x v="4"/>
    <s v="Value for Money Council"/>
    <s v="Leader &amp; Finance"/>
    <s v="Leader"/>
  </r>
  <r>
    <x v="4"/>
    <s v="VFM16"/>
    <s v="Legal and Assets"/>
    <s v="Carry out works to Canal Street industrial units, as identified in the condition survey"/>
    <d v="2020-03-31T00:00:00"/>
    <m/>
    <m/>
    <x v="0"/>
    <m/>
    <m/>
    <m/>
    <m/>
    <s v="Update Not Provided"/>
    <m/>
    <m/>
    <m/>
    <m/>
    <s v="Update Not Provided"/>
    <m/>
    <m/>
    <m/>
    <s v="Update not provided"/>
    <m/>
    <s v="Q4"/>
    <x v="1"/>
    <x v="5"/>
    <s v="Value for Money Council"/>
    <s v="Leader &amp; Finance"/>
    <s v="Leader"/>
  </r>
  <r>
    <x v="4"/>
    <s v="VFM17"/>
    <s v="Legal and Assets"/>
    <s v="Condition Survey commissioned for miscellaneous Council properties"/>
    <d v="2019-10-31T00:00:00"/>
    <m/>
    <m/>
    <x v="0"/>
    <m/>
    <m/>
    <m/>
    <m/>
    <s v="Update Not Provided"/>
    <m/>
    <m/>
    <m/>
    <m/>
    <s v="Update Not Provided"/>
    <m/>
    <m/>
    <m/>
    <s v="Update not provided"/>
    <m/>
    <s v="Q3"/>
    <x v="1"/>
    <x v="5"/>
    <s v="Value for Money Council"/>
    <s v="Leader &amp; Finance"/>
    <s v="Leader"/>
  </r>
  <r>
    <x v="5"/>
    <s v="VFM18"/>
    <s v="Maintain Robust Mechanisms for Contract Managing the New Leisure Service Arrangements"/>
    <s v="Report on the performance of the Leisure Services contractor on a quarterly basis "/>
    <s v="(Q1, Q2, Q3 and Q4 2020)"/>
    <m/>
    <m/>
    <x v="0"/>
    <m/>
    <m/>
    <m/>
    <m/>
    <s v="Update Not Provided"/>
    <m/>
    <m/>
    <m/>
    <m/>
    <s v="Update Not Provided"/>
    <m/>
    <m/>
    <m/>
    <s v="Update not provided"/>
    <m/>
    <s v="Qtrly"/>
    <x v="2"/>
    <x v="6"/>
    <s v="Value for Money Council"/>
    <s v="Cultural Services"/>
    <s v="Leisure, Culture &amp; Tourism"/>
  </r>
  <r>
    <x v="5"/>
    <s v="VFM19"/>
    <s v="Review Strategic Sport and Leisure Approach in Line with New Leisure Service Arrangements"/>
    <s v="Undertake a  benchmarking exercise to support the delivery of the leisure management contract"/>
    <d v="2019-11-30T00:00:00"/>
    <m/>
    <m/>
    <x v="0"/>
    <m/>
    <m/>
    <m/>
    <m/>
    <s v="Update Not Provided"/>
    <m/>
    <m/>
    <m/>
    <m/>
    <s v="Update Not Provided"/>
    <m/>
    <m/>
    <m/>
    <s v="Update not provided"/>
    <m/>
    <s v="Q3"/>
    <x v="2"/>
    <x v="6"/>
    <s v="Value for Money Council"/>
    <s v="Cultural Services"/>
    <s v="Leisure, Culture &amp; Tourism"/>
  </r>
  <r>
    <x v="5"/>
    <s v="VFM20"/>
    <s v="Review Strategic Sport and Leisure Approach in Line with New Leisure Service Arrangements "/>
    <s v="Conduct a review of the relevant Sport and Leisure Strategy and Policy Documents and create a plan for their delivery"/>
    <d v="2020-03-31T00:00:00"/>
    <m/>
    <m/>
    <x v="0"/>
    <m/>
    <m/>
    <m/>
    <m/>
    <s v="Update Not Provided"/>
    <m/>
    <m/>
    <m/>
    <m/>
    <s v="Update Not Provided"/>
    <m/>
    <m/>
    <m/>
    <s v="Update not provided"/>
    <m/>
    <s v="Q4"/>
    <x v="2"/>
    <x v="6"/>
    <s v="Value for Money Council"/>
    <s v="Cultural Services"/>
    <s v="Leisure, Culture &amp; Tourism"/>
  </r>
  <r>
    <x v="6"/>
    <s v="VFM21"/>
    <s v="Open Spaces Service Development Initiatives"/>
    <s v="Review the Open Spaces/Grounds Maintenance Contract in preparation for retendering in 2020/21"/>
    <d v="2020-03-31T00:00:00"/>
    <m/>
    <m/>
    <x v="0"/>
    <m/>
    <m/>
    <m/>
    <m/>
    <s v="Update Not Provided"/>
    <m/>
    <m/>
    <m/>
    <m/>
    <s v="Update Not Provided"/>
    <m/>
    <m/>
    <m/>
    <s v="Update not provided"/>
    <m/>
    <s v="Q4"/>
    <x v="2"/>
    <x v="7"/>
    <s v="Value for Money Council"/>
    <s v="Cultural Services"/>
    <s v="Leisure, Culture &amp; Tourism"/>
  </r>
  <r>
    <x v="6"/>
    <s v="VFM22"/>
    <s v="Open Spaces Service Development Initiatives"/>
    <s v="Commission a consultant to assess the potential practical and capital requirements for the expansion of Stapenhill Cemetery "/>
    <d v="2019-08-31T00:00:00"/>
    <m/>
    <m/>
    <x v="0"/>
    <m/>
    <m/>
    <m/>
    <m/>
    <s v="Update Not Provided"/>
    <m/>
    <m/>
    <m/>
    <m/>
    <s v="Update Not Provided"/>
    <m/>
    <m/>
    <m/>
    <s v="Update not provided"/>
    <m/>
    <s v="Q2"/>
    <x v="2"/>
    <x v="7"/>
    <s v="Value for Money Council"/>
    <s v="Cultural Services"/>
    <s v="Leisure, Culture &amp; Tourism"/>
  </r>
  <r>
    <x v="6"/>
    <s v="VFM23"/>
    <s v="Open Spaces Service Development Initiatives"/>
    <s v="Review the options for improving the energy efficiency of lighting stock on Council land across the Borough "/>
    <d v="2019-07-31T00:00:00"/>
    <m/>
    <m/>
    <x v="0"/>
    <m/>
    <m/>
    <m/>
    <m/>
    <s v="Update Not Provided"/>
    <m/>
    <m/>
    <m/>
    <m/>
    <s v="Update Not Provided"/>
    <m/>
    <m/>
    <m/>
    <s v="Update not provided"/>
    <m/>
    <s v="Q2"/>
    <x v="2"/>
    <x v="7"/>
    <s v="Value for Money Council"/>
    <s v="Cultural Services"/>
    <s v="Leisure, Culture &amp; Tourism"/>
  </r>
  <r>
    <x v="7"/>
    <s v="VFM24"/>
    <s v="Open Spaces Service Development Initiatives"/>
    <s v="Review the first years performance of the Alertcom lone working system  "/>
    <d v="2019-06-30T00:00:00"/>
    <m/>
    <m/>
    <x v="0"/>
    <m/>
    <m/>
    <m/>
    <m/>
    <s v="Update Not Provided"/>
    <m/>
    <m/>
    <m/>
    <m/>
    <s v="Update Not Provided"/>
    <m/>
    <m/>
    <m/>
    <s v="Update not provided"/>
    <m/>
    <s v="Q1"/>
    <x v="2"/>
    <x v="8"/>
    <s v="Value for Money Council"/>
    <s v="Cultural Services"/>
    <s v="Leisure, Culture &amp; Tourism"/>
  </r>
  <r>
    <x v="8"/>
    <s v="VFM25"/>
    <s v="Brewhouse, Arts and Town Hall Developments"/>
    <s v="Investigate new models of delivery for the Brewhouse Arts Facilities, Civic Function Suite and Arts Development"/>
    <d v="2020-03-31T00:00:00"/>
    <m/>
    <m/>
    <x v="0"/>
    <m/>
    <m/>
    <m/>
    <m/>
    <s v="Update Not Provided"/>
    <m/>
    <m/>
    <m/>
    <m/>
    <s v="Update Not Provided"/>
    <m/>
    <m/>
    <m/>
    <s v="Update not provided"/>
    <m/>
    <s v="Q4"/>
    <x v="2"/>
    <x v="9"/>
    <s v="Value for Money Council"/>
    <s v="Cultural Services"/>
    <s v="Leisure, Culture &amp; Tourism"/>
  </r>
  <r>
    <x v="9"/>
    <s v="VFM26"/>
    <s v="Improve Awareness of ESBC Venues and Initiatives"/>
    <s v="Produce Marketing and Development Plans for key services and provide quarterly updates on performance"/>
    <d v="2020-03-31T00:00:00"/>
    <m/>
    <m/>
    <x v="0"/>
    <m/>
    <m/>
    <m/>
    <m/>
    <s v="Update Not Provided"/>
    <m/>
    <m/>
    <m/>
    <m/>
    <s v="Update Not Provided"/>
    <m/>
    <m/>
    <m/>
    <s v="Update not provided"/>
    <m/>
    <s v="Q4"/>
    <x v="2"/>
    <x v="10"/>
    <s v="Value for Money Council"/>
    <s v="Cultural Services"/>
    <s v="Leisure, Culture &amp; Tourism"/>
  </r>
  <r>
    <x v="9"/>
    <s v="VFM27"/>
    <s v="Improve Awareness of ESBC Venues and Initiatives "/>
    <s v="Deliver a minimum of 2 Town Centre initiatives in Conjunction with local partners"/>
    <d v="2019-12-31T00:00:00"/>
    <m/>
    <m/>
    <x v="0"/>
    <m/>
    <m/>
    <m/>
    <m/>
    <s v="Update Not Provided"/>
    <m/>
    <m/>
    <m/>
    <m/>
    <s v="Update Not Provided"/>
    <m/>
    <m/>
    <m/>
    <s v="Update not provided"/>
    <m/>
    <s v="Q3"/>
    <x v="2"/>
    <x v="10"/>
    <s v="Value for Money Council"/>
    <s v="Cultural Services"/>
    <s v="Leisure, Culture &amp; Tourism"/>
  </r>
  <r>
    <x v="9"/>
    <s v="VFM28"/>
    <s v="Improve Awareness of ESBC Venues and Initiatives"/>
    <s v="Organise a minimum of 4 “Outreach” Days (1 Per Quarter) to raise the profile of the Council’s services"/>
    <d v="2020-03-31T00:00:00"/>
    <m/>
    <m/>
    <x v="0"/>
    <m/>
    <m/>
    <m/>
    <m/>
    <s v="Update Not Provided"/>
    <m/>
    <m/>
    <m/>
    <m/>
    <s v="Update Not Provided"/>
    <m/>
    <m/>
    <m/>
    <s v="Update not provided"/>
    <m/>
    <s v="Q4"/>
    <x v="2"/>
    <x v="10"/>
    <s v="Value for Money Council"/>
    <s v="Cultural Services"/>
    <s v="Leisure, Culture &amp; Tourism"/>
  </r>
  <r>
    <x v="10"/>
    <s v="VFM29"/>
    <s v="Further Development of SMARTER working (Waste Collection)"/>
    <s v="Conduct review of Waste Service_x000a_Two Findings / Update Reports with next steps"/>
    <d v="2020-03-31T00:00:00"/>
    <m/>
    <m/>
    <x v="0"/>
    <m/>
    <m/>
    <m/>
    <m/>
    <s v="Update Not Provided"/>
    <m/>
    <m/>
    <m/>
    <m/>
    <s v="Update Not Provided"/>
    <m/>
    <m/>
    <m/>
    <s v="Update not provided"/>
    <m/>
    <s v="Q4"/>
    <x v="0"/>
    <x v="11"/>
    <s v="Value for Money Council"/>
    <s v="Environment"/>
    <s v="Environment &amp; Housing"/>
  </r>
  <r>
    <x v="10"/>
    <s v="VFM30"/>
    <s v="Further Development of SMARTER working  (Street Cleaning)"/>
    <s v="Implement the SMARTER Street Cleaning Programme_x000a_Two update reports "/>
    <d v="2020-03-31T00:00:00"/>
    <m/>
    <m/>
    <x v="0"/>
    <m/>
    <m/>
    <m/>
    <m/>
    <s v="Update Not Provided"/>
    <m/>
    <m/>
    <m/>
    <m/>
    <s v="Update Not Provided"/>
    <m/>
    <m/>
    <m/>
    <s v="Update not provided"/>
    <m/>
    <s v="Q4"/>
    <x v="0"/>
    <x v="11"/>
    <s v="Value for Money Council"/>
    <s v="Environment"/>
    <s v="Environment &amp; Housing"/>
  </r>
  <r>
    <x v="10"/>
    <s v="VFM31 "/>
    <s v="Further Development of SMARTER working  (Street Cleaning)"/>
    <s v="Produce Strategy for engaging with Highways England to improve cleanliness around A38 and associated access roads"/>
    <d v="2019-06-30T00:00:00"/>
    <m/>
    <m/>
    <x v="0"/>
    <m/>
    <m/>
    <m/>
    <m/>
    <s v="Update Not Provided"/>
    <m/>
    <m/>
    <m/>
    <m/>
    <s v="Update Not Provided"/>
    <m/>
    <m/>
    <m/>
    <s v="Update not provided"/>
    <m/>
    <s v="Q1"/>
    <x v="0"/>
    <x v="11"/>
    <s v="Value for Money Council"/>
    <s v="Environment"/>
    <s v="Environment &amp; Housing"/>
  </r>
  <r>
    <x v="10"/>
    <s v="VFM32"/>
    <s v="Further Development of SMARTER Working (Building Control)"/>
    <s v="Implement ISO Quality Management System for Building Control"/>
    <d v="2020-03-31T00:00:00"/>
    <m/>
    <m/>
    <x v="0"/>
    <m/>
    <m/>
    <m/>
    <m/>
    <s v="Update Not Provided"/>
    <m/>
    <m/>
    <m/>
    <m/>
    <s v="Update Not Provided"/>
    <m/>
    <m/>
    <m/>
    <s v="Update not provided"/>
    <m/>
    <s v="Q4"/>
    <x v="0"/>
    <x v="12"/>
    <s v="Value for Money Council"/>
    <s v="Environment"/>
    <s v="Environment &amp; Housing"/>
  </r>
  <r>
    <x v="10"/>
    <s v="VFM33"/>
    <s v="Minimise The Number Of Missed Bin Collections"/>
    <s v="Number Of Missed Bin Collections: _x000a_2 missed bins per 10,000 collections"/>
    <d v="2020-03-31T00:00:00"/>
    <m/>
    <m/>
    <x v="0"/>
    <m/>
    <m/>
    <m/>
    <m/>
    <s v="Update Not Provided"/>
    <m/>
    <m/>
    <m/>
    <m/>
    <s v="Update Not Provided"/>
    <m/>
    <m/>
    <m/>
    <s v="Update not provided"/>
    <m/>
    <s v="Q4"/>
    <x v="0"/>
    <x v="11"/>
    <s v="Value for Money Council"/>
    <s v="Environment"/>
    <s v="Environment &amp; Housing"/>
  </r>
  <r>
    <x v="10"/>
    <s v="VFM34"/>
    <s v="Carry out SMARTER Digital Communications "/>
    <s v="Refreshed Web / Social Media Waste Management and Street Cleaning Section launched"/>
    <d v="2019-07-31T00:00:00"/>
    <m/>
    <m/>
    <x v="0"/>
    <m/>
    <m/>
    <m/>
    <m/>
    <s v="Update Not Provided"/>
    <m/>
    <m/>
    <m/>
    <m/>
    <s v="Update Not Provided"/>
    <m/>
    <m/>
    <m/>
    <s v="Update not provided"/>
    <m/>
    <s v="Q2"/>
    <x v="0"/>
    <x v="11"/>
    <s v="Value for Money Council"/>
    <s v="Environment"/>
    <s v="Environment &amp; Housing"/>
  </r>
  <r>
    <x v="10"/>
    <s v="VFM35"/>
    <s v=" Respond to Government Policy Announcements "/>
    <s v="Complete responses to Government consultations in line with consultation deadlines"/>
    <m/>
    <m/>
    <m/>
    <x v="0"/>
    <m/>
    <m/>
    <m/>
    <m/>
    <s v="Update Not Provided"/>
    <m/>
    <m/>
    <m/>
    <m/>
    <s v="Update Not Provided"/>
    <m/>
    <m/>
    <m/>
    <s v="Update not provided"/>
    <m/>
    <s v="Qtrly"/>
    <x v="0"/>
    <x v="11"/>
    <s v="Value for Money Council"/>
    <s v="Environment"/>
    <s v="Environment &amp; Housing"/>
  </r>
  <r>
    <x v="11"/>
    <s v="VFM36a"/>
    <s v="Continue to Maximise Income Through Effective Collection Processes_x000a_(Previously BV9) "/>
    <s v="Council Tax Collection Rates: 98%"/>
    <m/>
    <m/>
    <m/>
    <x v="0"/>
    <m/>
    <m/>
    <m/>
    <m/>
    <s v="Update Not Provided"/>
    <m/>
    <m/>
    <m/>
    <m/>
    <s v="Update Not Provided"/>
    <m/>
    <m/>
    <m/>
    <s v="Update not provided"/>
    <m/>
    <s v="Qtrly"/>
    <x v="0"/>
    <x v="13"/>
    <s v="Value for Money Council"/>
    <s v="Housing &amp; Homelessness"/>
    <s v="Environment &amp; Housing"/>
  </r>
  <r>
    <x v="11"/>
    <s v="VFM36b"/>
    <s v="Continue to Maximise Income Through Effective Collection Processes_x000a_(Previously BV10) "/>
    <s v="NNDR Collection Rates: 99%"/>
    <m/>
    <m/>
    <m/>
    <x v="0"/>
    <m/>
    <m/>
    <m/>
    <m/>
    <s v="Update Not Provided"/>
    <m/>
    <m/>
    <m/>
    <m/>
    <s v="Update Not Provided"/>
    <m/>
    <m/>
    <m/>
    <s v="Update not provided"/>
    <m/>
    <s v="Qtrly"/>
    <x v="0"/>
    <x v="13"/>
    <s v="Value for Money Council"/>
    <s v="Housing &amp; Homelessness"/>
    <s v="Environment &amp; Housing"/>
  </r>
  <r>
    <x v="11"/>
    <s v="VFM37a"/>
    <s v="Continue to Maximise Income Through Effective Collection Processes:_x000a_Reduce Former Years Arrears for Council Tax; NNDR; Sundry Debts"/>
    <s v="Former Years Arrears for Council Tax; £1,900,000 (net)"/>
    <m/>
    <m/>
    <m/>
    <x v="0"/>
    <m/>
    <m/>
    <m/>
    <m/>
    <s v="Update Not Provided"/>
    <m/>
    <m/>
    <m/>
    <m/>
    <s v="Update Not Provided"/>
    <m/>
    <m/>
    <m/>
    <s v="Update not provided"/>
    <m/>
    <s v="Qtrly"/>
    <x v="0"/>
    <x v="13"/>
    <s v="Value for Money Council"/>
    <s v="Housing &amp; Homelessness"/>
    <s v="Environment &amp; Housing"/>
  </r>
  <r>
    <x v="11"/>
    <s v="VFM37b"/>
    <s v="Continue to Maximise Income Through Effective Collection Processes:_x000a_Reduce Former Years Arrears for Council Tax; NNDR; Sundry Debts"/>
    <s v="Former Years Arrears for NNDR; _x000a_£500,000 (net)"/>
    <m/>
    <m/>
    <m/>
    <x v="0"/>
    <m/>
    <m/>
    <m/>
    <m/>
    <s v="Update Not Provided"/>
    <m/>
    <m/>
    <m/>
    <m/>
    <s v="Update Not Provided"/>
    <m/>
    <m/>
    <m/>
    <s v="Update not provided"/>
    <m/>
    <s v="Qtrly"/>
    <x v="0"/>
    <x v="13"/>
    <s v="Value for Money Council"/>
    <s v="Housing &amp; Homelessness"/>
    <s v="Environment &amp; Housing"/>
  </r>
  <r>
    <x v="11"/>
    <s v="VFM37c"/>
    <s v="Continue to Maximise Income Through Effective Collection Processes:_x000a_Reduce Former Years Arrears for Council Tax; NNDR; Sundry Debts"/>
    <s v="Current Years Arrears for Sundry debts; _x000a_£40,000 (older than 90 days)"/>
    <m/>
    <m/>
    <m/>
    <x v="0"/>
    <m/>
    <m/>
    <m/>
    <m/>
    <s v="Update Not Provided"/>
    <m/>
    <m/>
    <m/>
    <m/>
    <s v="Update Not Provided"/>
    <m/>
    <m/>
    <m/>
    <s v="Update not provided"/>
    <m/>
    <s v="Qtrly"/>
    <x v="0"/>
    <x v="13"/>
    <s v="Value for Money Council"/>
    <s v="Housing &amp; Homelessness"/>
    <s v="Environment &amp; Housing"/>
  </r>
  <r>
    <x v="11"/>
    <s v="VFM38a"/>
    <s v="Maintaining excellent customer access to services with face-to-face and telephony enquiries"/>
    <s v="99% of CSC and Telephony Team Enquiries Resolved at First Point of Contact"/>
    <m/>
    <m/>
    <m/>
    <x v="0"/>
    <m/>
    <m/>
    <m/>
    <m/>
    <s v="Update Not Provided"/>
    <m/>
    <m/>
    <m/>
    <m/>
    <s v="Update Not Provided"/>
    <m/>
    <m/>
    <m/>
    <s v="Update not provided"/>
    <m/>
    <s v="Qtrly"/>
    <x v="0"/>
    <x v="13"/>
    <s v="Value for Money Council"/>
    <s v="Housing &amp; Homelessness"/>
    <s v="Environment &amp; Housing"/>
  </r>
  <r>
    <x v="11"/>
    <s v="VFM38b"/>
    <s v="Maintaining excellent customer access to services with face-to-face and telephony enquiries"/>
    <s v="Minimum 75% Telephony Team Calls Answered Within 10 Seconds"/>
    <m/>
    <m/>
    <m/>
    <x v="0"/>
    <m/>
    <m/>
    <m/>
    <m/>
    <s v="Update Not Provided"/>
    <m/>
    <m/>
    <m/>
    <m/>
    <s v="Update Not Provided"/>
    <m/>
    <m/>
    <m/>
    <s v="Update not provided"/>
    <m/>
    <s v="Qtrly"/>
    <x v="0"/>
    <x v="13"/>
    <s v="Value for Money Council"/>
    <s v="Housing &amp; Homelessness"/>
    <s v="Environment &amp; Housing"/>
  </r>
  <r>
    <x v="11"/>
    <s v="VFM39"/>
    <s v="Maximise Tax Bases through continued reviews of discounts, exemptions and reliefs"/>
    <s v="To be agreed post tender award "/>
    <m/>
    <m/>
    <m/>
    <x v="0"/>
    <m/>
    <m/>
    <m/>
    <m/>
    <s v="Update Not Provided"/>
    <m/>
    <m/>
    <m/>
    <m/>
    <s v="Update Not Provided"/>
    <m/>
    <m/>
    <m/>
    <s v="Update not provided"/>
    <m/>
    <s v="Qtrly"/>
    <x v="0"/>
    <x v="13"/>
    <s v="Value for Money Council"/>
    <s v="Housing &amp; Homelessness"/>
    <s v="Environment &amp; Housing"/>
  </r>
  <r>
    <x v="11"/>
    <s v="VFM40"/>
    <s v="Continue to Improve the Ways We Provide Benefits to Those Most in Need:_x000a_Time Taken to Process Benefit New Claims and Change Events (Previously NI 181)"/>
    <s v="5 days"/>
    <m/>
    <m/>
    <m/>
    <x v="0"/>
    <m/>
    <m/>
    <m/>
    <m/>
    <s v="Update Not Provided"/>
    <m/>
    <m/>
    <m/>
    <m/>
    <s v="Update Not Provided"/>
    <m/>
    <m/>
    <m/>
    <s v="Update not provided"/>
    <m/>
    <s v="Qtrly"/>
    <x v="0"/>
    <x v="13"/>
    <s v="Value for Money Council"/>
    <s v="Housing &amp; Homelessness"/>
    <s v="Environment &amp; Housing"/>
  </r>
  <r>
    <x v="11"/>
    <s v="VFM41a"/>
    <s v="Working Towards the Reduction of Claimant Error Housing Benefit Overpayments (HBOPs)"/>
    <s v="80% of HBOPs Overpayments Recovered During the Year"/>
    <m/>
    <m/>
    <m/>
    <x v="0"/>
    <m/>
    <m/>
    <m/>
    <m/>
    <s v="Update Not Provided"/>
    <m/>
    <m/>
    <m/>
    <m/>
    <s v="Update Not Provided"/>
    <m/>
    <m/>
    <m/>
    <s v="Update not provided"/>
    <m/>
    <s v="Qtrly"/>
    <x v="0"/>
    <x v="13"/>
    <s v="Value for Money Council"/>
    <s v="Housing &amp; Homelessness"/>
    <s v="Environment &amp; Housing"/>
  </r>
  <r>
    <x v="11"/>
    <s v="VFM41b"/>
    <s v="Working Towards the Reduction of Claimant Error Housing Benefit Overpayments (HBOPs)"/>
    <s v="85% of HBOPS Processed and on Payment Arrangement"/>
    <m/>
    <m/>
    <m/>
    <x v="0"/>
    <m/>
    <m/>
    <m/>
    <m/>
    <s v="Update Not Provided"/>
    <m/>
    <m/>
    <m/>
    <m/>
    <s v="Update Not Provided"/>
    <m/>
    <m/>
    <m/>
    <s v="Update not provided"/>
    <m/>
    <s v="Qtrly"/>
    <x v="0"/>
    <x v="13"/>
    <s v="Value for Money Council"/>
    <s v="Housing &amp; Homelessness"/>
    <s v="Environment &amp; Housing"/>
  </r>
  <r>
    <x v="11"/>
    <s v="VFM42"/>
    <s v="Review Council Tax Reduction scheme"/>
    <s v="Carry Out Review of the Council Tax Reduction Scheme "/>
    <d v="2019-12-31T00:00:00"/>
    <m/>
    <m/>
    <x v="0"/>
    <m/>
    <m/>
    <m/>
    <m/>
    <s v="Update Not Provided"/>
    <m/>
    <m/>
    <m/>
    <m/>
    <s v="Update Not Provided"/>
    <m/>
    <m/>
    <m/>
    <s v="Update not provided"/>
    <m/>
    <s v="Q3"/>
    <x v="0"/>
    <x v="13"/>
    <s v="Value for Money Council"/>
    <s v="Housing &amp; Homelessness"/>
    <s v="Environment &amp; Housing"/>
  </r>
  <r>
    <x v="11"/>
    <s v="VFM43"/>
    <s v="Review Business Rates Rate Relief policy"/>
    <s v="Policy reviewed (for next year’s implementation)"/>
    <d v="2020-03-31T00:00:00"/>
    <m/>
    <m/>
    <x v="0"/>
    <m/>
    <m/>
    <m/>
    <m/>
    <s v="Update Not Provided"/>
    <m/>
    <m/>
    <m/>
    <m/>
    <s v="Update Not Provided"/>
    <m/>
    <m/>
    <m/>
    <s v="Update not provided"/>
    <m/>
    <s v="Q4"/>
    <x v="0"/>
    <x v="13"/>
    <s v="Value for Money Council"/>
    <s v="Housing &amp; Homelessness"/>
    <s v="Environment &amp; Housing"/>
  </r>
  <r>
    <x v="11"/>
    <s v="VFM44"/>
    <s v="Prepare for Universal Credit Managed Migration "/>
    <s v="Work with DWP and partners, prepare 2 in year progress reports and 1 Member briefing "/>
    <d v="2020-03-31T00:00:00"/>
    <m/>
    <m/>
    <x v="0"/>
    <m/>
    <m/>
    <m/>
    <m/>
    <s v="Update Not Provided"/>
    <m/>
    <m/>
    <m/>
    <m/>
    <s v="Update Not Provided"/>
    <m/>
    <m/>
    <m/>
    <s v="Update not provided"/>
    <m/>
    <s v="Q4"/>
    <x v="0"/>
    <x v="13"/>
    <s v="Value for Money Council"/>
    <s v="Housing &amp; Homelessness"/>
    <s v="Environment &amp; Housing"/>
  </r>
  <r>
    <x v="12"/>
    <s v="VFM45"/>
    <s v="Continuing to inform and improve Planning awareness with Members"/>
    <s v="At least 2 briefings delivered to elected members during the year "/>
    <m/>
    <m/>
    <m/>
    <x v="0"/>
    <m/>
    <m/>
    <m/>
    <m/>
    <s v="Update Not Provided"/>
    <m/>
    <m/>
    <m/>
    <m/>
    <s v="Update Not Provided"/>
    <m/>
    <m/>
    <m/>
    <s v="Update not provided"/>
    <m/>
    <s v="Qtrly"/>
    <x v="0"/>
    <x v="14"/>
    <s v="Value for Money Council"/>
    <s v="Planning"/>
    <s v="Regeneration &amp; Planning Policy"/>
  </r>
  <r>
    <x v="12"/>
    <s v="VFM46"/>
    <s v="Continuing to inform and improve Planning awareness with Members"/>
    <s v="Strategic Sites Progress Report delivered"/>
    <d v="2019-12-31T00:00:00"/>
    <m/>
    <m/>
    <x v="0"/>
    <m/>
    <m/>
    <m/>
    <m/>
    <s v="Update Not Provided"/>
    <m/>
    <m/>
    <m/>
    <m/>
    <s v="Update Not Provided"/>
    <m/>
    <m/>
    <m/>
    <s v="Update not provided"/>
    <m/>
    <s v="Q3"/>
    <x v="0"/>
    <x v="14"/>
    <s v="Value for Money Council"/>
    <s v="Planning"/>
    <s v="Regeneration &amp; Planning Policy"/>
  </r>
  <r>
    <x v="12"/>
    <s v="VFM47"/>
    <s v="Monitor Local Plan Performance "/>
    <s v="Annual Monitoring Report  Prepared"/>
    <d v="2019-12-31T00:00:00"/>
    <m/>
    <m/>
    <x v="0"/>
    <m/>
    <m/>
    <m/>
    <m/>
    <s v="Update Not Provided"/>
    <m/>
    <m/>
    <m/>
    <m/>
    <s v="Update Not Provided"/>
    <m/>
    <m/>
    <m/>
    <s v="Update not provided"/>
    <m/>
    <s v="Q3"/>
    <x v="0"/>
    <x v="14"/>
    <s v="Value for Money Council"/>
    <s v="Planning"/>
    <s v="Regeneration &amp; Planning Policy"/>
  </r>
  <r>
    <x v="12"/>
    <s v="VFM48"/>
    <s v="Continue to develop SMARTER working practices for Planning"/>
    <s v="Invalid Applications Review and Report"/>
    <d v="2020-03-31T00:00:00"/>
    <m/>
    <m/>
    <x v="0"/>
    <m/>
    <m/>
    <m/>
    <m/>
    <s v="Update Not Provided"/>
    <m/>
    <m/>
    <m/>
    <m/>
    <s v="Update Not Provided"/>
    <m/>
    <m/>
    <m/>
    <s v="Update not provided"/>
    <m/>
    <s v="Q4"/>
    <x v="0"/>
    <x v="14"/>
    <s v="Value for Money Council"/>
    <s v="Planning"/>
    <s v="Regeneration &amp; Planning Policy"/>
  </r>
  <r>
    <x v="12"/>
    <s v="VFM49"/>
    <s v="Continue to develop SMARTER working practices for Planning"/>
    <s v="Adoption of SMARTER Developer Contributions SPD"/>
    <d v="2019-12-31T00:00:00"/>
    <m/>
    <m/>
    <x v="0"/>
    <m/>
    <m/>
    <m/>
    <m/>
    <s v="Update Not Provided"/>
    <m/>
    <m/>
    <m/>
    <m/>
    <s v="Update Not Provided"/>
    <m/>
    <m/>
    <m/>
    <s v="Update not provided"/>
    <m/>
    <s v="Q3"/>
    <x v="0"/>
    <x v="14"/>
    <s v="Value for Money Council"/>
    <s v="Planning"/>
    <s v="Regeneration &amp; Planning Policy"/>
  </r>
  <r>
    <x v="13"/>
    <s v="VFM50"/>
    <s v="Ensure Robust Licensing Policies "/>
    <s v="Complete a Review of the Scrap Metal Dealers Policy "/>
    <d v="2019-09-30T00:00:00"/>
    <m/>
    <m/>
    <x v="0"/>
    <m/>
    <m/>
    <m/>
    <m/>
    <s v="Update Not Provided"/>
    <m/>
    <m/>
    <m/>
    <m/>
    <s v="Update Not Provided"/>
    <m/>
    <m/>
    <m/>
    <s v="Update not provided"/>
    <m/>
    <s v="Q2"/>
    <x v="2"/>
    <x v="15"/>
    <s v="Value for Money Council"/>
    <s v="Regulatory Services"/>
    <s v="Regulatory &amp; Community Support"/>
  </r>
  <r>
    <x v="13"/>
    <s v="VFM51"/>
    <s v="Ensure Robust Licensing Policies"/>
    <s v="Complete a Review of the Charitable Collection Policy "/>
    <d v="2019-09-30T00:00:00"/>
    <m/>
    <m/>
    <x v="0"/>
    <m/>
    <m/>
    <m/>
    <m/>
    <s v="Update Not Provided"/>
    <m/>
    <m/>
    <m/>
    <m/>
    <s v="Update Not Provided"/>
    <m/>
    <m/>
    <m/>
    <s v="Update not provided"/>
    <m/>
    <s v="Q2"/>
    <x v="2"/>
    <x v="15"/>
    <s v="Value for Money Council"/>
    <s v="Regulatory Services"/>
    <s v="Regulatory &amp; Community Support"/>
  </r>
  <r>
    <x v="13"/>
    <s v="VFM52"/>
    <s v="Ensure Robust Licensing Policies"/>
    <s v="Complete a Review of the Licensing Act Policy "/>
    <d v="2020-03-31T00:00:00"/>
    <m/>
    <m/>
    <x v="0"/>
    <m/>
    <m/>
    <m/>
    <m/>
    <s v="Update Not Provided"/>
    <m/>
    <m/>
    <m/>
    <m/>
    <s v="Update Not Provided"/>
    <m/>
    <m/>
    <m/>
    <s v="Update not provided"/>
    <m/>
    <s v="Q4"/>
    <x v="2"/>
    <x v="15"/>
    <s v="Value for Money Council"/>
    <s v="Regulatory Services"/>
    <s v="Regulatory &amp; Community Support"/>
  </r>
  <r>
    <x v="14"/>
    <s v="VFM53"/>
    <s v="Ensure an Effective Selective Licensing Scheme"/>
    <s v="Complete an Evaluation of the Selective Licensing Scheme and consider its future expansion"/>
    <d v="2019-11-30T00:00:00"/>
    <m/>
    <m/>
    <x v="0"/>
    <m/>
    <m/>
    <m/>
    <m/>
    <s v="Update Not Provided"/>
    <m/>
    <m/>
    <m/>
    <m/>
    <s v="Update Not Provided"/>
    <m/>
    <m/>
    <m/>
    <s v="Update not provided"/>
    <m/>
    <s v="Q3"/>
    <x v="2"/>
    <x v="16"/>
    <s v="Value for Money Council"/>
    <s v="Regulatory Services"/>
    <s v="Regulatory &amp; Community Support"/>
  </r>
  <r>
    <x v="14"/>
    <s v="VFM54"/>
    <s v="Ensure an Effective Disabled Facilities Grant Service"/>
    <s v="Complete a Review of the Disabled Facilities Grant Service"/>
    <d v="2019-12-31T00:00:00"/>
    <m/>
    <m/>
    <x v="0"/>
    <m/>
    <m/>
    <m/>
    <m/>
    <s v="Update Not Provided"/>
    <m/>
    <m/>
    <m/>
    <m/>
    <s v="Update Not Provided"/>
    <m/>
    <m/>
    <m/>
    <s v="Update not provided"/>
    <m/>
    <s v="Q3"/>
    <x v="2"/>
    <x v="16"/>
    <s v="Value for Money Council"/>
    <s v="Regulatory Services"/>
    <s v="Regulatory &amp; Community Support"/>
  </r>
  <r>
    <x v="6"/>
    <s v="VFM55"/>
    <s v="Develop the use of technology to improve service delivery"/>
    <s v="Complete a Review of Parking Services and the related use of technology "/>
    <d v="2019-10-31T00:00:00"/>
    <m/>
    <m/>
    <x v="0"/>
    <m/>
    <m/>
    <m/>
    <m/>
    <s v="Update Not Provided"/>
    <m/>
    <m/>
    <m/>
    <m/>
    <s v="Update Not Provided"/>
    <m/>
    <m/>
    <m/>
    <s v="Update not provided"/>
    <m/>
    <s v="Q3"/>
    <x v="2"/>
    <x v="7"/>
    <s v="Value for Money Council"/>
    <s v="Regulatory Services"/>
    <s v="Regulatory &amp; Community Support"/>
  </r>
  <r>
    <x v="15"/>
    <s v="VFM56"/>
    <s v="Ensure an Effective Civil and Community Enforcement Service"/>
    <s v="Review Public Space Protection Orders for Dog Fouling and Alcohol consumption"/>
    <d v="2019-10-31T00:00:00"/>
    <m/>
    <m/>
    <x v="0"/>
    <m/>
    <m/>
    <m/>
    <m/>
    <s v="Update Not Provided"/>
    <m/>
    <m/>
    <m/>
    <m/>
    <s v="Update Not Provided"/>
    <m/>
    <m/>
    <m/>
    <s v="Update not provided"/>
    <m/>
    <s v="Q3"/>
    <x v="2"/>
    <x v="17"/>
    <s v="Value for Money Council"/>
    <s v="Regulatory Services"/>
    <s v="Regulatory &amp; Community Support"/>
  </r>
  <r>
    <x v="16"/>
    <s v="VFM57"/>
    <s v="Achieve further investment for our town centres and large settlements"/>
    <s v="Finalise agreement with SCC to fund the implementation of the co-designed Station Street new public realm project"/>
    <d v="2019-06-30T00:00:00"/>
    <m/>
    <m/>
    <x v="0"/>
    <m/>
    <m/>
    <m/>
    <m/>
    <s v="Update Not Provided"/>
    <m/>
    <m/>
    <m/>
    <m/>
    <s v="Update Not Provided"/>
    <m/>
    <m/>
    <m/>
    <s v="Update not provided"/>
    <m/>
    <s v="Q1"/>
    <x v="1"/>
    <x v="18"/>
    <s v="Value for Money Council"/>
    <s v="Regeneration"/>
    <s v="Regeneration &amp; Planning Policy"/>
  </r>
  <r>
    <x v="16"/>
    <s v="VFM58"/>
    <s v="Achieve further investment for our town centres and large settlements "/>
    <s v="Consider the outcome of the council’s expression of interest to the Future High Street Fund"/>
    <d v="2019-06-30T00:00:00"/>
    <m/>
    <m/>
    <x v="0"/>
    <m/>
    <m/>
    <m/>
    <m/>
    <s v="Update Not Provided"/>
    <m/>
    <m/>
    <m/>
    <m/>
    <s v="Update Not Provided"/>
    <m/>
    <m/>
    <m/>
    <s v="Update not provided"/>
    <m/>
    <s v="Q1"/>
    <x v="1"/>
    <x v="18"/>
    <s v="Value for Money Council"/>
    <s v="Regeneration"/>
    <s v="Regeneration &amp; Planning Policy"/>
  </r>
  <r>
    <x v="16"/>
    <s v="VFM59"/>
    <s v="Achieve optimum working in economic partnership "/>
    <s v="Consider the outcome of the national LEP review findings and implication on the Washlands LEP monies "/>
    <d v="2019-06-30T00:00:00"/>
    <m/>
    <m/>
    <x v="0"/>
    <m/>
    <m/>
    <m/>
    <m/>
    <s v="Update Not Provided"/>
    <m/>
    <m/>
    <m/>
    <m/>
    <s v="Update Not Provided"/>
    <m/>
    <m/>
    <m/>
    <s v="Update not provided"/>
    <m/>
    <s v="Q1"/>
    <x v="1"/>
    <x v="18"/>
    <s v="Value for Money Council"/>
    <s v="Regeneration"/>
    <s v="Regeneration &amp; Planning Policy"/>
  </r>
  <r>
    <x v="16"/>
    <s v="VFM60"/>
    <s v="Progress the commutation of  s106 sums to deliver key brownfield development opportunities"/>
    <s v="Review progress on working in partnership with Burton Rugby Club (Peelcroft) and Molson Coors (Cross Street) "/>
    <d v="2019-10-31T00:00:00"/>
    <m/>
    <m/>
    <x v="0"/>
    <m/>
    <m/>
    <m/>
    <m/>
    <s v="Update Not Provided"/>
    <m/>
    <m/>
    <m/>
    <m/>
    <s v="Update Not Provided"/>
    <m/>
    <m/>
    <m/>
    <s v="Update not provided"/>
    <m/>
    <s v="Q3"/>
    <x v="1"/>
    <x v="18"/>
    <s v="Value for Money Council"/>
    <s v="Regeneration"/>
    <s v="Regeneration &amp; Planning Policy"/>
  </r>
  <r>
    <x v="17"/>
    <s v="CR01"/>
    <s v="Market Hall Development Initiatives "/>
    <s v="Hold at least 25 commercial events in the Market Hall "/>
    <d v="2020-03-31T00:00:00"/>
    <m/>
    <m/>
    <x v="0"/>
    <m/>
    <m/>
    <m/>
    <m/>
    <s v="Update Not Provided"/>
    <m/>
    <m/>
    <m/>
    <m/>
    <s v="Update Not Provided"/>
    <m/>
    <m/>
    <m/>
    <s v="Update not provided"/>
    <m/>
    <s v="Q4"/>
    <x v="2"/>
    <x v="19"/>
    <s v="Community Regeneration"/>
    <s v="Cultural Services"/>
    <s v="Leisure, Culture &amp; Tourism"/>
  </r>
  <r>
    <x v="17"/>
    <s v="CR02"/>
    <s v="Market Hall Development Initiatives "/>
    <s v="Utilising previous procurement experience and the APSE Benchmarking Membership an Evaluation of future options for the Market offering will be completed "/>
    <d v="2020-03-31T00:00:00"/>
    <m/>
    <m/>
    <x v="0"/>
    <m/>
    <m/>
    <m/>
    <m/>
    <s v="Update Not Provided"/>
    <m/>
    <m/>
    <m/>
    <m/>
    <s v="Update Not Provided"/>
    <m/>
    <m/>
    <m/>
    <s v="Update not provided"/>
    <m/>
    <s v="Q4"/>
    <x v="2"/>
    <x v="19"/>
    <s v="Community Regeneration"/>
    <s v="Cultural Services"/>
    <s v="Leisure, Culture &amp; Tourism"/>
  </r>
  <r>
    <x v="12"/>
    <s v="CR03"/>
    <s v="Major Planning Applications Determined Within 13 Weeks"/>
    <s v="Top Quartile as measured against relevant MHCLG figures"/>
    <m/>
    <m/>
    <m/>
    <x v="0"/>
    <m/>
    <m/>
    <m/>
    <m/>
    <s v="Update Not Provided"/>
    <m/>
    <m/>
    <m/>
    <m/>
    <s v="Update Not Provided"/>
    <m/>
    <m/>
    <m/>
    <s v="Update not provided"/>
    <m/>
    <s v="Qtrly"/>
    <x v="0"/>
    <x v="14"/>
    <s v="Community Regeneration"/>
    <s v="Planning"/>
    <s v="Regeneration &amp; Planning Policy"/>
  </r>
  <r>
    <x v="12"/>
    <s v="CR04"/>
    <s v="Minor Planning Applications Determined Within 8 Weeks"/>
    <s v="Top Quartile as measured against relevant MHCLG figures"/>
    <m/>
    <m/>
    <m/>
    <x v="0"/>
    <m/>
    <m/>
    <m/>
    <m/>
    <s v="Update Not Provided"/>
    <m/>
    <m/>
    <m/>
    <m/>
    <s v="Update Not Provided"/>
    <m/>
    <m/>
    <m/>
    <s v="Update not provided"/>
    <m/>
    <s v="Qtrly"/>
    <x v="0"/>
    <x v="14"/>
    <s v="Community Regeneration"/>
    <s v="Planning"/>
    <s v="Regeneration &amp; Planning Policy"/>
  </r>
  <r>
    <x v="12"/>
    <s v="CR05"/>
    <s v="Other Planning Applications Determined in 8 Weeks"/>
    <s v="Top Quartile as measured against relevant MHCLG figures"/>
    <m/>
    <m/>
    <m/>
    <x v="0"/>
    <m/>
    <m/>
    <m/>
    <m/>
    <s v="Update Not Provided"/>
    <m/>
    <m/>
    <m/>
    <m/>
    <s v="Update Not Provided"/>
    <m/>
    <m/>
    <m/>
    <s v="Update not provided"/>
    <m/>
    <s v="Qtrly"/>
    <x v="0"/>
    <x v="14"/>
    <s v="Community Regeneration"/>
    <s v="Planning"/>
    <s v="Regeneration &amp; Planning Policy"/>
  </r>
  <r>
    <x v="12"/>
    <s v="CR06"/>
    <s v="Improve Planning Guidance"/>
    <s v="Endorse Development Guidance for Station Street Southern Brewery Site"/>
    <d v="2019-12-31T00:00:00"/>
    <m/>
    <m/>
    <x v="0"/>
    <m/>
    <m/>
    <m/>
    <m/>
    <s v="Update Not Provided"/>
    <m/>
    <m/>
    <m/>
    <m/>
    <s v="Update Not Provided"/>
    <m/>
    <m/>
    <m/>
    <s v="Update not provided"/>
    <m/>
    <s v="Q1"/>
    <x v="0"/>
    <x v="14"/>
    <s v="Community Regeneration"/>
    <s v="Planning"/>
    <s v="Regeneration &amp; Planning Policy"/>
  </r>
  <r>
    <x v="12"/>
    <s v="CR07"/>
    <s v="Improve Planning Guidance"/>
    <s v="Revise and adopt Housing Choice SPD"/>
    <d v="2019-12-31T00:00:00"/>
    <m/>
    <m/>
    <x v="0"/>
    <m/>
    <m/>
    <m/>
    <m/>
    <s v="Update Not Provided"/>
    <m/>
    <m/>
    <m/>
    <m/>
    <s v="Update Not Provided"/>
    <m/>
    <m/>
    <m/>
    <s v="Update not provided"/>
    <m/>
    <s v="Q3"/>
    <x v="0"/>
    <x v="14"/>
    <s v="Community Regeneration"/>
    <s v="Planning"/>
    <s v="Regeneration &amp; Planning Policy"/>
  </r>
  <r>
    <x v="12"/>
    <s v="CR08"/>
    <s v="Raise Design Quality within the Borough"/>
    <s v="Adopt Shopfronts Design Guide SPD"/>
    <d v="2019-10-31T00:00:00"/>
    <m/>
    <m/>
    <x v="0"/>
    <m/>
    <m/>
    <m/>
    <m/>
    <s v="Update Not Provided"/>
    <m/>
    <m/>
    <m/>
    <m/>
    <s v="Update Not Provided"/>
    <m/>
    <m/>
    <m/>
    <s v="Update not provided"/>
    <m/>
    <s v="Q3"/>
    <x v="0"/>
    <x v="14"/>
    <s v="Community Regeneration"/>
    <s v="Planning"/>
    <s v="Regeneration &amp; Planning Policy"/>
  </r>
  <r>
    <x v="12"/>
    <s v="CR09"/>
    <s v="Raise Design Quality within the Borough"/>
    <s v="Adopt addendum to ESBC Design Guide SPD"/>
    <d v="2019-10-31T00:00:00"/>
    <m/>
    <m/>
    <x v="0"/>
    <m/>
    <m/>
    <m/>
    <m/>
    <s v="Update Not Provided"/>
    <m/>
    <m/>
    <m/>
    <m/>
    <s v="Update Not Provided"/>
    <m/>
    <m/>
    <m/>
    <s v="Update not provided"/>
    <m/>
    <s v="Q3"/>
    <x v="0"/>
    <x v="14"/>
    <s v="Community Regeneration"/>
    <s v="Planning"/>
    <s v="Regeneration &amp; Planning Policy"/>
  </r>
  <r>
    <x v="12"/>
    <s v="CR10"/>
    <s v="Raise Design Quality within the Borough"/>
    <s v="Brewery Building Conversion Design Guidance SPD"/>
    <d v="2020-03-31T00:00:00"/>
    <m/>
    <m/>
    <x v="0"/>
    <m/>
    <m/>
    <m/>
    <m/>
    <s v="Update Not Provided"/>
    <m/>
    <m/>
    <m/>
    <m/>
    <s v="Update Not Provided"/>
    <m/>
    <m/>
    <m/>
    <s v="Update not provided"/>
    <m/>
    <s v="Q4"/>
    <x v="0"/>
    <x v="14"/>
    <s v="Community Regeneration"/>
    <s v="Planning"/>
    <s v="Regeneration &amp; Planning Policy"/>
  </r>
  <r>
    <x v="12"/>
    <s v="CR11"/>
    <s v="Delivering Improvements to the Washlands"/>
    <s v="Contribute to the ongoing partnership working relating to the Washlands "/>
    <d v="2020-03-31T00:00:00"/>
    <m/>
    <m/>
    <x v="0"/>
    <m/>
    <m/>
    <m/>
    <m/>
    <s v="Update Not Provided"/>
    <m/>
    <m/>
    <m/>
    <m/>
    <s v="Update Not Provided"/>
    <m/>
    <m/>
    <m/>
    <s v="Update not provided"/>
    <m/>
    <s v="Q4"/>
    <x v="0"/>
    <x v="14"/>
    <s v="Community Regeneration"/>
    <s v="Planning"/>
    <s v="Regeneration &amp; Planning Policy"/>
  </r>
  <r>
    <x v="16"/>
    <s v="CR12"/>
    <s v="Improve wayfinding on Worthington Way, High Street  and Washlands area: easy in and out of Burton"/>
    <s v="Establish clearer routes in and out of the town "/>
    <d v="2019-10-31T00:00:00"/>
    <m/>
    <m/>
    <x v="0"/>
    <m/>
    <m/>
    <m/>
    <m/>
    <s v="Update Not Provided"/>
    <m/>
    <m/>
    <m/>
    <m/>
    <s v="Update Not Provided"/>
    <m/>
    <m/>
    <m/>
    <s v="Update not provided"/>
    <m/>
    <s v="Q3"/>
    <x v="1"/>
    <x v="18"/>
    <s v="Community Regeneration"/>
    <s v="Regeneration"/>
    <s v="Regeneration &amp; Planning Policy"/>
  </r>
  <r>
    <x v="16"/>
    <s v="CR13"/>
    <s v="Introduce new public realm civic space"/>
    <s v="Working with new Street traders forum, introduce a food hall concept into the Market Hall "/>
    <d v="2019-12-31T00:00:00"/>
    <m/>
    <m/>
    <x v="0"/>
    <m/>
    <m/>
    <m/>
    <m/>
    <s v="Update Not Provided"/>
    <m/>
    <m/>
    <m/>
    <m/>
    <s v="Update Not Provided"/>
    <m/>
    <m/>
    <m/>
    <s v="Update not provided"/>
    <m/>
    <s v="Q3"/>
    <x v="1"/>
    <x v="18"/>
    <s v="Community Regeneration"/>
    <s v="Regeneration"/>
    <s v="Regeneration &amp; Planning Policy"/>
  </r>
  <r>
    <x v="16"/>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x v="0"/>
    <m/>
    <m/>
    <m/>
    <m/>
    <s v="Update Not Provided"/>
    <m/>
    <m/>
    <m/>
    <m/>
    <s v="Update Not Provided"/>
    <m/>
    <m/>
    <m/>
    <s v="Update not provided"/>
    <m/>
    <s v="Q4"/>
    <x v="1"/>
    <x v="18"/>
    <s v="Community Regeneration"/>
    <s v="Regeneration"/>
    <s v="Regeneration &amp; Planning Policy"/>
  </r>
  <r>
    <x v="16"/>
    <s v="CR15"/>
    <s v="Consider a Business Improvement District (BID) in Burton Town Centre to stimulate private sector investment in the Town Centre"/>
    <s v="Seek a BID ‘memorandum of understanding’ with the Burton Chamber of Commerce and Burton Small Business Federation "/>
    <d v="2019-10-31T00:00:00"/>
    <m/>
    <m/>
    <x v="0"/>
    <m/>
    <m/>
    <m/>
    <m/>
    <s v="Update Not Provided"/>
    <m/>
    <m/>
    <m/>
    <m/>
    <s v="Update Not Provided"/>
    <m/>
    <m/>
    <m/>
    <s v="Update not provided"/>
    <m/>
    <s v="Q3"/>
    <x v="1"/>
    <x v="18"/>
    <s v="Community Regeneration"/>
    <s v="Regeneration"/>
    <s v="Regeneration &amp; Planning Policy"/>
  </r>
  <r>
    <x v="16"/>
    <s v="CR16"/>
    <s v="Promote local employment opportunities"/>
    <s v="Support the delivery of three job fairs "/>
    <d v="2020-03-31T00:00:00"/>
    <m/>
    <m/>
    <x v="0"/>
    <m/>
    <m/>
    <m/>
    <m/>
    <s v="Update Not Provided"/>
    <m/>
    <m/>
    <m/>
    <m/>
    <s v="Update Not Provided"/>
    <m/>
    <m/>
    <m/>
    <s v="Update not provided"/>
    <m/>
    <s v="Q4"/>
    <x v="1"/>
    <x v="18"/>
    <s v="Community Regeneration"/>
    <s v="Regeneration"/>
    <s v="Regeneration &amp; Planning Policy"/>
  </r>
  <r>
    <x v="16"/>
    <s v="CR17"/>
    <s v="Consider business activity and economic performance in East Staffordshire "/>
    <s v="Report on local business activity during 2019 "/>
    <d v="2020-03-31T00:00:00"/>
    <m/>
    <m/>
    <x v="0"/>
    <m/>
    <m/>
    <m/>
    <m/>
    <s v="Update Not Provided"/>
    <m/>
    <m/>
    <m/>
    <m/>
    <s v="Update Not Provided"/>
    <m/>
    <m/>
    <m/>
    <s v="Update not provided"/>
    <m/>
    <s v="Q4"/>
    <x v="1"/>
    <x v="18"/>
    <s v="Community Regeneration"/>
    <s v="Regeneration"/>
    <s v="Regeneration &amp; Planning Policy"/>
  </r>
  <r>
    <x v="18"/>
    <s v="CR18"/>
    <s v="Neighbourhood Fund implementation"/>
    <s v="7 existing projects and 5 new projects brought to completion "/>
    <d v="2020-03-31T00:00:00"/>
    <m/>
    <m/>
    <x v="0"/>
    <m/>
    <m/>
    <m/>
    <m/>
    <s v="Update Not Provided"/>
    <m/>
    <m/>
    <m/>
    <m/>
    <s v="Update Not Provided"/>
    <m/>
    <m/>
    <m/>
    <s v="Update not provided"/>
    <m/>
    <s v="Q4"/>
    <x v="2"/>
    <x v="20"/>
    <s v="Community Regeneration"/>
    <s v="Regeneration"/>
    <s v="Regulatory &amp; Community Support"/>
  </r>
  <r>
    <x v="18"/>
    <s v="CR19"/>
    <s v="Neighbourhood Fund implementation"/>
    <s v="All Neighbourhood Fund projects to be identified with funding allocated "/>
    <d v="2019-09-30T00:00:00"/>
    <m/>
    <m/>
    <x v="0"/>
    <m/>
    <m/>
    <m/>
    <m/>
    <s v="Update Not Provided"/>
    <m/>
    <m/>
    <m/>
    <m/>
    <s v="Update Not Provided"/>
    <m/>
    <m/>
    <m/>
    <s v="Update not provided"/>
    <m/>
    <s v="Q2"/>
    <x v="2"/>
    <x v="20"/>
    <s v="Community Regeneration"/>
    <s v="Regeneration"/>
    <s v="Regulatory &amp; Community Support"/>
  </r>
  <r>
    <x v="18"/>
    <s v="CR20"/>
    <s v="Neighbourhood Fund implementation "/>
    <s v="Review the Neighbourhood Fund project "/>
    <d v="2020-03-31T00:00:00"/>
    <m/>
    <m/>
    <x v="0"/>
    <m/>
    <m/>
    <m/>
    <m/>
    <s v="Update Not Provided"/>
    <m/>
    <m/>
    <m/>
    <m/>
    <s v="Update Not Provided"/>
    <m/>
    <m/>
    <m/>
    <s v="Update not provided"/>
    <m/>
    <s v="Q4"/>
    <x v="2"/>
    <x v="20"/>
    <s v="Community Regeneration"/>
    <s v="Regeneration"/>
    <s v="Regulatory &amp; Community Support"/>
  </r>
  <r>
    <x v="6"/>
    <s v="EHW01"/>
    <s v="Develop a Town Centre planting strategy"/>
    <s v="Develop a Borough wide Planting Strategy "/>
    <d v="2019-10-31T00:00:00"/>
    <m/>
    <m/>
    <x v="0"/>
    <m/>
    <m/>
    <m/>
    <m/>
    <s v="Update Not Provided"/>
    <m/>
    <m/>
    <m/>
    <m/>
    <s v="Update Not Provided"/>
    <m/>
    <m/>
    <m/>
    <s v="Update not provided"/>
    <m/>
    <s v="Q3"/>
    <x v="2"/>
    <x v="7"/>
    <s v="Environment and Health &amp; Wellbeing"/>
    <s v="Cultural Services"/>
    <s v="Leisure, Culture &amp; Tourism"/>
  </r>
  <r>
    <x v="6"/>
    <s v="EHW02"/>
    <s v="In Bloom/Green Flag"/>
    <s v="Deliver a minimum of two Golds at the regional “In Bloom awards” and support Winshill In Bloom at the National RHS Awards    "/>
    <d v="2019-09-30T00:00:00"/>
    <m/>
    <m/>
    <x v="0"/>
    <m/>
    <m/>
    <m/>
    <m/>
    <s v="Update Not Provided"/>
    <m/>
    <m/>
    <m/>
    <m/>
    <s v="Update Not Provided"/>
    <m/>
    <m/>
    <m/>
    <s v="Update not provided"/>
    <m/>
    <s v="Q2"/>
    <x v="2"/>
    <x v="7"/>
    <s v="Environment and Health &amp; Wellbeing"/>
    <s v="Cultural Services"/>
    <s v="Leisure, Culture &amp; Tourism"/>
  </r>
  <r>
    <x v="6"/>
    <s v="EHW03"/>
    <s v="In Bloom/Green Flag"/>
    <s v="Achieve 2 Green Flag Awards at Bramshall Park and Stapenhill Gardens"/>
    <d v="2019-11-30T00:00:00"/>
    <m/>
    <m/>
    <x v="0"/>
    <m/>
    <m/>
    <m/>
    <m/>
    <s v="Update Not Provided"/>
    <m/>
    <m/>
    <m/>
    <m/>
    <s v="Update Not Provided"/>
    <m/>
    <m/>
    <m/>
    <s v="Update not provided"/>
    <m/>
    <s v="Q3"/>
    <x v="2"/>
    <x v="7"/>
    <s v="Environment and Health &amp; Wellbeing"/>
    <s v="Cultural Services"/>
    <s v="Leisure, Culture &amp; Tourism"/>
  </r>
  <r>
    <x v="10"/>
    <s v="EHW04"/>
    <s v="Street Cleansing - Litter"/>
    <s v="Maintain Top Quartile Performance"/>
    <m/>
    <m/>
    <m/>
    <x v="0"/>
    <m/>
    <m/>
    <m/>
    <m/>
    <s v="Update Not Provided"/>
    <m/>
    <m/>
    <m/>
    <m/>
    <s v="Update Not Provided"/>
    <m/>
    <m/>
    <m/>
    <s v="Update not provided"/>
    <m/>
    <s v="Qtrly"/>
    <x v="0"/>
    <x v="11"/>
    <s v="Environment and Health &amp; Wellbeing"/>
    <s v="Environment"/>
    <s v="Environment &amp; Housing"/>
  </r>
  <r>
    <x v="10"/>
    <s v="EHW05"/>
    <s v="Street Cleansing - Detritus"/>
    <s v="Maintain Top Quartile Performance"/>
    <m/>
    <m/>
    <m/>
    <x v="0"/>
    <m/>
    <m/>
    <m/>
    <m/>
    <s v="Update Not Provided"/>
    <m/>
    <m/>
    <m/>
    <m/>
    <s v="Update Not Provided"/>
    <m/>
    <m/>
    <m/>
    <s v="Update not provided"/>
    <m/>
    <s v="Qtrly"/>
    <x v="0"/>
    <x v="11"/>
    <s v="Environment and Health &amp; Wellbeing"/>
    <s v="Environment"/>
    <s v="Environment &amp; Housing"/>
  </r>
  <r>
    <x v="10"/>
    <s v="EHW06"/>
    <s v="Street Cleansing - Graffiti"/>
    <s v="Maintain Top Quartile Performance"/>
    <m/>
    <m/>
    <m/>
    <x v="0"/>
    <m/>
    <m/>
    <m/>
    <m/>
    <s v="Update Not Provided"/>
    <m/>
    <m/>
    <m/>
    <m/>
    <s v="Update Not Provided"/>
    <m/>
    <m/>
    <m/>
    <s v="Update not provided"/>
    <m/>
    <s v="Qtrly"/>
    <x v="0"/>
    <x v="11"/>
    <s v="Environment and Health &amp; Wellbeing"/>
    <s v="Environment"/>
    <s v="Environment &amp; Housing"/>
  </r>
  <r>
    <x v="10"/>
    <s v="EHW07"/>
    <s v="Street Cleansing – Fly-Posting"/>
    <s v="Maintain Top Quartile Performance"/>
    <m/>
    <m/>
    <m/>
    <x v="0"/>
    <m/>
    <m/>
    <m/>
    <m/>
    <s v="Update Not Provided"/>
    <m/>
    <m/>
    <m/>
    <m/>
    <s v="Update Not Provided"/>
    <m/>
    <m/>
    <m/>
    <s v="Update not provided"/>
    <m/>
    <s v="Qtrly"/>
    <x v="0"/>
    <x v="11"/>
    <s v="Environment and Health &amp; Wellbeing"/>
    <s v="Environment"/>
    <s v="Environment &amp; Housing"/>
  </r>
  <r>
    <x v="10"/>
    <s v="EHW08"/>
    <s v="Recycling "/>
    <s v="Household Waste Recycled and Composted:_x000a_Maintain Top Quartile Performance"/>
    <m/>
    <m/>
    <m/>
    <x v="0"/>
    <m/>
    <m/>
    <m/>
    <m/>
    <s v="Update Not Provided"/>
    <m/>
    <m/>
    <m/>
    <m/>
    <s v="Update Not Provided"/>
    <m/>
    <m/>
    <m/>
    <s v="Update not provided"/>
    <m/>
    <s v="Qtrly"/>
    <x v="0"/>
    <x v="11"/>
    <s v="Environment and Health &amp; Wellbeing"/>
    <s v="Environment"/>
    <s v="Environment &amp; Housing"/>
  </r>
  <r>
    <x v="10"/>
    <s v="EHW09"/>
    <s v="Waste Reduction "/>
    <s v="Residual Household Waste Per Household: _x000a_Maintain Top Quartile Performance"/>
    <m/>
    <m/>
    <m/>
    <x v="0"/>
    <m/>
    <m/>
    <m/>
    <m/>
    <s v="Update Not Provided"/>
    <m/>
    <m/>
    <m/>
    <m/>
    <s v="Update Not Provided"/>
    <m/>
    <m/>
    <m/>
    <s v="Update not provided"/>
    <m/>
    <s v="Qtrly"/>
    <x v="0"/>
    <x v="11"/>
    <s v="Environment and Health &amp; Wellbeing"/>
    <s v="Environment"/>
    <s v="Environment &amp; Housing"/>
  </r>
  <r>
    <x v="19"/>
    <s v="EHW10"/>
    <s v="Delivering Better Services to Support Homelessness"/>
    <s v="Average time from appointment to initial decision for homeless applicants of 10 days"/>
    <m/>
    <m/>
    <m/>
    <x v="0"/>
    <m/>
    <m/>
    <m/>
    <m/>
    <s v="Update Not Provided"/>
    <m/>
    <m/>
    <m/>
    <m/>
    <s v="Update Not Provided"/>
    <m/>
    <m/>
    <m/>
    <s v="Update not provided"/>
    <m/>
    <s v="Qtrly"/>
    <x v="0"/>
    <x v="21"/>
    <s v="Environment and Health &amp; Wellbeing"/>
    <s v="Housing &amp; Homelessness"/>
    <s v="Environment &amp; Housing"/>
  </r>
  <r>
    <x v="19"/>
    <s v="EHW11"/>
    <s v="Continue to Maximise Utilisation of Self Contained Temporary Accommodation for Homeless Applicants"/>
    <s v="Reduce ‘Key to Key’ Void Turnaround to an average of 6 working days"/>
    <m/>
    <m/>
    <m/>
    <x v="0"/>
    <m/>
    <m/>
    <m/>
    <m/>
    <s v="Update Not Provided"/>
    <m/>
    <m/>
    <m/>
    <m/>
    <s v="Update Not Provided"/>
    <m/>
    <m/>
    <m/>
    <s v="Update not provided"/>
    <m/>
    <s v="Qtrly"/>
    <x v="0"/>
    <x v="21"/>
    <s v="Environment and Health &amp; Wellbeing"/>
    <s v="Housing &amp; Homelessness"/>
    <s v="Environment &amp; Housing"/>
  </r>
  <r>
    <x v="19"/>
    <s v="EHW12"/>
    <s v="Review options for continuing outreach services to Rough Sleepers"/>
    <s v="Report completed "/>
    <d v="2019-07-31T00:00:00"/>
    <m/>
    <m/>
    <x v="0"/>
    <m/>
    <m/>
    <m/>
    <m/>
    <s v="Update Not Provided"/>
    <m/>
    <m/>
    <m/>
    <m/>
    <s v="Update Not Provided"/>
    <m/>
    <m/>
    <m/>
    <s v="Update not provided"/>
    <m/>
    <s v="Q2"/>
    <x v="0"/>
    <x v="21"/>
    <s v="Environment and Health &amp; Wellbeing"/>
    <s v="Housing &amp; Homelessness"/>
    <s v="Environment &amp; Housing"/>
  </r>
  <r>
    <x v="19"/>
    <s v="EHW13"/>
    <s v="Delivering Better Services to Support Homelessness"/>
    <s v="Launch Campaign to raise awareness of rough sleeping, street living and street begging"/>
    <d v="2019-06-30T00:00:00"/>
    <m/>
    <m/>
    <x v="0"/>
    <m/>
    <m/>
    <m/>
    <m/>
    <s v="Update Not Provided"/>
    <m/>
    <m/>
    <m/>
    <m/>
    <s v="Update Not Provided"/>
    <m/>
    <m/>
    <m/>
    <s v="Update not provided"/>
    <m/>
    <s v="Q1"/>
    <x v="0"/>
    <x v="21"/>
    <s v="Environment and Health &amp; Wellbeing"/>
    <s v="Housing &amp; Homelessness"/>
    <s v="Environment &amp; Housing"/>
  </r>
  <r>
    <x v="19"/>
    <s v="EHW14"/>
    <s v="Produce a Business Plan to tackle selected empty homes"/>
    <s v="Business Plan Produced"/>
    <d v="2019-04-30T00:00:00"/>
    <m/>
    <m/>
    <x v="0"/>
    <m/>
    <m/>
    <m/>
    <m/>
    <s v="Update Not Provided"/>
    <m/>
    <m/>
    <m/>
    <m/>
    <s v="Update Not Provided"/>
    <m/>
    <m/>
    <m/>
    <s v="Update not provided"/>
    <m/>
    <s v="Q1"/>
    <x v="0"/>
    <x v="21"/>
    <s v="Environment and Health &amp; Wellbeing"/>
    <s v="Housing &amp; Homelessness"/>
    <s v="Environment &amp; Housing"/>
  </r>
  <r>
    <x v="13"/>
    <s v="EHW15"/>
    <s v="Deliver Focussed Environmental Health Initiatives"/>
    <s v="Provide a six monthly report on Regulatory Services activity including initiatives covering licensed gambling premises, Civil Enforcement, Scrap metal compliance etc "/>
    <d v="2019-10-31T00:00:00"/>
    <m/>
    <m/>
    <x v="0"/>
    <m/>
    <m/>
    <m/>
    <m/>
    <s v="Update Not Provided"/>
    <m/>
    <m/>
    <m/>
    <m/>
    <s v="Update Not Provided"/>
    <m/>
    <m/>
    <m/>
    <s v="Update not provided"/>
    <m/>
    <s v="Q3"/>
    <x v="2"/>
    <x v="15"/>
    <s v="Environment and Health &amp; Wellbeing"/>
    <s v="Regulatory Services"/>
    <s v="Regulatory &amp; Community Support"/>
  </r>
  <r>
    <x v="14"/>
    <s v="EHW16"/>
    <s v="Deliver Focussed Environmental Health Initiatives"/>
    <s v="Undertake a targeted initiative to identify Unlicensed Houses in Multiple Occupation"/>
    <d v="2020-03-31T00:00:00"/>
    <m/>
    <m/>
    <x v="0"/>
    <m/>
    <m/>
    <m/>
    <m/>
    <s v="Update Not Provided"/>
    <m/>
    <m/>
    <m/>
    <m/>
    <s v="Update Not Provided"/>
    <m/>
    <m/>
    <m/>
    <s v="Update not provided"/>
    <m/>
    <s v="Q4"/>
    <x v="2"/>
    <x v="16"/>
    <s v="Environment and Health &amp; Wellbeing"/>
    <s v="Regulatory Services"/>
    <s v="Regulatory &amp; Community Support"/>
  </r>
  <r>
    <x v="14"/>
    <s v="EHW17"/>
    <s v="Deliver Focussed Environmental Health Initiatives"/>
    <s v="Complete an evaluation of all Licensable Animal Activities and report to DEFRA"/>
    <d v="2020-03-31T00:00:00"/>
    <m/>
    <m/>
    <x v="0"/>
    <m/>
    <m/>
    <m/>
    <m/>
    <s v="Update Not Provided"/>
    <m/>
    <m/>
    <m/>
    <m/>
    <s v="Update Not Provided"/>
    <m/>
    <m/>
    <m/>
    <s v="Update not provided"/>
    <m/>
    <s v="Q4"/>
    <x v="2"/>
    <x v="16"/>
    <s v="Environment and Health &amp; Wellbeing"/>
    <s v="Regulatory Services"/>
    <s v="Regulatory &amp; Community Support"/>
  </r>
  <r>
    <x v="16"/>
    <s v="EHW18"/>
    <s v="Improve active links: easy in and easy out of Burton"/>
    <s v="Working with SCC, audit the existing walking and cycling network and propose the upgrade and improvement of the network to ensure Burton is well connected to and from its town centre "/>
    <d v="2019-12-31T00:00:00"/>
    <m/>
    <m/>
    <x v="0"/>
    <m/>
    <m/>
    <m/>
    <m/>
    <s v="Update Not Provided"/>
    <m/>
    <m/>
    <m/>
    <m/>
    <s v="Update Not Provided"/>
    <m/>
    <m/>
    <m/>
    <s v="Update not provided"/>
    <m/>
    <s v="Q3"/>
    <x v="1"/>
    <x v="18"/>
    <s v="Environment and Health &amp; Wellbeing"/>
    <s v="Regeneration"/>
    <s v="Regeneration &amp; Planning Policy"/>
  </r>
  <r>
    <x v="16"/>
    <s v="EHW19"/>
    <s v="Improve active and green links: easy in and easy out of Burton"/>
    <s v="Begin scoping works for a bus interchange and active travel hubs in the Burton Place area "/>
    <d v="2019-12-31T00:00:00"/>
    <m/>
    <m/>
    <x v="0"/>
    <m/>
    <m/>
    <m/>
    <m/>
    <s v="Update Not Provided"/>
    <m/>
    <m/>
    <m/>
    <m/>
    <s v="Update Not Provided"/>
    <m/>
    <m/>
    <m/>
    <s v="Update not provided"/>
    <m/>
    <s v="Q3"/>
    <x v="1"/>
    <x v="18"/>
    <s v="Environment and Health &amp; Wellbeing"/>
    <s v="Regeneration"/>
    <s v="Regeneration &amp; Planning Policy"/>
  </r>
  <r>
    <x v="16"/>
    <s v="EHW20"/>
    <s v="Upgrade Burton Railway Station in terms of functionality and aesthetics"/>
    <s v="Continue to work with the relevant rail authorities and partners to invest in and improve  the fabric of Burton Railway Station building "/>
    <d v="2020-03-31T00:00:00"/>
    <m/>
    <m/>
    <x v="0"/>
    <m/>
    <m/>
    <m/>
    <m/>
    <s v="Update Not Provided"/>
    <m/>
    <m/>
    <m/>
    <m/>
    <s v="Update Not Provided"/>
    <m/>
    <m/>
    <m/>
    <s v="Update not provided"/>
    <m/>
    <s v="Q4"/>
    <x v="1"/>
    <x v="18"/>
    <s v="Environment and Health &amp; Wellbeing"/>
    <s v="Regeneration"/>
    <s v="Regeneration &amp; Planning Policy"/>
  </r>
  <r>
    <x v="16"/>
    <s v="EHW21"/>
    <s v="Upgrade Burton Railway Station in terms of functionality and aesthetics"/>
    <s v="Work with partners to lobby for the opening of the Burton to Lichfield and Ivanhoe rail links "/>
    <d v="2020-03-31T00:00:00"/>
    <m/>
    <m/>
    <x v="0"/>
    <m/>
    <m/>
    <m/>
    <m/>
    <s v="Update Not Provided"/>
    <m/>
    <m/>
    <m/>
    <m/>
    <s v="Update Not Provided"/>
    <m/>
    <m/>
    <m/>
    <s v="Update not provided"/>
    <m/>
    <s v="Q4"/>
    <x v="1"/>
    <x v="18"/>
    <s v="Environment and Health &amp; Wellbeing"/>
    <s v="Regeneration"/>
    <s v="Regeneration &amp; Planning Policy"/>
  </r>
  <r>
    <x v="6"/>
    <s v="EHW22"/>
    <s v="Achieve optimum working in economic partnership"/>
    <s v="Continue to work with strategic tourism partners to facilitate the promotion of tourism "/>
    <d v="2020-03-31T00:00:00"/>
    <m/>
    <m/>
    <x v="0"/>
    <m/>
    <m/>
    <m/>
    <m/>
    <s v="Update Not Provided"/>
    <m/>
    <m/>
    <m/>
    <m/>
    <s v="Update Not Provided"/>
    <m/>
    <m/>
    <m/>
    <s v="Update not provided"/>
    <m/>
    <s v="Q4"/>
    <x v="2"/>
    <x v="7"/>
    <s v="Environment and Health &amp; Wellbeing"/>
    <s v="Regeneration"/>
    <s v="Leisure, Culture &amp; Tourism"/>
  </r>
  <r>
    <x v="16"/>
    <s v="EHW23"/>
    <s v="Achieve optimum working in economic partnership"/>
    <s v="Support partners such as the National Forest and Transforming The Trent Valley in delivering environmental enhancement projects, such as the Brook Hollows project "/>
    <d v="2020-03-31T00:00:00"/>
    <m/>
    <m/>
    <x v="0"/>
    <m/>
    <m/>
    <m/>
    <m/>
    <s v="Update Not Provided"/>
    <m/>
    <m/>
    <m/>
    <m/>
    <s v="Update Not Provided"/>
    <m/>
    <m/>
    <m/>
    <s v="Update not provided"/>
    <m/>
    <s v="Q4"/>
    <x v="1"/>
    <x v="18"/>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B43" firstHeaderRow="1" firstDataRow="1" firstDataCol="1"/>
  <pivotFields count="29">
    <pivotField axis="axisRow" showAll="0">
      <items count="21">
        <item x="4"/>
        <item x="12"/>
        <item x="19"/>
        <item x="17"/>
        <item x="8"/>
        <item x="2"/>
        <item x="1"/>
        <item x="5"/>
        <item x="3"/>
        <item x="0"/>
        <item x="13"/>
        <item x="6"/>
        <item x="15"/>
        <item x="9"/>
        <item x="10"/>
        <item x="7"/>
        <item x="14"/>
        <item x="18"/>
        <item x="11"/>
        <item x="16"/>
        <item t="default"/>
      </items>
    </pivotField>
    <pivotField showAll="0"/>
    <pivotField showAll="0"/>
    <pivotField showAll="0"/>
    <pivotField showAll="0"/>
    <pivotField showAll="0"/>
    <pivotField showAll="0"/>
    <pivotField axis="axisRow" dataField="1" showAll="0">
      <items count="2">
        <item x="0"/>
        <item t="default"/>
      </items>
    </pivotField>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items count="4">
        <item x="1"/>
        <item x="2"/>
        <item x="0"/>
        <item t="default"/>
      </items>
    </pivotField>
    <pivotField showAll="0">
      <items count="24">
        <item x="5"/>
        <item x="9"/>
        <item x="12"/>
        <item x="7"/>
        <item x="17"/>
        <item m="1" x="22"/>
        <item x="2"/>
        <item x="3"/>
        <item x="18"/>
        <item x="11"/>
        <item x="16"/>
        <item x="0"/>
        <item x="8"/>
        <item x="21"/>
        <item x="4"/>
        <item x="1"/>
        <item x="6"/>
        <item x="15"/>
        <item x="10"/>
        <item x="19"/>
        <item x="20"/>
        <item x="14"/>
        <item x="13"/>
        <item t="default"/>
      </items>
    </pivotField>
    <pivotField showAll="0"/>
    <pivotField showAll="0"/>
    <pivotField showAll="0"/>
  </pivotFields>
  <rowFields count="2">
    <field x="0"/>
    <field x="7"/>
  </rowFields>
  <rowItems count="41">
    <i>
      <x/>
    </i>
    <i r="1">
      <x/>
    </i>
    <i>
      <x v="1"/>
    </i>
    <i r="1">
      <x/>
    </i>
    <i>
      <x v="2"/>
    </i>
    <i r="1">
      <x/>
    </i>
    <i>
      <x v="3"/>
    </i>
    <i r="1">
      <x/>
    </i>
    <i>
      <x v="4"/>
    </i>
    <i r="1">
      <x/>
    </i>
    <i>
      <x v="5"/>
    </i>
    <i r="1">
      <x/>
    </i>
    <i>
      <x v="6"/>
    </i>
    <i r="1">
      <x/>
    </i>
    <i>
      <x v="7"/>
    </i>
    <i r="1">
      <x/>
    </i>
    <i>
      <x v="8"/>
    </i>
    <i r="1">
      <x/>
    </i>
    <i>
      <x v="9"/>
    </i>
    <i r="1">
      <x/>
    </i>
    <i>
      <x v="10"/>
    </i>
    <i r="1">
      <x/>
    </i>
    <i>
      <x v="11"/>
    </i>
    <i r="1">
      <x/>
    </i>
    <i>
      <x v="12"/>
    </i>
    <i r="1">
      <x/>
    </i>
    <i>
      <x v="13"/>
    </i>
    <i r="1">
      <x/>
    </i>
    <i>
      <x v="14"/>
    </i>
    <i r="1">
      <x/>
    </i>
    <i>
      <x v="15"/>
    </i>
    <i r="1">
      <x/>
    </i>
    <i>
      <x v="16"/>
    </i>
    <i r="1">
      <x/>
    </i>
    <i>
      <x v="17"/>
    </i>
    <i r="1">
      <x/>
    </i>
    <i>
      <x v="18"/>
    </i>
    <i r="1">
      <x/>
    </i>
    <i>
      <x v="19"/>
    </i>
    <i r="1">
      <x/>
    </i>
    <i t="grand">
      <x/>
    </i>
  </rowItems>
  <colItems count="1">
    <i/>
  </colItems>
  <dataFields count="1">
    <dataField name="Count of Quarter 1 On Track? (R/A/G)"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15" sqref="E15"/>
    </sheetView>
  </sheetViews>
  <sheetFormatPr defaultRowHeight="15"/>
  <cols>
    <col min="1" max="16384" width="9.140625" style="261"/>
  </cols>
  <sheetData>
    <row r="1" spans="1:7">
      <c r="A1" s="261" t="s">
        <v>466</v>
      </c>
    </row>
    <row r="2" spans="1:7">
      <c r="A2" s="264" t="s">
        <v>451</v>
      </c>
      <c r="B2" s="263"/>
      <c r="C2" s="263"/>
      <c r="D2" s="263"/>
      <c r="E2" s="263"/>
      <c r="F2" s="263"/>
      <c r="G2" s="263"/>
    </row>
    <row r="4" spans="1:7">
      <c r="A4" s="265" t="s">
        <v>452</v>
      </c>
    </row>
    <row r="6" spans="1:7">
      <c r="A6" s="262" t="s">
        <v>460</v>
      </c>
    </row>
    <row r="7" spans="1:7">
      <c r="B7" s="265" t="s">
        <v>459</v>
      </c>
    </row>
    <row r="8" spans="1:7">
      <c r="B8" s="261" t="s">
        <v>461</v>
      </c>
    </row>
    <row r="9" spans="1:7">
      <c r="B9" s="261" t="s">
        <v>462</v>
      </c>
    </row>
    <row r="10" spans="1:7">
      <c r="B10" s="261" t="s">
        <v>463</v>
      </c>
    </row>
    <row r="12" spans="1:7">
      <c r="A12" s="262" t="s">
        <v>464</v>
      </c>
    </row>
    <row r="13" spans="1:7">
      <c r="B13" s="265" t="s">
        <v>454</v>
      </c>
    </row>
    <row r="14" spans="1:7">
      <c r="B14" s="265" t="s">
        <v>456</v>
      </c>
    </row>
    <row r="16" spans="1:7">
      <c r="A16" s="262" t="s">
        <v>465</v>
      </c>
    </row>
    <row r="17" spans="1:2">
      <c r="B17" s="265" t="s">
        <v>455</v>
      </c>
    </row>
    <row r="18" spans="1:2">
      <c r="B18" s="265" t="s">
        <v>457</v>
      </c>
    </row>
    <row r="20" spans="1:2">
      <c r="A20" s="265" t="s">
        <v>458</v>
      </c>
    </row>
    <row r="22" spans="1:2">
      <c r="A22" s="265" t="s">
        <v>453</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1"/>
  <sheetViews>
    <sheetView tabSelected="1" zoomScale="70" zoomScaleNormal="70" workbookViewId="0">
      <pane xSplit="5" ySplit="2" topLeftCell="F27" activePane="bottomRight" state="frozen"/>
      <selection pane="topRight" activeCell="F1" sqref="F1"/>
      <selection pane="bottomLeft" activeCell="A3" sqref="A3"/>
      <selection pane="bottomRight" activeCell="I98" sqref="I98"/>
    </sheetView>
  </sheetViews>
  <sheetFormatPr defaultRowHeight="15.75"/>
  <cols>
    <col min="1" max="1" width="20.42578125" style="273" customWidth="1"/>
    <col min="2" max="2" width="14.85546875" style="274" customWidth="1"/>
    <col min="3" max="3" width="49.5703125" style="275" customWidth="1"/>
    <col min="4" max="4" width="50" style="275" customWidth="1"/>
    <col min="5" max="5" width="10.28515625" style="274" bestFit="1" customWidth="1"/>
    <col min="6" max="6" width="45.85546875" style="331" customWidth="1"/>
    <col min="7" max="8" width="18.5703125" style="331" customWidth="1"/>
    <col min="9" max="9" width="32.28515625" style="331" customWidth="1"/>
    <col min="10" max="10" width="37.140625" style="331" hidden="1" customWidth="1"/>
    <col min="11" max="12" width="18.42578125" style="331" hidden="1" customWidth="1"/>
    <col min="13" max="13" width="18.5703125" style="331" hidden="1" customWidth="1"/>
    <col min="14" max="14" width="32.28515625" style="331" hidden="1" customWidth="1"/>
    <col min="15" max="15" width="37.140625" style="331" hidden="1" customWidth="1"/>
    <col min="16" max="16" width="18.42578125" style="331" hidden="1" customWidth="1"/>
    <col min="17" max="18" width="18.5703125" style="331" hidden="1" customWidth="1"/>
    <col min="19" max="19" width="32.28515625" style="331" hidden="1" customWidth="1"/>
    <col min="20" max="20" width="37.140625" style="331" hidden="1" customWidth="1"/>
    <col min="21" max="22" width="18.5703125" style="331" hidden="1" customWidth="1"/>
    <col min="23" max="23" width="32.28515625" style="331" hidden="1" customWidth="1"/>
    <col min="24" max="24" width="9.140625" style="274"/>
    <col min="25" max="25" width="19.7109375" style="275" customWidth="1"/>
    <col min="26" max="27" width="20.42578125" style="273" customWidth="1"/>
    <col min="28" max="28" width="19.7109375" style="275" hidden="1" customWidth="1"/>
    <col min="29" max="29" width="19.7109375" style="275" customWidth="1"/>
    <col min="30" max="30" width="9.140625" style="278"/>
    <col min="31" max="16384" width="9.140625" style="279"/>
  </cols>
  <sheetData>
    <row r="1" spans="1:30" ht="27.75" customHeight="1">
      <c r="E1" s="276"/>
      <c r="F1" s="343" t="s">
        <v>357</v>
      </c>
      <c r="G1" s="343"/>
      <c r="H1" s="343"/>
      <c r="I1" s="343"/>
      <c r="J1" s="343" t="s">
        <v>367</v>
      </c>
      <c r="K1" s="343"/>
      <c r="L1" s="343"/>
      <c r="M1" s="343"/>
      <c r="N1" s="343"/>
      <c r="O1" s="343" t="s">
        <v>366</v>
      </c>
      <c r="P1" s="343"/>
      <c r="Q1" s="343"/>
      <c r="R1" s="343"/>
      <c r="S1" s="343"/>
      <c r="T1" s="343" t="s">
        <v>363</v>
      </c>
      <c r="U1" s="343"/>
      <c r="V1" s="343"/>
      <c r="W1" s="343"/>
      <c r="X1" s="277"/>
    </row>
    <row r="2" spans="1:30" s="287" customFormat="1" ht="103.5" customHeight="1">
      <c r="A2" s="280" t="s">
        <v>291</v>
      </c>
      <c r="B2" s="281" t="s">
        <v>338</v>
      </c>
      <c r="C2" s="282" t="s">
        <v>0</v>
      </c>
      <c r="D2" s="282" t="s">
        <v>1</v>
      </c>
      <c r="E2" s="283" t="s">
        <v>333</v>
      </c>
      <c r="F2" s="284" t="s">
        <v>337</v>
      </c>
      <c r="G2" s="284" t="s">
        <v>334</v>
      </c>
      <c r="H2" s="284" t="s">
        <v>335</v>
      </c>
      <c r="I2" s="284" t="s">
        <v>336</v>
      </c>
      <c r="J2" s="284" t="s">
        <v>358</v>
      </c>
      <c r="K2" s="284" t="s">
        <v>476</v>
      </c>
      <c r="L2" s="284" t="s">
        <v>354</v>
      </c>
      <c r="M2" s="284" t="s">
        <v>355</v>
      </c>
      <c r="N2" s="284" t="s">
        <v>356</v>
      </c>
      <c r="O2" s="284" t="s">
        <v>359</v>
      </c>
      <c r="P2" s="284" t="s">
        <v>477</v>
      </c>
      <c r="Q2" s="284" t="s">
        <v>360</v>
      </c>
      <c r="R2" s="284" t="s">
        <v>361</v>
      </c>
      <c r="S2" s="284" t="s">
        <v>362</v>
      </c>
      <c r="T2" s="284" t="s">
        <v>364</v>
      </c>
      <c r="U2" s="284" t="s">
        <v>478</v>
      </c>
      <c r="V2" s="284" t="s">
        <v>479</v>
      </c>
      <c r="W2" s="284" t="s">
        <v>365</v>
      </c>
      <c r="X2" s="285" t="s">
        <v>282</v>
      </c>
      <c r="Y2" s="280" t="s">
        <v>274</v>
      </c>
      <c r="Z2" s="280" t="s">
        <v>290</v>
      </c>
      <c r="AA2" s="280" t="s">
        <v>278</v>
      </c>
      <c r="AB2" s="280" t="s">
        <v>368</v>
      </c>
      <c r="AC2" s="280" t="s">
        <v>266</v>
      </c>
      <c r="AD2" s="286" t="s">
        <v>324</v>
      </c>
    </row>
    <row r="3" spans="1:30" ht="99.95" customHeight="1">
      <c r="A3" s="288" t="s">
        <v>297</v>
      </c>
      <c r="B3" s="289" t="s">
        <v>2</v>
      </c>
      <c r="C3" s="290" t="s">
        <v>3</v>
      </c>
      <c r="D3" s="291" t="s">
        <v>4</v>
      </c>
      <c r="E3" s="292">
        <v>43890</v>
      </c>
      <c r="F3" s="7" t="s">
        <v>586</v>
      </c>
      <c r="G3" s="7"/>
      <c r="H3" s="8" t="s">
        <v>349</v>
      </c>
      <c r="I3" s="269"/>
      <c r="J3" s="296"/>
      <c r="K3" s="296"/>
      <c r="L3" s="293"/>
      <c r="M3" s="294" t="s">
        <v>352</v>
      </c>
      <c r="N3" s="295"/>
      <c r="O3" s="296"/>
      <c r="P3" s="296"/>
      <c r="Q3" s="293"/>
      <c r="R3" s="294" t="s">
        <v>352</v>
      </c>
      <c r="S3" s="295"/>
      <c r="T3" s="296"/>
      <c r="U3" s="293"/>
      <c r="V3" s="294" t="s">
        <v>339</v>
      </c>
      <c r="W3" s="295"/>
      <c r="X3" s="297" t="s">
        <v>283</v>
      </c>
      <c r="Y3" s="288" t="s">
        <v>275</v>
      </c>
      <c r="Z3" s="288" t="s">
        <v>292</v>
      </c>
      <c r="AA3" s="288" t="s">
        <v>281</v>
      </c>
      <c r="AB3" s="288" t="s">
        <v>267</v>
      </c>
      <c r="AC3" s="288" t="s">
        <v>374</v>
      </c>
      <c r="AD3" s="298">
        <v>1</v>
      </c>
    </row>
    <row r="4" spans="1:30" ht="99.95" customHeight="1">
      <c r="A4" s="288" t="s">
        <v>297</v>
      </c>
      <c r="B4" s="289" t="s">
        <v>5</v>
      </c>
      <c r="C4" s="290" t="s">
        <v>6</v>
      </c>
      <c r="D4" s="291" t="s">
        <v>7</v>
      </c>
      <c r="E4" s="292">
        <v>43921</v>
      </c>
      <c r="F4" s="7" t="s">
        <v>522</v>
      </c>
      <c r="G4" s="7"/>
      <c r="H4" s="8" t="s">
        <v>353</v>
      </c>
      <c r="I4" s="269"/>
      <c r="J4" s="296"/>
      <c r="K4" s="296"/>
      <c r="L4" s="293"/>
      <c r="M4" s="294" t="s">
        <v>352</v>
      </c>
      <c r="N4" s="295"/>
      <c r="O4" s="296"/>
      <c r="P4" s="296"/>
      <c r="Q4" s="293"/>
      <c r="R4" s="294" t="s">
        <v>352</v>
      </c>
      <c r="S4" s="295"/>
      <c r="T4" s="296"/>
      <c r="U4" s="293"/>
      <c r="V4" s="294" t="s">
        <v>339</v>
      </c>
      <c r="W4" s="295"/>
      <c r="X4" s="297" t="s">
        <v>283</v>
      </c>
      <c r="Y4" s="288" t="s">
        <v>275</v>
      </c>
      <c r="Z4" s="288" t="s">
        <v>292</v>
      </c>
      <c r="AA4" s="288" t="s">
        <v>281</v>
      </c>
      <c r="AB4" s="288" t="s">
        <v>267</v>
      </c>
      <c r="AC4" s="288" t="s">
        <v>374</v>
      </c>
      <c r="AD4" s="298">
        <v>2</v>
      </c>
    </row>
    <row r="5" spans="1:30" ht="99.95" customHeight="1">
      <c r="A5" s="288" t="s">
        <v>297</v>
      </c>
      <c r="B5" s="289" t="s">
        <v>8</v>
      </c>
      <c r="C5" s="290" t="s">
        <v>9</v>
      </c>
      <c r="D5" s="299" t="s">
        <v>10</v>
      </c>
      <c r="E5" s="300">
        <v>43677</v>
      </c>
      <c r="F5" s="9" t="s">
        <v>523</v>
      </c>
      <c r="G5" s="9"/>
      <c r="H5" s="10" t="s">
        <v>349</v>
      </c>
      <c r="I5" s="270"/>
      <c r="J5" s="304"/>
      <c r="K5" s="304"/>
      <c r="L5" s="301"/>
      <c r="M5" s="302" t="s">
        <v>352</v>
      </c>
      <c r="N5" s="303"/>
      <c r="O5" s="304"/>
      <c r="P5" s="304"/>
      <c r="Q5" s="301"/>
      <c r="R5" s="302" t="s">
        <v>352</v>
      </c>
      <c r="S5" s="303"/>
      <c r="T5" s="304"/>
      <c r="U5" s="301"/>
      <c r="V5" s="294" t="s">
        <v>339</v>
      </c>
      <c r="W5" s="303"/>
      <c r="X5" s="305" t="s">
        <v>285</v>
      </c>
      <c r="Y5" s="288" t="s">
        <v>275</v>
      </c>
      <c r="Z5" s="288" t="s">
        <v>292</v>
      </c>
      <c r="AA5" s="288" t="s">
        <v>281</v>
      </c>
      <c r="AB5" s="288" t="s">
        <v>267</v>
      </c>
      <c r="AC5" s="288" t="s">
        <v>374</v>
      </c>
      <c r="AD5" s="298">
        <v>3</v>
      </c>
    </row>
    <row r="6" spans="1:30" ht="99.95" customHeight="1">
      <c r="A6" s="288" t="s">
        <v>297</v>
      </c>
      <c r="B6" s="289" t="s">
        <v>11</v>
      </c>
      <c r="C6" s="306" t="s">
        <v>12</v>
      </c>
      <c r="D6" s="291" t="s">
        <v>13</v>
      </c>
      <c r="E6" s="292">
        <v>43921</v>
      </c>
      <c r="F6" s="7" t="s">
        <v>524</v>
      </c>
      <c r="G6" s="7"/>
      <c r="H6" s="8" t="s">
        <v>349</v>
      </c>
      <c r="I6" s="269"/>
      <c r="J6" s="296"/>
      <c r="K6" s="296"/>
      <c r="L6" s="293"/>
      <c r="M6" s="294" t="s">
        <v>352</v>
      </c>
      <c r="N6" s="295"/>
      <c r="O6" s="296"/>
      <c r="P6" s="296"/>
      <c r="Q6" s="293"/>
      <c r="R6" s="294" t="s">
        <v>352</v>
      </c>
      <c r="S6" s="295"/>
      <c r="T6" s="296"/>
      <c r="U6" s="293"/>
      <c r="V6" s="294" t="s">
        <v>339</v>
      </c>
      <c r="W6" s="295"/>
      <c r="X6" s="305" t="s">
        <v>283</v>
      </c>
      <c r="Y6" s="288" t="s">
        <v>275</v>
      </c>
      <c r="Z6" s="288" t="s">
        <v>292</v>
      </c>
      <c r="AA6" s="288" t="s">
        <v>281</v>
      </c>
      <c r="AB6" s="288" t="s">
        <v>267</v>
      </c>
      <c r="AC6" s="288" t="s">
        <v>374</v>
      </c>
      <c r="AD6" s="298">
        <v>4</v>
      </c>
    </row>
    <row r="7" spans="1:30" ht="99.95" customHeight="1">
      <c r="A7" s="288" t="s">
        <v>297</v>
      </c>
      <c r="B7" s="289" t="s">
        <v>14</v>
      </c>
      <c r="C7" s="290" t="s">
        <v>15</v>
      </c>
      <c r="D7" s="299" t="s">
        <v>16</v>
      </c>
      <c r="E7" s="292">
        <v>43921</v>
      </c>
      <c r="F7" s="9" t="s">
        <v>547</v>
      </c>
      <c r="G7" s="9"/>
      <c r="H7" s="10" t="s">
        <v>349</v>
      </c>
      <c r="I7" s="270"/>
      <c r="J7" s="304"/>
      <c r="K7" s="304"/>
      <c r="L7" s="301"/>
      <c r="M7" s="302" t="s">
        <v>352</v>
      </c>
      <c r="N7" s="303"/>
      <c r="O7" s="304"/>
      <c r="P7" s="304"/>
      <c r="Q7" s="301"/>
      <c r="R7" s="302" t="s">
        <v>352</v>
      </c>
      <c r="S7" s="303"/>
      <c r="T7" s="304"/>
      <c r="U7" s="301"/>
      <c r="V7" s="294" t="s">
        <v>339</v>
      </c>
      <c r="W7" s="303"/>
      <c r="X7" s="305" t="s">
        <v>283</v>
      </c>
      <c r="Y7" s="288" t="s">
        <v>275</v>
      </c>
      <c r="Z7" s="288" t="s">
        <v>292</v>
      </c>
      <c r="AA7" s="288" t="s">
        <v>281</v>
      </c>
      <c r="AB7" s="288" t="s">
        <v>267</v>
      </c>
      <c r="AC7" s="288" t="s">
        <v>374</v>
      </c>
      <c r="AD7" s="298">
        <v>5</v>
      </c>
    </row>
    <row r="8" spans="1:30" ht="99.95" customHeight="1">
      <c r="A8" s="288" t="s">
        <v>297</v>
      </c>
      <c r="B8" s="289" t="s">
        <v>17</v>
      </c>
      <c r="C8" s="290" t="s">
        <v>18</v>
      </c>
      <c r="D8" s="299" t="s">
        <v>19</v>
      </c>
      <c r="E8" s="292">
        <v>43921</v>
      </c>
      <c r="F8" s="9"/>
      <c r="G8" s="9"/>
      <c r="H8" s="10" t="s">
        <v>353</v>
      </c>
      <c r="I8" s="270"/>
      <c r="J8" s="304"/>
      <c r="K8" s="304"/>
      <c r="L8" s="301"/>
      <c r="M8" s="302" t="s">
        <v>352</v>
      </c>
      <c r="N8" s="303"/>
      <c r="O8" s="304"/>
      <c r="P8" s="304"/>
      <c r="Q8" s="301"/>
      <c r="R8" s="302" t="s">
        <v>352</v>
      </c>
      <c r="S8" s="303"/>
      <c r="T8" s="304"/>
      <c r="U8" s="301"/>
      <c r="V8" s="294" t="s">
        <v>339</v>
      </c>
      <c r="W8" s="303"/>
      <c r="X8" s="305" t="s">
        <v>283</v>
      </c>
      <c r="Y8" s="288" t="s">
        <v>275</v>
      </c>
      <c r="Z8" s="288" t="s">
        <v>292</v>
      </c>
      <c r="AA8" s="288" t="s">
        <v>281</v>
      </c>
      <c r="AB8" s="288" t="s">
        <v>267</v>
      </c>
      <c r="AC8" s="288" t="s">
        <v>374</v>
      </c>
      <c r="AD8" s="298">
        <v>6</v>
      </c>
    </row>
    <row r="9" spans="1:30" ht="99.95" customHeight="1">
      <c r="A9" s="288" t="s">
        <v>512</v>
      </c>
      <c r="B9" s="289" t="s">
        <v>20</v>
      </c>
      <c r="C9" s="290" t="s">
        <v>21</v>
      </c>
      <c r="D9" s="299" t="s">
        <v>22</v>
      </c>
      <c r="E9" s="300">
        <v>43830</v>
      </c>
      <c r="F9" s="9" t="s">
        <v>546</v>
      </c>
      <c r="G9" s="9"/>
      <c r="H9" s="10" t="s">
        <v>349</v>
      </c>
      <c r="I9" s="270"/>
      <c r="J9" s="304"/>
      <c r="K9" s="304"/>
      <c r="L9" s="301"/>
      <c r="M9" s="302" t="s">
        <v>352</v>
      </c>
      <c r="N9" s="303"/>
      <c r="O9" s="304"/>
      <c r="P9" s="304"/>
      <c r="Q9" s="301"/>
      <c r="R9" s="302" t="s">
        <v>352</v>
      </c>
      <c r="S9" s="303"/>
      <c r="T9" s="304"/>
      <c r="U9" s="301"/>
      <c r="V9" s="294" t="s">
        <v>339</v>
      </c>
      <c r="W9" s="303"/>
      <c r="X9" s="305" t="s">
        <v>286</v>
      </c>
      <c r="Y9" s="288" t="s">
        <v>275</v>
      </c>
      <c r="Z9" s="288" t="s">
        <v>294</v>
      </c>
      <c r="AA9" s="288" t="s">
        <v>281</v>
      </c>
      <c r="AB9" s="288" t="s">
        <v>267</v>
      </c>
      <c r="AC9" s="288" t="s">
        <v>374</v>
      </c>
      <c r="AD9" s="298">
        <v>7</v>
      </c>
    </row>
    <row r="10" spans="1:30" ht="134.25" customHeight="1">
      <c r="A10" s="288" t="s">
        <v>295</v>
      </c>
      <c r="B10" s="289" t="s">
        <v>23</v>
      </c>
      <c r="C10" s="290" t="s">
        <v>21</v>
      </c>
      <c r="D10" s="299" t="s">
        <v>24</v>
      </c>
      <c r="E10" s="300">
        <v>43738</v>
      </c>
      <c r="F10" s="9" t="s">
        <v>548</v>
      </c>
      <c r="G10" s="9"/>
      <c r="H10" s="10" t="s">
        <v>349</v>
      </c>
      <c r="I10" s="270"/>
      <c r="J10" s="304"/>
      <c r="K10" s="304"/>
      <c r="L10" s="301"/>
      <c r="M10" s="302" t="s">
        <v>352</v>
      </c>
      <c r="N10" s="303"/>
      <c r="O10" s="304"/>
      <c r="P10" s="304"/>
      <c r="Q10" s="301"/>
      <c r="R10" s="302" t="s">
        <v>352</v>
      </c>
      <c r="S10" s="303"/>
      <c r="T10" s="304"/>
      <c r="U10" s="301"/>
      <c r="V10" s="294" t="s">
        <v>339</v>
      </c>
      <c r="W10" s="303"/>
      <c r="X10" s="305" t="s">
        <v>285</v>
      </c>
      <c r="Y10" s="288" t="s">
        <v>275</v>
      </c>
      <c r="Z10" s="288" t="s">
        <v>294</v>
      </c>
      <c r="AA10" s="288" t="s">
        <v>281</v>
      </c>
      <c r="AB10" s="288" t="s">
        <v>267</v>
      </c>
      <c r="AC10" s="288" t="s">
        <v>374</v>
      </c>
      <c r="AD10" s="298">
        <v>8</v>
      </c>
    </row>
    <row r="11" spans="1:30" ht="99.95" customHeight="1">
      <c r="A11" s="288" t="s">
        <v>512</v>
      </c>
      <c r="B11" s="289" t="s">
        <v>25</v>
      </c>
      <c r="C11" s="290" t="s">
        <v>21</v>
      </c>
      <c r="D11" s="299" t="s">
        <v>26</v>
      </c>
      <c r="E11" s="292">
        <v>43921</v>
      </c>
      <c r="F11" s="9"/>
      <c r="G11" s="9"/>
      <c r="H11" s="10" t="s">
        <v>353</v>
      </c>
      <c r="I11" s="270"/>
      <c r="J11" s="304"/>
      <c r="K11" s="304"/>
      <c r="L11" s="301"/>
      <c r="M11" s="302" t="s">
        <v>352</v>
      </c>
      <c r="N11" s="303"/>
      <c r="O11" s="304"/>
      <c r="P11" s="304"/>
      <c r="Q11" s="301"/>
      <c r="R11" s="302" t="s">
        <v>352</v>
      </c>
      <c r="S11" s="303"/>
      <c r="T11" s="304"/>
      <c r="U11" s="301"/>
      <c r="V11" s="294" t="s">
        <v>339</v>
      </c>
      <c r="W11" s="303"/>
      <c r="X11" s="305" t="s">
        <v>283</v>
      </c>
      <c r="Y11" s="288" t="s">
        <v>275</v>
      </c>
      <c r="Z11" s="288" t="s">
        <v>294</v>
      </c>
      <c r="AA11" s="288" t="s">
        <v>281</v>
      </c>
      <c r="AB11" s="288" t="s">
        <v>267</v>
      </c>
      <c r="AC11" s="288" t="s">
        <v>374</v>
      </c>
      <c r="AD11" s="298">
        <v>9</v>
      </c>
    </row>
    <row r="12" spans="1:30" ht="99.95" customHeight="1">
      <c r="A12" s="288" t="s">
        <v>296</v>
      </c>
      <c r="B12" s="289" t="s">
        <v>27</v>
      </c>
      <c r="C12" s="290" t="s">
        <v>28</v>
      </c>
      <c r="D12" s="299" t="s">
        <v>29</v>
      </c>
      <c r="E12" s="292">
        <v>43921</v>
      </c>
      <c r="F12" s="9" t="s">
        <v>504</v>
      </c>
      <c r="G12" s="9"/>
      <c r="H12" s="10" t="s">
        <v>349</v>
      </c>
      <c r="I12" s="270"/>
      <c r="J12" s="304"/>
      <c r="K12" s="304"/>
      <c r="L12" s="301"/>
      <c r="M12" s="302" t="s">
        <v>352</v>
      </c>
      <c r="N12" s="303"/>
      <c r="O12" s="304"/>
      <c r="P12" s="304"/>
      <c r="Q12" s="301"/>
      <c r="R12" s="302" t="s">
        <v>352</v>
      </c>
      <c r="S12" s="303"/>
      <c r="T12" s="304"/>
      <c r="U12" s="301"/>
      <c r="V12" s="294" t="s">
        <v>339</v>
      </c>
      <c r="W12" s="303"/>
      <c r="X12" s="305" t="s">
        <v>283</v>
      </c>
      <c r="Y12" s="288" t="s">
        <v>275</v>
      </c>
      <c r="Z12" s="288" t="s">
        <v>293</v>
      </c>
      <c r="AA12" s="288" t="s">
        <v>281</v>
      </c>
      <c r="AB12" s="288" t="s">
        <v>267</v>
      </c>
      <c r="AC12" s="288" t="s">
        <v>374</v>
      </c>
      <c r="AD12" s="298">
        <v>10</v>
      </c>
    </row>
    <row r="13" spans="1:30" ht="99.95" customHeight="1">
      <c r="A13" s="288" t="s">
        <v>296</v>
      </c>
      <c r="B13" s="289" t="s">
        <v>30</v>
      </c>
      <c r="C13" s="290" t="s">
        <v>31</v>
      </c>
      <c r="D13" s="291" t="s">
        <v>32</v>
      </c>
      <c r="E13" s="300">
        <v>43830</v>
      </c>
      <c r="F13" s="7" t="s">
        <v>505</v>
      </c>
      <c r="G13" s="7"/>
      <c r="H13" s="8" t="s">
        <v>349</v>
      </c>
      <c r="I13" s="269"/>
      <c r="J13" s="296"/>
      <c r="K13" s="296"/>
      <c r="L13" s="293"/>
      <c r="M13" s="294" t="s">
        <v>352</v>
      </c>
      <c r="N13" s="295"/>
      <c r="O13" s="296"/>
      <c r="P13" s="296"/>
      <c r="Q13" s="293"/>
      <c r="R13" s="294" t="s">
        <v>352</v>
      </c>
      <c r="S13" s="295"/>
      <c r="T13" s="296"/>
      <c r="U13" s="293"/>
      <c r="V13" s="294" t="s">
        <v>339</v>
      </c>
      <c r="W13" s="295"/>
      <c r="X13" s="297" t="s">
        <v>286</v>
      </c>
      <c r="Y13" s="288" t="s">
        <v>275</v>
      </c>
      <c r="Z13" s="288" t="s">
        <v>293</v>
      </c>
      <c r="AA13" s="288" t="s">
        <v>281</v>
      </c>
      <c r="AB13" s="288" t="s">
        <v>267</v>
      </c>
      <c r="AC13" s="288" t="s">
        <v>374</v>
      </c>
      <c r="AD13" s="298">
        <v>11</v>
      </c>
    </row>
    <row r="14" spans="1:30" ht="99.95" customHeight="1">
      <c r="A14" s="288" t="s">
        <v>295</v>
      </c>
      <c r="B14" s="289" t="s">
        <v>33</v>
      </c>
      <c r="C14" s="306" t="s">
        <v>34</v>
      </c>
      <c r="D14" s="291" t="s">
        <v>35</v>
      </c>
      <c r="E14" s="292">
        <v>43616</v>
      </c>
      <c r="F14" s="7" t="s">
        <v>549</v>
      </c>
      <c r="G14" s="7"/>
      <c r="H14" s="8" t="s">
        <v>340</v>
      </c>
      <c r="I14" s="269"/>
      <c r="J14" s="296"/>
      <c r="K14" s="296"/>
      <c r="L14" s="293"/>
      <c r="M14" s="294" t="s">
        <v>352</v>
      </c>
      <c r="N14" s="295"/>
      <c r="O14" s="296"/>
      <c r="P14" s="296"/>
      <c r="Q14" s="293"/>
      <c r="R14" s="294" t="s">
        <v>352</v>
      </c>
      <c r="S14" s="295"/>
      <c r="T14" s="296"/>
      <c r="U14" s="293"/>
      <c r="V14" s="294" t="s">
        <v>339</v>
      </c>
      <c r="W14" s="295"/>
      <c r="X14" s="297" t="s">
        <v>284</v>
      </c>
      <c r="Y14" s="288" t="s">
        <v>276</v>
      </c>
      <c r="Z14" s="288" t="s">
        <v>323</v>
      </c>
      <c r="AA14" s="288" t="s">
        <v>281</v>
      </c>
      <c r="AB14" s="288" t="s">
        <v>267</v>
      </c>
      <c r="AC14" s="288" t="s">
        <v>374</v>
      </c>
      <c r="AD14" s="298">
        <v>12</v>
      </c>
    </row>
    <row r="15" spans="1:30" ht="99.95" customHeight="1">
      <c r="A15" s="288" t="s">
        <v>295</v>
      </c>
      <c r="B15" s="289" t="s">
        <v>36</v>
      </c>
      <c r="C15" s="306" t="s">
        <v>37</v>
      </c>
      <c r="D15" s="291" t="s">
        <v>38</v>
      </c>
      <c r="E15" s="300">
        <v>43830</v>
      </c>
      <c r="F15" s="7"/>
      <c r="G15" s="7"/>
      <c r="H15" s="8" t="s">
        <v>353</v>
      </c>
      <c r="I15" s="269"/>
      <c r="J15" s="296"/>
      <c r="K15" s="296"/>
      <c r="L15" s="293"/>
      <c r="M15" s="294" t="s">
        <v>352</v>
      </c>
      <c r="N15" s="295"/>
      <c r="O15" s="296"/>
      <c r="P15" s="296"/>
      <c r="Q15" s="293"/>
      <c r="R15" s="294" t="s">
        <v>352</v>
      </c>
      <c r="S15" s="295"/>
      <c r="T15" s="296"/>
      <c r="U15" s="293"/>
      <c r="V15" s="294" t="s">
        <v>339</v>
      </c>
      <c r="W15" s="295"/>
      <c r="X15" s="297" t="s">
        <v>286</v>
      </c>
      <c r="Y15" s="288" t="s">
        <v>275</v>
      </c>
      <c r="Z15" s="288" t="s">
        <v>294</v>
      </c>
      <c r="AA15" s="288" t="s">
        <v>281</v>
      </c>
      <c r="AB15" s="288" t="s">
        <v>267</v>
      </c>
      <c r="AC15" s="288" t="s">
        <v>374</v>
      </c>
      <c r="AD15" s="298">
        <v>13</v>
      </c>
    </row>
    <row r="16" spans="1:30" ht="99.95" customHeight="1">
      <c r="A16" s="288" t="s">
        <v>299</v>
      </c>
      <c r="B16" s="289" t="s">
        <v>39</v>
      </c>
      <c r="C16" s="290" t="s">
        <v>40</v>
      </c>
      <c r="D16" s="307" t="s">
        <v>468</v>
      </c>
      <c r="E16" s="308"/>
      <c r="F16" s="11" t="s">
        <v>587</v>
      </c>
      <c r="G16" s="11"/>
      <c r="H16" s="12" t="s">
        <v>349</v>
      </c>
      <c r="I16" s="271"/>
      <c r="J16" s="312"/>
      <c r="K16" s="312"/>
      <c r="L16" s="309"/>
      <c r="M16" s="310" t="s">
        <v>352</v>
      </c>
      <c r="N16" s="311"/>
      <c r="O16" s="312"/>
      <c r="P16" s="312"/>
      <c r="Q16" s="309"/>
      <c r="R16" s="310" t="s">
        <v>352</v>
      </c>
      <c r="S16" s="311"/>
      <c r="T16" s="312"/>
      <c r="U16" s="309"/>
      <c r="V16" s="294" t="s">
        <v>339</v>
      </c>
      <c r="W16" s="311"/>
      <c r="X16" s="313" t="s">
        <v>287</v>
      </c>
      <c r="Y16" s="288" t="s">
        <v>276</v>
      </c>
      <c r="Z16" s="288" t="s">
        <v>298</v>
      </c>
      <c r="AA16" s="288" t="s">
        <v>281</v>
      </c>
      <c r="AB16" s="288" t="s">
        <v>267</v>
      </c>
      <c r="AC16" s="288" t="s">
        <v>374</v>
      </c>
      <c r="AD16" s="298">
        <v>14</v>
      </c>
    </row>
    <row r="17" spans="1:30" ht="99.95" customHeight="1">
      <c r="A17" s="288" t="s">
        <v>299</v>
      </c>
      <c r="B17" s="289" t="s">
        <v>41</v>
      </c>
      <c r="C17" s="290" t="s">
        <v>42</v>
      </c>
      <c r="D17" s="307" t="s">
        <v>469</v>
      </c>
      <c r="E17" s="308"/>
      <c r="F17" s="11">
        <v>10</v>
      </c>
      <c r="G17" s="11"/>
      <c r="H17" s="12" t="s">
        <v>349</v>
      </c>
      <c r="I17" s="271"/>
      <c r="J17" s="312"/>
      <c r="K17" s="312"/>
      <c r="L17" s="309"/>
      <c r="M17" s="310" t="s">
        <v>352</v>
      </c>
      <c r="N17" s="311"/>
      <c r="O17" s="312"/>
      <c r="P17" s="312"/>
      <c r="Q17" s="309"/>
      <c r="R17" s="310" t="s">
        <v>352</v>
      </c>
      <c r="S17" s="311"/>
      <c r="T17" s="312"/>
      <c r="U17" s="309"/>
      <c r="V17" s="294" t="s">
        <v>339</v>
      </c>
      <c r="W17" s="311"/>
      <c r="X17" s="313" t="s">
        <v>287</v>
      </c>
      <c r="Y17" s="288" t="s">
        <v>276</v>
      </c>
      <c r="Z17" s="288" t="s">
        <v>298</v>
      </c>
      <c r="AA17" s="288" t="s">
        <v>281</v>
      </c>
      <c r="AB17" s="288" t="s">
        <v>267</v>
      </c>
      <c r="AC17" s="288" t="s">
        <v>374</v>
      </c>
      <c r="AD17" s="298">
        <v>15</v>
      </c>
    </row>
    <row r="18" spans="1:30" ht="99.95" customHeight="1">
      <c r="A18" s="288" t="s">
        <v>300</v>
      </c>
      <c r="B18" s="289" t="s">
        <v>43</v>
      </c>
      <c r="C18" s="290" t="s">
        <v>44</v>
      </c>
      <c r="D18" s="291" t="s">
        <v>45</v>
      </c>
      <c r="E18" s="292">
        <v>43921</v>
      </c>
      <c r="F18" s="7"/>
      <c r="G18" s="7"/>
      <c r="H18" s="8" t="s">
        <v>353</v>
      </c>
      <c r="I18" s="269"/>
      <c r="J18" s="296"/>
      <c r="K18" s="296"/>
      <c r="L18" s="293"/>
      <c r="M18" s="294" t="s">
        <v>352</v>
      </c>
      <c r="N18" s="295"/>
      <c r="O18" s="296"/>
      <c r="P18" s="296"/>
      <c r="Q18" s="293"/>
      <c r="R18" s="294" t="s">
        <v>352</v>
      </c>
      <c r="S18" s="295"/>
      <c r="T18" s="296"/>
      <c r="U18" s="293"/>
      <c r="V18" s="294" t="s">
        <v>339</v>
      </c>
      <c r="W18" s="295"/>
      <c r="X18" s="314" t="s">
        <v>283</v>
      </c>
      <c r="Y18" s="315" t="s">
        <v>276</v>
      </c>
      <c r="Z18" s="315" t="s">
        <v>303</v>
      </c>
      <c r="AA18" s="315" t="s">
        <v>281</v>
      </c>
      <c r="AB18" s="315" t="s">
        <v>267</v>
      </c>
      <c r="AC18" s="288" t="s">
        <v>374</v>
      </c>
      <c r="AD18" s="298">
        <v>16</v>
      </c>
    </row>
    <row r="19" spans="1:30" ht="99.95" customHeight="1">
      <c r="A19" s="288" t="s">
        <v>300</v>
      </c>
      <c r="B19" s="289" t="s">
        <v>46</v>
      </c>
      <c r="C19" s="290" t="s">
        <v>44</v>
      </c>
      <c r="D19" s="291" t="s">
        <v>47</v>
      </c>
      <c r="E19" s="292">
        <v>43769</v>
      </c>
      <c r="F19" s="7"/>
      <c r="G19" s="7"/>
      <c r="H19" s="8" t="s">
        <v>353</v>
      </c>
      <c r="I19" s="269"/>
      <c r="J19" s="296"/>
      <c r="K19" s="296"/>
      <c r="L19" s="293"/>
      <c r="M19" s="294" t="s">
        <v>352</v>
      </c>
      <c r="N19" s="295"/>
      <c r="O19" s="296"/>
      <c r="P19" s="296"/>
      <c r="Q19" s="293"/>
      <c r="R19" s="294" t="s">
        <v>352</v>
      </c>
      <c r="S19" s="295"/>
      <c r="T19" s="296"/>
      <c r="U19" s="293"/>
      <c r="V19" s="294" t="s">
        <v>339</v>
      </c>
      <c r="W19" s="295"/>
      <c r="X19" s="314" t="s">
        <v>286</v>
      </c>
      <c r="Y19" s="315" t="s">
        <v>276</v>
      </c>
      <c r="Z19" s="315" t="s">
        <v>303</v>
      </c>
      <c r="AA19" s="315" t="s">
        <v>281</v>
      </c>
      <c r="AB19" s="315" t="s">
        <v>267</v>
      </c>
      <c r="AC19" s="288" t="s">
        <v>374</v>
      </c>
      <c r="AD19" s="298">
        <v>17</v>
      </c>
    </row>
    <row r="20" spans="1:30" ht="105">
      <c r="A20" s="288" t="s">
        <v>301</v>
      </c>
      <c r="B20" s="289" t="s">
        <v>48</v>
      </c>
      <c r="C20" s="290" t="s">
        <v>49</v>
      </c>
      <c r="D20" s="291" t="s">
        <v>50</v>
      </c>
      <c r="E20" s="308" t="s">
        <v>51</v>
      </c>
      <c r="F20" s="11" t="s">
        <v>488</v>
      </c>
      <c r="G20" s="11"/>
      <c r="H20" s="12" t="s">
        <v>349</v>
      </c>
      <c r="I20" s="271" t="s">
        <v>486</v>
      </c>
      <c r="J20" s="312"/>
      <c r="K20" s="312"/>
      <c r="L20" s="309"/>
      <c r="M20" s="310" t="s">
        <v>352</v>
      </c>
      <c r="N20" s="311"/>
      <c r="O20" s="312"/>
      <c r="P20" s="312"/>
      <c r="Q20" s="309"/>
      <c r="R20" s="310" t="s">
        <v>352</v>
      </c>
      <c r="S20" s="311"/>
      <c r="T20" s="312"/>
      <c r="U20" s="309"/>
      <c r="V20" s="294" t="s">
        <v>339</v>
      </c>
      <c r="W20" s="311"/>
      <c r="X20" s="313" t="s">
        <v>287</v>
      </c>
      <c r="Y20" s="288" t="s">
        <v>277</v>
      </c>
      <c r="Z20" s="288" t="s">
        <v>302</v>
      </c>
      <c r="AA20" s="288" t="s">
        <v>281</v>
      </c>
      <c r="AB20" s="288" t="s">
        <v>268</v>
      </c>
      <c r="AC20" s="288" t="s">
        <v>429</v>
      </c>
      <c r="AD20" s="298">
        <v>18</v>
      </c>
    </row>
    <row r="21" spans="1:30" ht="99.95" customHeight="1">
      <c r="A21" s="288" t="s">
        <v>301</v>
      </c>
      <c r="B21" s="289" t="s">
        <v>52</v>
      </c>
      <c r="C21" s="290" t="s">
        <v>53</v>
      </c>
      <c r="D21" s="291" t="s">
        <v>54</v>
      </c>
      <c r="E21" s="292">
        <v>43799</v>
      </c>
      <c r="F21" s="7" t="s">
        <v>489</v>
      </c>
      <c r="G21" s="7"/>
      <c r="H21" s="8" t="s">
        <v>353</v>
      </c>
      <c r="I21" s="269"/>
      <c r="J21" s="296"/>
      <c r="K21" s="296"/>
      <c r="L21" s="293"/>
      <c r="M21" s="294" t="s">
        <v>352</v>
      </c>
      <c r="N21" s="295"/>
      <c r="O21" s="296"/>
      <c r="P21" s="296"/>
      <c r="Q21" s="293"/>
      <c r="R21" s="294" t="s">
        <v>352</v>
      </c>
      <c r="S21" s="295"/>
      <c r="T21" s="296"/>
      <c r="U21" s="293"/>
      <c r="V21" s="294" t="s">
        <v>339</v>
      </c>
      <c r="W21" s="295"/>
      <c r="X21" s="297" t="s">
        <v>286</v>
      </c>
      <c r="Y21" s="288" t="s">
        <v>277</v>
      </c>
      <c r="Z21" s="288" t="s">
        <v>302</v>
      </c>
      <c r="AA21" s="288" t="s">
        <v>281</v>
      </c>
      <c r="AB21" s="288" t="s">
        <v>268</v>
      </c>
      <c r="AC21" s="288" t="s">
        <v>429</v>
      </c>
      <c r="AD21" s="298">
        <v>19</v>
      </c>
    </row>
    <row r="22" spans="1:30" ht="99.95" customHeight="1">
      <c r="A22" s="288" t="s">
        <v>301</v>
      </c>
      <c r="B22" s="289" t="s">
        <v>55</v>
      </c>
      <c r="C22" s="290" t="s">
        <v>56</v>
      </c>
      <c r="D22" s="291" t="s">
        <v>57</v>
      </c>
      <c r="E22" s="292">
        <v>43921</v>
      </c>
      <c r="F22" s="7" t="s">
        <v>487</v>
      </c>
      <c r="G22" s="7"/>
      <c r="H22" s="8" t="s">
        <v>349</v>
      </c>
      <c r="I22" s="269"/>
      <c r="J22" s="296"/>
      <c r="K22" s="296"/>
      <c r="L22" s="293"/>
      <c r="M22" s="294" t="s">
        <v>352</v>
      </c>
      <c r="N22" s="295"/>
      <c r="O22" s="296"/>
      <c r="P22" s="296"/>
      <c r="Q22" s="293"/>
      <c r="R22" s="294" t="s">
        <v>352</v>
      </c>
      <c r="S22" s="295"/>
      <c r="T22" s="296"/>
      <c r="U22" s="293"/>
      <c r="V22" s="294" t="s">
        <v>339</v>
      </c>
      <c r="W22" s="295"/>
      <c r="X22" s="305" t="s">
        <v>283</v>
      </c>
      <c r="Y22" s="288" t="s">
        <v>277</v>
      </c>
      <c r="Z22" s="288" t="s">
        <v>302</v>
      </c>
      <c r="AA22" s="288" t="s">
        <v>281</v>
      </c>
      <c r="AB22" s="288" t="s">
        <v>268</v>
      </c>
      <c r="AC22" s="288" t="s">
        <v>429</v>
      </c>
      <c r="AD22" s="298">
        <v>20</v>
      </c>
    </row>
    <row r="23" spans="1:30" ht="99.95" customHeight="1">
      <c r="A23" s="288" t="s">
        <v>304</v>
      </c>
      <c r="B23" s="289" t="s">
        <v>58</v>
      </c>
      <c r="C23" s="290" t="s">
        <v>59</v>
      </c>
      <c r="D23" s="299" t="s">
        <v>60</v>
      </c>
      <c r="E23" s="292">
        <v>43921</v>
      </c>
      <c r="F23" s="9" t="s">
        <v>550</v>
      </c>
      <c r="G23" s="9"/>
      <c r="H23" s="10" t="s">
        <v>349</v>
      </c>
      <c r="I23" s="270"/>
      <c r="J23" s="304"/>
      <c r="K23" s="304"/>
      <c r="L23" s="301"/>
      <c r="M23" s="302" t="s">
        <v>352</v>
      </c>
      <c r="N23" s="303"/>
      <c r="O23" s="304"/>
      <c r="P23" s="304"/>
      <c r="Q23" s="301"/>
      <c r="R23" s="302" t="s">
        <v>352</v>
      </c>
      <c r="S23" s="303"/>
      <c r="T23" s="304"/>
      <c r="U23" s="301"/>
      <c r="V23" s="294" t="s">
        <v>339</v>
      </c>
      <c r="W23" s="303"/>
      <c r="X23" s="305" t="s">
        <v>283</v>
      </c>
      <c r="Y23" s="288" t="s">
        <v>277</v>
      </c>
      <c r="Z23" s="288" t="s">
        <v>305</v>
      </c>
      <c r="AA23" s="288" t="s">
        <v>281</v>
      </c>
      <c r="AB23" s="288" t="s">
        <v>268</v>
      </c>
      <c r="AC23" s="288" t="s">
        <v>429</v>
      </c>
      <c r="AD23" s="298">
        <v>21</v>
      </c>
    </row>
    <row r="24" spans="1:30" ht="99.95" customHeight="1">
      <c r="A24" s="288" t="s">
        <v>304</v>
      </c>
      <c r="B24" s="289" t="s">
        <v>61</v>
      </c>
      <c r="C24" s="290" t="s">
        <v>59</v>
      </c>
      <c r="D24" s="299" t="s">
        <v>62</v>
      </c>
      <c r="E24" s="300">
        <v>43708</v>
      </c>
      <c r="F24" s="341" t="s">
        <v>551</v>
      </c>
      <c r="G24" s="9"/>
      <c r="H24" s="10" t="s">
        <v>349</v>
      </c>
      <c r="I24" s="270"/>
      <c r="J24" s="304"/>
      <c r="K24" s="304"/>
      <c r="L24" s="301"/>
      <c r="M24" s="302" t="s">
        <v>352</v>
      </c>
      <c r="N24" s="303"/>
      <c r="O24" s="304"/>
      <c r="P24" s="304"/>
      <c r="Q24" s="301"/>
      <c r="R24" s="302" t="s">
        <v>352</v>
      </c>
      <c r="S24" s="303"/>
      <c r="T24" s="304"/>
      <c r="U24" s="301"/>
      <c r="V24" s="294" t="s">
        <v>339</v>
      </c>
      <c r="W24" s="303"/>
      <c r="X24" s="305" t="s">
        <v>285</v>
      </c>
      <c r="Y24" s="288" t="s">
        <v>277</v>
      </c>
      <c r="Z24" s="288" t="s">
        <v>305</v>
      </c>
      <c r="AA24" s="288" t="s">
        <v>281</v>
      </c>
      <c r="AB24" s="288" t="s">
        <v>268</v>
      </c>
      <c r="AC24" s="288" t="s">
        <v>429</v>
      </c>
      <c r="AD24" s="298">
        <v>22</v>
      </c>
    </row>
    <row r="25" spans="1:30" ht="99.95" customHeight="1">
      <c r="A25" s="288" t="s">
        <v>304</v>
      </c>
      <c r="B25" s="289" t="s">
        <v>63</v>
      </c>
      <c r="C25" s="290" t="s">
        <v>59</v>
      </c>
      <c r="D25" s="299" t="s">
        <v>64</v>
      </c>
      <c r="E25" s="300">
        <v>43677</v>
      </c>
      <c r="F25" s="341" t="s">
        <v>552</v>
      </c>
      <c r="G25" s="9"/>
      <c r="H25" s="10" t="s">
        <v>349</v>
      </c>
      <c r="I25" s="270"/>
      <c r="J25" s="304"/>
      <c r="K25" s="304"/>
      <c r="L25" s="301"/>
      <c r="M25" s="302" t="s">
        <v>352</v>
      </c>
      <c r="N25" s="303"/>
      <c r="O25" s="304"/>
      <c r="P25" s="304"/>
      <c r="Q25" s="301"/>
      <c r="R25" s="302" t="s">
        <v>352</v>
      </c>
      <c r="S25" s="303"/>
      <c r="T25" s="304"/>
      <c r="U25" s="301"/>
      <c r="V25" s="294" t="s">
        <v>339</v>
      </c>
      <c r="W25" s="303"/>
      <c r="X25" s="305" t="s">
        <v>285</v>
      </c>
      <c r="Y25" s="288" t="s">
        <v>277</v>
      </c>
      <c r="Z25" s="288" t="s">
        <v>305</v>
      </c>
      <c r="AA25" s="288" t="s">
        <v>281</v>
      </c>
      <c r="AB25" s="288" t="s">
        <v>268</v>
      </c>
      <c r="AC25" s="288" t="s">
        <v>429</v>
      </c>
      <c r="AD25" s="298">
        <v>23</v>
      </c>
    </row>
    <row r="26" spans="1:30" ht="99.95" customHeight="1">
      <c r="A26" s="288" t="s">
        <v>325</v>
      </c>
      <c r="B26" s="289" t="s">
        <v>65</v>
      </c>
      <c r="C26" s="290" t="s">
        <v>59</v>
      </c>
      <c r="D26" s="299" t="s">
        <v>66</v>
      </c>
      <c r="E26" s="300">
        <v>43646</v>
      </c>
      <c r="F26" s="9" t="s">
        <v>553</v>
      </c>
      <c r="G26" s="9"/>
      <c r="H26" s="10" t="s">
        <v>340</v>
      </c>
      <c r="I26" s="270" t="s">
        <v>525</v>
      </c>
      <c r="J26" s="304"/>
      <c r="K26" s="304"/>
      <c r="L26" s="301"/>
      <c r="M26" s="302" t="s">
        <v>352</v>
      </c>
      <c r="N26" s="303"/>
      <c r="O26" s="304"/>
      <c r="P26" s="304"/>
      <c r="Q26" s="301"/>
      <c r="R26" s="302" t="s">
        <v>352</v>
      </c>
      <c r="S26" s="303"/>
      <c r="T26" s="304"/>
      <c r="U26" s="301"/>
      <c r="V26" s="294" t="s">
        <v>339</v>
      </c>
      <c r="W26" s="303"/>
      <c r="X26" s="297" t="s">
        <v>284</v>
      </c>
      <c r="Y26" s="288" t="s">
        <v>277</v>
      </c>
      <c r="Z26" s="288" t="s">
        <v>326</v>
      </c>
      <c r="AA26" s="288" t="s">
        <v>281</v>
      </c>
      <c r="AB26" s="288" t="s">
        <v>268</v>
      </c>
      <c r="AC26" s="288" t="s">
        <v>429</v>
      </c>
      <c r="AD26" s="298">
        <v>24</v>
      </c>
    </row>
    <row r="27" spans="1:30" ht="99.95" customHeight="1">
      <c r="A27" s="288" t="s">
        <v>327</v>
      </c>
      <c r="B27" s="289" t="s">
        <v>67</v>
      </c>
      <c r="C27" s="306" t="s">
        <v>68</v>
      </c>
      <c r="D27" s="299" t="s">
        <v>69</v>
      </c>
      <c r="E27" s="292">
        <v>43921</v>
      </c>
      <c r="F27" s="9" t="s">
        <v>528</v>
      </c>
      <c r="G27" s="9"/>
      <c r="H27" s="10" t="s">
        <v>349</v>
      </c>
      <c r="I27" s="270"/>
      <c r="J27" s="304"/>
      <c r="K27" s="304"/>
      <c r="L27" s="301"/>
      <c r="M27" s="302" t="s">
        <v>352</v>
      </c>
      <c r="N27" s="303"/>
      <c r="O27" s="304"/>
      <c r="P27" s="304"/>
      <c r="Q27" s="301"/>
      <c r="R27" s="302" t="s">
        <v>352</v>
      </c>
      <c r="S27" s="303"/>
      <c r="T27" s="304"/>
      <c r="U27" s="301"/>
      <c r="V27" s="294" t="s">
        <v>339</v>
      </c>
      <c r="W27" s="303"/>
      <c r="X27" s="305" t="s">
        <v>283</v>
      </c>
      <c r="Y27" s="288" t="s">
        <v>277</v>
      </c>
      <c r="Z27" s="288" t="s">
        <v>328</v>
      </c>
      <c r="AA27" s="288" t="s">
        <v>281</v>
      </c>
      <c r="AB27" s="288" t="s">
        <v>268</v>
      </c>
      <c r="AC27" s="288" t="s">
        <v>429</v>
      </c>
      <c r="AD27" s="298">
        <v>25</v>
      </c>
    </row>
    <row r="28" spans="1:30" ht="99.95" customHeight="1">
      <c r="A28" s="288" t="s">
        <v>308</v>
      </c>
      <c r="B28" s="289" t="s">
        <v>70</v>
      </c>
      <c r="C28" s="306" t="s">
        <v>71</v>
      </c>
      <c r="D28" s="299" t="s">
        <v>72</v>
      </c>
      <c r="E28" s="292">
        <v>43921</v>
      </c>
      <c r="F28" s="9" t="s">
        <v>509</v>
      </c>
      <c r="G28" s="9"/>
      <c r="H28" s="10" t="s">
        <v>349</v>
      </c>
      <c r="I28" s="270" t="s">
        <v>510</v>
      </c>
      <c r="J28" s="304"/>
      <c r="K28" s="304"/>
      <c r="L28" s="301"/>
      <c r="M28" s="302" t="s">
        <v>352</v>
      </c>
      <c r="N28" s="303"/>
      <c r="O28" s="304"/>
      <c r="P28" s="304"/>
      <c r="Q28" s="301"/>
      <c r="R28" s="302" t="s">
        <v>352</v>
      </c>
      <c r="S28" s="303"/>
      <c r="T28" s="304"/>
      <c r="U28" s="301"/>
      <c r="V28" s="294" t="s">
        <v>339</v>
      </c>
      <c r="W28" s="303"/>
      <c r="X28" s="305" t="s">
        <v>283</v>
      </c>
      <c r="Y28" s="288" t="s">
        <v>277</v>
      </c>
      <c r="Z28" s="288" t="s">
        <v>307</v>
      </c>
      <c r="AA28" s="288" t="s">
        <v>281</v>
      </c>
      <c r="AB28" s="288" t="s">
        <v>268</v>
      </c>
      <c r="AC28" s="288" t="s">
        <v>429</v>
      </c>
      <c r="AD28" s="298">
        <v>26</v>
      </c>
    </row>
    <row r="29" spans="1:30" ht="99.95" customHeight="1">
      <c r="A29" s="288" t="s">
        <v>308</v>
      </c>
      <c r="B29" s="289" t="s">
        <v>73</v>
      </c>
      <c r="C29" s="306" t="s">
        <v>74</v>
      </c>
      <c r="D29" s="299" t="s">
        <v>75</v>
      </c>
      <c r="E29" s="300">
        <v>43830</v>
      </c>
      <c r="F29" s="9" t="s">
        <v>554</v>
      </c>
      <c r="G29" s="9"/>
      <c r="H29" s="10" t="s">
        <v>349</v>
      </c>
      <c r="I29" s="270"/>
      <c r="J29" s="304"/>
      <c r="K29" s="304"/>
      <c r="L29" s="301"/>
      <c r="M29" s="302" t="s">
        <v>352</v>
      </c>
      <c r="N29" s="303"/>
      <c r="O29" s="304"/>
      <c r="P29" s="304"/>
      <c r="Q29" s="301"/>
      <c r="R29" s="302" t="s">
        <v>352</v>
      </c>
      <c r="S29" s="303"/>
      <c r="T29" s="304"/>
      <c r="U29" s="301"/>
      <c r="V29" s="294" t="s">
        <v>339</v>
      </c>
      <c r="W29" s="303"/>
      <c r="X29" s="297" t="s">
        <v>286</v>
      </c>
      <c r="Y29" s="288" t="s">
        <v>277</v>
      </c>
      <c r="Z29" s="288" t="s">
        <v>307</v>
      </c>
      <c r="AA29" s="288" t="s">
        <v>281</v>
      </c>
      <c r="AB29" s="288" t="s">
        <v>268</v>
      </c>
      <c r="AC29" s="288" t="s">
        <v>429</v>
      </c>
      <c r="AD29" s="298">
        <v>27</v>
      </c>
    </row>
    <row r="30" spans="1:30" ht="99.95" customHeight="1">
      <c r="A30" s="288" t="s">
        <v>308</v>
      </c>
      <c r="B30" s="289" t="s">
        <v>76</v>
      </c>
      <c r="C30" s="306" t="s">
        <v>71</v>
      </c>
      <c r="D30" s="299" t="s">
        <v>77</v>
      </c>
      <c r="E30" s="292">
        <v>43921</v>
      </c>
      <c r="F30" s="9" t="s">
        <v>555</v>
      </c>
      <c r="G30" s="9"/>
      <c r="H30" s="10" t="s">
        <v>349</v>
      </c>
      <c r="I30" s="270" t="s">
        <v>511</v>
      </c>
      <c r="J30" s="304"/>
      <c r="K30" s="304"/>
      <c r="L30" s="301"/>
      <c r="M30" s="302" t="s">
        <v>352</v>
      </c>
      <c r="N30" s="303"/>
      <c r="O30" s="304"/>
      <c r="P30" s="304"/>
      <c r="Q30" s="301"/>
      <c r="R30" s="302" t="s">
        <v>352</v>
      </c>
      <c r="S30" s="303"/>
      <c r="T30" s="304"/>
      <c r="U30" s="301"/>
      <c r="V30" s="294" t="s">
        <v>339</v>
      </c>
      <c r="W30" s="303"/>
      <c r="X30" s="305" t="s">
        <v>283</v>
      </c>
      <c r="Y30" s="288" t="s">
        <v>277</v>
      </c>
      <c r="Z30" s="288" t="s">
        <v>307</v>
      </c>
      <c r="AA30" s="288" t="s">
        <v>281</v>
      </c>
      <c r="AB30" s="288" t="s">
        <v>268</v>
      </c>
      <c r="AC30" s="288" t="s">
        <v>429</v>
      </c>
      <c r="AD30" s="298">
        <v>28</v>
      </c>
    </row>
    <row r="31" spans="1:30" ht="99.95" customHeight="1">
      <c r="A31" s="288" t="s">
        <v>306</v>
      </c>
      <c r="B31" s="289" t="s">
        <v>78</v>
      </c>
      <c r="C31" s="306" t="s">
        <v>79</v>
      </c>
      <c r="D31" s="291" t="s">
        <v>150</v>
      </c>
      <c r="E31" s="292">
        <v>43921</v>
      </c>
      <c r="F31" s="7" t="s">
        <v>483</v>
      </c>
      <c r="G31" s="7"/>
      <c r="H31" s="8" t="s">
        <v>349</v>
      </c>
      <c r="I31" s="269"/>
      <c r="J31" s="296"/>
      <c r="K31" s="296"/>
      <c r="L31" s="293"/>
      <c r="M31" s="294" t="s">
        <v>352</v>
      </c>
      <c r="N31" s="295"/>
      <c r="O31" s="296"/>
      <c r="P31" s="296"/>
      <c r="Q31" s="293"/>
      <c r="R31" s="294" t="s">
        <v>352</v>
      </c>
      <c r="S31" s="295"/>
      <c r="T31" s="296"/>
      <c r="U31" s="293"/>
      <c r="V31" s="294" t="s">
        <v>339</v>
      </c>
      <c r="W31" s="295"/>
      <c r="X31" s="305" t="s">
        <v>283</v>
      </c>
      <c r="Y31" s="288" t="s">
        <v>275</v>
      </c>
      <c r="Z31" s="288" t="s">
        <v>269</v>
      </c>
      <c r="AA31" s="288" t="s">
        <v>281</v>
      </c>
      <c r="AB31" s="288" t="s">
        <v>269</v>
      </c>
      <c r="AC31" s="288" t="s">
        <v>373</v>
      </c>
      <c r="AD31" s="298">
        <v>29</v>
      </c>
    </row>
    <row r="32" spans="1:30" ht="99.95" customHeight="1">
      <c r="A32" s="288" t="s">
        <v>306</v>
      </c>
      <c r="B32" s="289" t="s">
        <v>80</v>
      </c>
      <c r="C32" s="306" t="s">
        <v>81</v>
      </c>
      <c r="D32" s="291" t="s">
        <v>151</v>
      </c>
      <c r="E32" s="292">
        <v>43921</v>
      </c>
      <c r="F32" s="7"/>
      <c r="G32" s="7"/>
      <c r="H32" s="8" t="s">
        <v>353</v>
      </c>
      <c r="I32" s="269"/>
      <c r="J32" s="296"/>
      <c r="K32" s="296"/>
      <c r="L32" s="293"/>
      <c r="M32" s="294" t="s">
        <v>352</v>
      </c>
      <c r="N32" s="295"/>
      <c r="O32" s="296"/>
      <c r="P32" s="296"/>
      <c r="Q32" s="293"/>
      <c r="R32" s="294" t="s">
        <v>352</v>
      </c>
      <c r="S32" s="295"/>
      <c r="T32" s="296"/>
      <c r="U32" s="293"/>
      <c r="V32" s="294" t="s">
        <v>339</v>
      </c>
      <c r="W32" s="295"/>
      <c r="X32" s="305" t="s">
        <v>283</v>
      </c>
      <c r="Y32" s="288" t="s">
        <v>275</v>
      </c>
      <c r="Z32" s="288" t="s">
        <v>269</v>
      </c>
      <c r="AA32" s="288" t="s">
        <v>281</v>
      </c>
      <c r="AB32" s="288" t="s">
        <v>269</v>
      </c>
      <c r="AC32" s="288" t="s">
        <v>373</v>
      </c>
      <c r="AD32" s="298">
        <v>30</v>
      </c>
    </row>
    <row r="33" spans="1:30" ht="99.95" customHeight="1">
      <c r="A33" s="288" t="s">
        <v>306</v>
      </c>
      <c r="B33" s="289" t="s">
        <v>82</v>
      </c>
      <c r="C33" s="306" t="s">
        <v>81</v>
      </c>
      <c r="D33" s="291" t="s">
        <v>83</v>
      </c>
      <c r="E33" s="300">
        <v>43646</v>
      </c>
      <c r="F33" s="7" t="s">
        <v>484</v>
      </c>
      <c r="G33" s="7"/>
      <c r="H33" s="8" t="s">
        <v>340</v>
      </c>
      <c r="I33" s="269"/>
      <c r="J33" s="296"/>
      <c r="K33" s="296"/>
      <c r="L33" s="293"/>
      <c r="M33" s="294" t="s">
        <v>352</v>
      </c>
      <c r="N33" s="295"/>
      <c r="O33" s="296"/>
      <c r="P33" s="296"/>
      <c r="Q33" s="293"/>
      <c r="R33" s="294" t="s">
        <v>352</v>
      </c>
      <c r="S33" s="295"/>
      <c r="T33" s="296"/>
      <c r="U33" s="293"/>
      <c r="V33" s="294" t="s">
        <v>339</v>
      </c>
      <c r="W33" s="295"/>
      <c r="X33" s="297" t="s">
        <v>284</v>
      </c>
      <c r="Y33" s="288" t="s">
        <v>275</v>
      </c>
      <c r="Z33" s="288" t="s">
        <v>269</v>
      </c>
      <c r="AA33" s="288" t="s">
        <v>281</v>
      </c>
      <c r="AB33" s="288" t="s">
        <v>269</v>
      </c>
      <c r="AC33" s="288" t="s">
        <v>373</v>
      </c>
      <c r="AD33" s="298">
        <v>31</v>
      </c>
    </row>
    <row r="34" spans="1:30" ht="99.95" customHeight="1">
      <c r="A34" s="288" t="s">
        <v>306</v>
      </c>
      <c r="B34" s="289" t="s">
        <v>84</v>
      </c>
      <c r="C34" s="306" t="s">
        <v>85</v>
      </c>
      <c r="D34" s="299" t="s">
        <v>86</v>
      </c>
      <c r="E34" s="292">
        <v>43921</v>
      </c>
      <c r="F34" s="9"/>
      <c r="G34" s="9"/>
      <c r="H34" s="10" t="s">
        <v>353</v>
      </c>
      <c r="I34" s="270"/>
      <c r="J34" s="304"/>
      <c r="K34" s="304"/>
      <c r="L34" s="301"/>
      <c r="M34" s="302" t="s">
        <v>352</v>
      </c>
      <c r="N34" s="303"/>
      <c r="O34" s="304"/>
      <c r="P34" s="304"/>
      <c r="Q34" s="301"/>
      <c r="R34" s="302" t="s">
        <v>352</v>
      </c>
      <c r="S34" s="303"/>
      <c r="T34" s="304"/>
      <c r="U34" s="301"/>
      <c r="V34" s="294" t="s">
        <v>339</v>
      </c>
      <c r="W34" s="303"/>
      <c r="X34" s="305" t="s">
        <v>283</v>
      </c>
      <c r="Y34" s="288" t="s">
        <v>275</v>
      </c>
      <c r="Z34" s="288" t="s">
        <v>309</v>
      </c>
      <c r="AA34" s="288" t="s">
        <v>281</v>
      </c>
      <c r="AB34" s="288" t="s">
        <v>269</v>
      </c>
      <c r="AC34" s="288" t="s">
        <v>373</v>
      </c>
      <c r="AD34" s="298">
        <v>32</v>
      </c>
    </row>
    <row r="35" spans="1:30" ht="117.75" customHeight="1">
      <c r="A35" s="288" t="s">
        <v>306</v>
      </c>
      <c r="B35" s="289" t="s">
        <v>87</v>
      </c>
      <c r="C35" s="290" t="s">
        <v>88</v>
      </c>
      <c r="D35" s="291" t="s">
        <v>288</v>
      </c>
      <c r="E35" s="292">
        <v>43921</v>
      </c>
      <c r="F35" s="7" t="s">
        <v>526</v>
      </c>
      <c r="G35" s="7" t="s">
        <v>527</v>
      </c>
      <c r="H35" s="8" t="s">
        <v>350</v>
      </c>
      <c r="I35" s="269" t="s">
        <v>589</v>
      </c>
      <c r="J35" s="296"/>
      <c r="K35" s="296"/>
      <c r="L35" s="293"/>
      <c r="M35" s="294" t="s">
        <v>352</v>
      </c>
      <c r="N35" s="295"/>
      <c r="O35" s="296"/>
      <c r="P35" s="296"/>
      <c r="Q35" s="293"/>
      <c r="R35" s="294" t="s">
        <v>352</v>
      </c>
      <c r="S35" s="295"/>
      <c r="T35" s="296"/>
      <c r="U35" s="293"/>
      <c r="V35" s="294" t="s">
        <v>339</v>
      </c>
      <c r="W35" s="295"/>
      <c r="X35" s="305" t="s">
        <v>283</v>
      </c>
      <c r="Y35" s="288" t="s">
        <v>275</v>
      </c>
      <c r="Z35" s="288" t="s">
        <v>269</v>
      </c>
      <c r="AA35" s="288" t="s">
        <v>281</v>
      </c>
      <c r="AB35" s="288" t="s">
        <v>269</v>
      </c>
      <c r="AC35" s="288" t="s">
        <v>373</v>
      </c>
      <c r="AD35" s="298">
        <v>33</v>
      </c>
    </row>
    <row r="36" spans="1:30" ht="99.95" customHeight="1">
      <c r="A36" s="288" t="s">
        <v>306</v>
      </c>
      <c r="B36" s="289" t="s">
        <v>89</v>
      </c>
      <c r="C36" s="306" t="s">
        <v>90</v>
      </c>
      <c r="D36" s="291" t="s">
        <v>91</v>
      </c>
      <c r="E36" s="292">
        <v>43677</v>
      </c>
      <c r="F36" s="342" t="s">
        <v>585</v>
      </c>
      <c r="G36" s="7"/>
      <c r="H36" s="8" t="s">
        <v>349</v>
      </c>
      <c r="I36" s="269"/>
      <c r="J36" s="296"/>
      <c r="K36" s="296"/>
      <c r="L36" s="293"/>
      <c r="M36" s="294" t="s">
        <v>352</v>
      </c>
      <c r="N36" s="295"/>
      <c r="O36" s="296"/>
      <c r="P36" s="296"/>
      <c r="Q36" s="293"/>
      <c r="R36" s="294" t="s">
        <v>352</v>
      </c>
      <c r="S36" s="295"/>
      <c r="T36" s="296"/>
      <c r="U36" s="293"/>
      <c r="V36" s="294" t="s">
        <v>339</v>
      </c>
      <c r="W36" s="295"/>
      <c r="X36" s="305" t="s">
        <v>285</v>
      </c>
      <c r="Y36" s="288" t="s">
        <v>275</v>
      </c>
      <c r="Z36" s="288" t="s">
        <v>269</v>
      </c>
      <c r="AA36" s="288" t="s">
        <v>281</v>
      </c>
      <c r="AB36" s="288" t="s">
        <v>269</v>
      </c>
      <c r="AC36" s="288" t="s">
        <v>373</v>
      </c>
      <c r="AD36" s="298">
        <v>34</v>
      </c>
    </row>
    <row r="37" spans="1:30" ht="99.95" customHeight="1">
      <c r="A37" s="288" t="s">
        <v>306</v>
      </c>
      <c r="B37" s="289" t="s">
        <v>310</v>
      </c>
      <c r="C37" s="306" t="s">
        <v>556</v>
      </c>
      <c r="D37" s="291" t="s">
        <v>92</v>
      </c>
      <c r="E37" s="308"/>
      <c r="F37" s="11" t="s">
        <v>485</v>
      </c>
      <c r="G37" s="11"/>
      <c r="H37" s="12" t="s">
        <v>349</v>
      </c>
      <c r="I37" s="271"/>
      <c r="J37" s="312"/>
      <c r="K37" s="312"/>
      <c r="L37" s="309"/>
      <c r="M37" s="310" t="s">
        <v>352</v>
      </c>
      <c r="N37" s="311"/>
      <c r="O37" s="312"/>
      <c r="P37" s="312"/>
      <c r="Q37" s="309"/>
      <c r="R37" s="310" t="s">
        <v>352</v>
      </c>
      <c r="S37" s="311"/>
      <c r="T37" s="312"/>
      <c r="U37" s="309"/>
      <c r="V37" s="294" t="s">
        <v>339</v>
      </c>
      <c r="W37" s="311"/>
      <c r="X37" s="313" t="s">
        <v>287</v>
      </c>
      <c r="Y37" s="288" t="s">
        <v>275</v>
      </c>
      <c r="Z37" s="288" t="s">
        <v>269</v>
      </c>
      <c r="AA37" s="288" t="s">
        <v>281</v>
      </c>
      <c r="AB37" s="288" t="s">
        <v>269</v>
      </c>
      <c r="AC37" s="288" t="s">
        <v>373</v>
      </c>
      <c r="AD37" s="298">
        <v>35</v>
      </c>
    </row>
    <row r="38" spans="1:30" ht="99.95" customHeight="1">
      <c r="A38" s="288" t="s">
        <v>311</v>
      </c>
      <c r="B38" s="289" t="s">
        <v>375</v>
      </c>
      <c r="C38" s="290" t="s">
        <v>378</v>
      </c>
      <c r="D38" s="291" t="s">
        <v>379</v>
      </c>
      <c r="E38" s="308"/>
      <c r="F38" s="333">
        <v>0.29609999999999997</v>
      </c>
      <c r="G38" s="332">
        <v>0.98</v>
      </c>
      <c r="H38" s="12" t="s">
        <v>349</v>
      </c>
      <c r="I38" s="271" t="s">
        <v>513</v>
      </c>
      <c r="J38" s="312"/>
      <c r="K38" s="312"/>
      <c r="L38" s="309"/>
      <c r="M38" s="310" t="s">
        <v>352</v>
      </c>
      <c r="N38" s="311"/>
      <c r="O38" s="312"/>
      <c r="P38" s="312"/>
      <c r="Q38" s="309"/>
      <c r="R38" s="310" t="s">
        <v>352</v>
      </c>
      <c r="S38" s="311"/>
      <c r="T38" s="312"/>
      <c r="U38" s="309"/>
      <c r="V38" s="294" t="s">
        <v>339</v>
      </c>
      <c r="W38" s="311"/>
      <c r="X38" s="313" t="s">
        <v>287</v>
      </c>
      <c r="Y38" s="288" t="s">
        <v>275</v>
      </c>
      <c r="Z38" s="288" t="s">
        <v>312</v>
      </c>
      <c r="AA38" s="288" t="s">
        <v>281</v>
      </c>
      <c r="AB38" s="288" t="s">
        <v>270</v>
      </c>
      <c r="AC38" s="288" t="s">
        <v>373</v>
      </c>
      <c r="AD38" s="298">
        <v>36</v>
      </c>
    </row>
    <row r="39" spans="1:30" ht="99.95" customHeight="1">
      <c r="A39" s="288" t="s">
        <v>311</v>
      </c>
      <c r="B39" s="289" t="s">
        <v>376</v>
      </c>
      <c r="C39" s="290" t="s">
        <v>377</v>
      </c>
      <c r="D39" s="291" t="s">
        <v>380</v>
      </c>
      <c r="E39" s="308"/>
      <c r="F39" s="333">
        <v>0.33019999999999999</v>
      </c>
      <c r="G39" s="332">
        <v>0.99</v>
      </c>
      <c r="H39" s="12" t="s">
        <v>349</v>
      </c>
      <c r="I39" s="271" t="s">
        <v>513</v>
      </c>
      <c r="J39" s="312"/>
      <c r="K39" s="312"/>
      <c r="L39" s="309"/>
      <c r="M39" s="310" t="s">
        <v>352</v>
      </c>
      <c r="N39" s="311"/>
      <c r="O39" s="312"/>
      <c r="P39" s="312"/>
      <c r="Q39" s="309"/>
      <c r="R39" s="310" t="s">
        <v>352</v>
      </c>
      <c r="S39" s="311"/>
      <c r="T39" s="312"/>
      <c r="U39" s="309"/>
      <c r="V39" s="294" t="s">
        <v>339</v>
      </c>
      <c r="W39" s="311"/>
      <c r="X39" s="313" t="s">
        <v>287</v>
      </c>
      <c r="Y39" s="288" t="s">
        <v>275</v>
      </c>
      <c r="Z39" s="288" t="s">
        <v>312</v>
      </c>
      <c r="AA39" s="288" t="s">
        <v>281</v>
      </c>
      <c r="AB39" s="288" t="s">
        <v>270</v>
      </c>
      <c r="AC39" s="288" t="s">
        <v>373</v>
      </c>
      <c r="AD39" s="298">
        <v>37</v>
      </c>
    </row>
    <row r="40" spans="1:30" ht="99.95" customHeight="1">
      <c r="A40" s="288" t="s">
        <v>311</v>
      </c>
      <c r="B40" s="289" t="s">
        <v>381</v>
      </c>
      <c r="C40" s="290" t="s">
        <v>152</v>
      </c>
      <c r="D40" s="316" t="s">
        <v>473</v>
      </c>
      <c r="E40" s="308"/>
      <c r="F40" s="334">
        <v>2076546.74</v>
      </c>
      <c r="G40" s="335">
        <v>1900000</v>
      </c>
      <c r="H40" s="12" t="s">
        <v>349</v>
      </c>
      <c r="I40" s="271" t="s">
        <v>514</v>
      </c>
      <c r="J40" s="312"/>
      <c r="K40" s="312"/>
      <c r="L40" s="309"/>
      <c r="M40" s="310" t="s">
        <v>352</v>
      </c>
      <c r="N40" s="311"/>
      <c r="O40" s="312"/>
      <c r="P40" s="312"/>
      <c r="Q40" s="309"/>
      <c r="R40" s="310" t="s">
        <v>352</v>
      </c>
      <c r="S40" s="311"/>
      <c r="T40" s="312"/>
      <c r="U40" s="309"/>
      <c r="V40" s="294" t="s">
        <v>339</v>
      </c>
      <c r="W40" s="311"/>
      <c r="X40" s="313" t="s">
        <v>287</v>
      </c>
      <c r="Y40" s="288" t="s">
        <v>275</v>
      </c>
      <c r="Z40" s="288" t="s">
        <v>312</v>
      </c>
      <c r="AA40" s="288" t="s">
        <v>281</v>
      </c>
      <c r="AB40" s="288" t="s">
        <v>270</v>
      </c>
      <c r="AC40" s="288" t="s">
        <v>373</v>
      </c>
      <c r="AD40" s="298">
        <v>38</v>
      </c>
    </row>
    <row r="41" spans="1:30" ht="99.95" customHeight="1">
      <c r="A41" s="288" t="s">
        <v>311</v>
      </c>
      <c r="B41" s="289" t="s">
        <v>382</v>
      </c>
      <c r="C41" s="290" t="s">
        <v>152</v>
      </c>
      <c r="D41" s="316" t="s">
        <v>474</v>
      </c>
      <c r="E41" s="308"/>
      <c r="F41" s="334">
        <v>898218.91</v>
      </c>
      <c r="G41" s="335">
        <v>500000</v>
      </c>
      <c r="H41" s="12" t="s">
        <v>349</v>
      </c>
      <c r="I41" s="271" t="s">
        <v>514</v>
      </c>
      <c r="J41" s="312"/>
      <c r="K41" s="312"/>
      <c r="L41" s="309"/>
      <c r="M41" s="310" t="s">
        <v>352</v>
      </c>
      <c r="N41" s="311"/>
      <c r="O41" s="312"/>
      <c r="P41" s="312"/>
      <c r="Q41" s="309"/>
      <c r="R41" s="310" t="s">
        <v>352</v>
      </c>
      <c r="S41" s="311"/>
      <c r="T41" s="312"/>
      <c r="U41" s="309"/>
      <c r="V41" s="294" t="s">
        <v>339</v>
      </c>
      <c r="W41" s="311"/>
      <c r="X41" s="313" t="s">
        <v>287</v>
      </c>
      <c r="Y41" s="288" t="s">
        <v>275</v>
      </c>
      <c r="Z41" s="288" t="s">
        <v>312</v>
      </c>
      <c r="AA41" s="288" t="s">
        <v>281</v>
      </c>
      <c r="AB41" s="288" t="s">
        <v>270</v>
      </c>
      <c r="AC41" s="288" t="s">
        <v>373</v>
      </c>
      <c r="AD41" s="298">
        <v>39</v>
      </c>
    </row>
    <row r="42" spans="1:30" ht="99.95" customHeight="1">
      <c r="A42" s="288" t="s">
        <v>311</v>
      </c>
      <c r="B42" s="289" t="s">
        <v>383</v>
      </c>
      <c r="C42" s="290" t="s">
        <v>152</v>
      </c>
      <c r="D42" s="316" t="s">
        <v>475</v>
      </c>
      <c r="E42" s="308"/>
      <c r="F42" s="335">
        <v>0</v>
      </c>
      <c r="G42" s="335">
        <v>40000</v>
      </c>
      <c r="H42" s="12" t="s">
        <v>349</v>
      </c>
      <c r="I42" s="271" t="s">
        <v>513</v>
      </c>
      <c r="J42" s="312"/>
      <c r="K42" s="312"/>
      <c r="L42" s="309"/>
      <c r="M42" s="310" t="s">
        <v>352</v>
      </c>
      <c r="N42" s="311"/>
      <c r="O42" s="312"/>
      <c r="P42" s="312"/>
      <c r="Q42" s="309"/>
      <c r="R42" s="310" t="s">
        <v>352</v>
      </c>
      <c r="S42" s="311"/>
      <c r="T42" s="312"/>
      <c r="U42" s="309"/>
      <c r="V42" s="294" t="s">
        <v>339</v>
      </c>
      <c r="W42" s="311"/>
      <c r="X42" s="313" t="s">
        <v>287</v>
      </c>
      <c r="Y42" s="288" t="s">
        <v>275</v>
      </c>
      <c r="Z42" s="288" t="s">
        <v>312</v>
      </c>
      <c r="AA42" s="288" t="s">
        <v>281</v>
      </c>
      <c r="AB42" s="288" t="s">
        <v>270</v>
      </c>
      <c r="AC42" s="288" t="s">
        <v>373</v>
      </c>
      <c r="AD42" s="298">
        <v>40</v>
      </c>
    </row>
    <row r="43" spans="1:30" ht="99.95" customHeight="1">
      <c r="A43" s="288" t="s">
        <v>311</v>
      </c>
      <c r="B43" s="289" t="s">
        <v>384</v>
      </c>
      <c r="C43" s="306" t="s">
        <v>93</v>
      </c>
      <c r="D43" s="291" t="s">
        <v>386</v>
      </c>
      <c r="E43" s="308"/>
      <c r="F43" s="332">
        <v>1</v>
      </c>
      <c r="G43" s="332">
        <v>1</v>
      </c>
      <c r="H43" s="12" t="s">
        <v>349</v>
      </c>
      <c r="I43" s="271" t="s">
        <v>513</v>
      </c>
      <c r="J43" s="312"/>
      <c r="K43" s="312"/>
      <c r="L43" s="309"/>
      <c r="M43" s="310" t="s">
        <v>352</v>
      </c>
      <c r="N43" s="311"/>
      <c r="O43" s="312"/>
      <c r="P43" s="312"/>
      <c r="Q43" s="309"/>
      <c r="R43" s="310" t="s">
        <v>352</v>
      </c>
      <c r="S43" s="311"/>
      <c r="T43" s="312"/>
      <c r="U43" s="309"/>
      <c r="V43" s="294" t="s">
        <v>339</v>
      </c>
      <c r="W43" s="311"/>
      <c r="X43" s="313" t="s">
        <v>287</v>
      </c>
      <c r="Y43" s="288" t="s">
        <v>275</v>
      </c>
      <c r="Z43" s="288" t="s">
        <v>312</v>
      </c>
      <c r="AA43" s="288" t="s">
        <v>281</v>
      </c>
      <c r="AB43" s="288" t="s">
        <v>270</v>
      </c>
      <c r="AC43" s="288" t="s">
        <v>373</v>
      </c>
      <c r="AD43" s="298">
        <v>41</v>
      </c>
    </row>
    <row r="44" spans="1:30" ht="99.95" customHeight="1">
      <c r="A44" s="288" t="s">
        <v>311</v>
      </c>
      <c r="B44" s="289" t="s">
        <v>385</v>
      </c>
      <c r="C44" s="306" t="s">
        <v>93</v>
      </c>
      <c r="D44" s="291" t="s">
        <v>387</v>
      </c>
      <c r="E44" s="308"/>
      <c r="F44" s="332">
        <v>0.85</v>
      </c>
      <c r="G44" s="332">
        <v>0.8</v>
      </c>
      <c r="H44" s="12" t="s">
        <v>349</v>
      </c>
      <c r="I44" s="271" t="s">
        <v>513</v>
      </c>
      <c r="J44" s="312"/>
      <c r="K44" s="312"/>
      <c r="L44" s="309"/>
      <c r="M44" s="310" t="s">
        <v>352</v>
      </c>
      <c r="N44" s="311"/>
      <c r="O44" s="312"/>
      <c r="P44" s="312"/>
      <c r="Q44" s="309"/>
      <c r="R44" s="310" t="s">
        <v>352</v>
      </c>
      <c r="S44" s="311"/>
      <c r="T44" s="312"/>
      <c r="U44" s="309"/>
      <c r="V44" s="294" t="s">
        <v>339</v>
      </c>
      <c r="W44" s="311"/>
      <c r="X44" s="313" t="s">
        <v>287</v>
      </c>
      <c r="Y44" s="288" t="s">
        <v>275</v>
      </c>
      <c r="Z44" s="288" t="s">
        <v>312</v>
      </c>
      <c r="AA44" s="288" t="s">
        <v>281</v>
      </c>
      <c r="AB44" s="288" t="s">
        <v>270</v>
      </c>
      <c r="AC44" s="288" t="s">
        <v>373</v>
      </c>
      <c r="AD44" s="298">
        <v>42</v>
      </c>
    </row>
    <row r="45" spans="1:30" ht="132" customHeight="1">
      <c r="A45" s="288" t="s">
        <v>311</v>
      </c>
      <c r="B45" s="289" t="s">
        <v>94</v>
      </c>
      <c r="C45" s="306" t="s">
        <v>95</v>
      </c>
      <c r="D45" s="317" t="s">
        <v>289</v>
      </c>
      <c r="E45" s="318"/>
      <c r="F45" s="338" t="s">
        <v>591</v>
      </c>
      <c r="G45" s="13"/>
      <c r="H45" s="14" t="s">
        <v>353</v>
      </c>
      <c r="I45" s="338" t="s">
        <v>592</v>
      </c>
      <c r="J45" s="322"/>
      <c r="K45" s="322"/>
      <c r="L45" s="319"/>
      <c r="M45" s="320" t="s">
        <v>352</v>
      </c>
      <c r="N45" s="321"/>
      <c r="O45" s="322"/>
      <c r="P45" s="322"/>
      <c r="Q45" s="319"/>
      <c r="R45" s="320" t="s">
        <v>352</v>
      </c>
      <c r="S45" s="321"/>
      <c r="T45" s="322"/>
      <c r="U45" s="319"/>
      <c r="V45" s="294" t="s">
        <v>339</v>
      </c>
      <c r="W45" s="321"/>
      <c r="X45" s="313" t="s">
        <v>287</v>
      </c>
      <c r="Y45" s="288" t="s">
        <v>275</v>
      </c>
      <c r="Z45" s="288" t="s">
        <v>312</v>
      </c>
      <c r="AA45" s="288" t="s">
        <v>281</v>
      </c>
      <c r="AB45" s="288" t="s">
        <v>270</v>
      </c>
      <c r="AC45" s="288" t="s">
        <v>373</v>
      </c>
      <c r="AD45" s="298">
        <v>43</v>
      </c>
    </row>
    <row r="46" spans="1:30" ht="99.95" customHeight="1">
      <c r="A46" s="288" t="s">
        <v>311</v>
      </c>
      <c r="B46" s="289" t="s">
        <v>96</v>
      </c>
      <c r="C46" s="290" t="s">
        <v>153</v>
      </c>
      <c r="D46" s="316" t="s">
        <v>470</v>
      </c>
      <c r="E46" s="318"/>
      <c r="F46" s="340" t="s">
        <v>515</v>
      </c>
      <c r="G46" s="340" t="s">
        <v>470</v>
      </c>
      <c r="H46" s="14" t="s">
        <v>349</v>
      </c>
      <c r="I46" s="339" t="s">
        <v>557</v>
      </c>
      <c r="J46" s="322"/>
      <c r="K46" s="322"/>
      <c r="L46" s="319"/>
      <c r="M46" s="320" t="s">
        <v>352</v>
      </c>
      <c r="N46" s="321"/>
      <c r="O46" s="322"/>
      <c r="P46" s="322"/>
      <c r="Q46" s="319"/>
      <c r="R46" s="320" t="s">
        <v>352</v>
      </c>
      <c r="S46" s="321"/>
      <c r="T46" s="322"/>
      <c r="U46" s="319"/>
      <c r="V46" s="294" t="s">
        <v>339</v>
      </c>
      <c r="W46" s="321"/>
      <c r="X46" s="313" t="s">
        <v>287</v>
      </c>
      <c r="Y46" s="288" t="s">
        <v>275</v>
      </c>
      <c r="Z46" s="288" t="s">
        <v>312</v>
      </c>
      <c r="AA46" s="288" t="s">
        <v>281</v>
      </c>
      <c r="AB46" s="288" t="s">
        <v>270</v>
      </c>
      <c r="AC46" s="288" t="s">
        <v>373</v>
      </c>
      <c r="AD46" s="298">
        <v>44</v>
      </c>
    </row>
    <row r="47" spans="1:30" ht="87.75" customHeight="1">
      <c r="A47" s="288" t="s">
        <v>311</v>
      </c>
      <c r="B47" s="289" t="s">
        <v>388</v>
      </c>
      <c r="C47" s="290" t="s">
        <v>390</v>
      </c>
      <c r="D47" s="316" t="s">
        <v>471</v>
      </c>
      <c r="E47" s="308"/>
      <c r="F47" s="333">
        <v>0.92900000000000005</v>
      </c>
      <c r="G47" s="332">
        <v>0.85</v>
      </c>
      <c r="H47" s="12" t="s">
        <v>349</v>
      </c>
      <c r="I47" s="271" t="s">
        <v>513</v>
      </c>
      <c r="J47" s="312"/>
      <c r="K47" s="312"/>
      <c r="L47" s="309"/>
      <c r="M47" s="310" t="s">
        <v>352</v>
      </c>
      <c r="N47" s="311"/>
      <c r="O47" s="312"/>
      <c r="P47" s="312"/>
      <c r="Q47" s="309"/>
      <c r="R47" s="310" t="s">
        <v>352</v>
      </c>
      <c r="S47" s="311"/>
      <c r="T47" s="312"/>
      <c r="U47" s="309"/>
      <c r="V47" s="294" t="s">
        <v>339</v>
      </c>
      <c r="W47" s="311"/>
      <c r="X47" s="313" t="s">
        <v>287</v>
      </c>
      <c r="Y47" s="288" t="s">
        <v>275</v>
      </c>
      <c r="Z47" s="288" t="s">
        <v>312</v>
      </c>
      <c r="AA47" s="288" t="s">
        <v>281</v>
      </c>
      <c r="AB47" s="288" t="s">
        <v>270</v>
      </c>
      <c r="AC47" s="288" t="s">
        <v>373</v>
      </c>
      <c r="AD47" s="298">
        <v>45</v>
      </c>
    </row>
    <row r="48" spans="1:30" ht="87.75" customHeight="1">
      <c r="A48" s="288" t="s">
        <v>311</v>
      </c>
      <c r="B48" s="289" t="s">
        <v>389</v>
      </c>
      <c r="C48" s="290" t="s">
        <v>390</v>
      </c>
      <c r="D48" s="316" t="s">
        <v>472</v>
      </c>
      <c r="E48" s="308"/>
      <c r="F48" s="333">
        <v>0.81899999999999995</v>
      </c>
      <c r="G48" s="332">
        <v>0.85</v>
      </c>
      <c r="H48" s="12" t="s">
        <v>349</v>
      </c>
      <c r="I48" s="271" t="s">
        <v>513</v>
      </c>
      <c r="J48" s="312"/>
      <c r="K48" s="312"/>
      <c r="L48" s="309"/>
      <c r="M48" s="310" t="s">
        <v>352</v>
      </c>
      <c r="N48" s="311"/>
      <c r="O48" s="312"/>
      <c r="P48" s="312"/>
      <c r="Q48" s="309"/>
      <c r="R48" s="310" t="s">
        <v>352</v>
      </c>
      <c r="S48" s="311"/>
      <c r="T48" s="312"/>
      <c r="U48" s="309"/>
      <c r="V48" s="294" t="s">
        <v>339</v>
      </c>
      <c r="W48" s="311"/>
      <c r="X48" s="313" t="s">
        <v>287</v>
      </c>
      <c r="Y48" s="288" t="s">
        <v>275</v>
      </c>
      <c r="Z48" s="288" t="s">
        <v>312</v>
      </c>
      <c r="AA48" s="288" t="s">
        <v>281</v>
      </c>
      <c r="AB48" s="288" t="s">
        <v>270</v>
      </c>
      <c r="AC48" s="288" t="s">
        <v>373</v>
      </c>
      <c r="AD48" s="298">
        <v>46</v>
      </c>
    </row>
    <row r="49" spans="1:30" ht="99.95" customHeight="1">
      <c r="A49" s="288" t="s">
        <v>311</v>
      </c>
      <c r="B49" s="289" t="s">
        <v>97</v>
      </c>
      <c r="C49" s="306" t="s">
        <v>98</v>
      </c>
      <c r="D49" s="299" t="s">
        <v>99</v>
      </c>
      <c r="E49" s="300">
        <v>43830</v>
      </c>
      <c r="F49" s="9"/>
      <c r="G49" s="9"/>
      <c r="H49" s="10" t="s">
        <v>353</v>
      </c>
      <c r="I49" s="270" t="s">
        <v>516</v>
      </c>
      <c r="J49" s="304"/>
      <c r="K49" s="304"/>
      <c r="L49" s="301"/>
      <c r="M49" s="302" t="s">
        <v>352</v>
      </c>
      <c r="N49" s="303"/>
      <c r="O49" s="304"/>
      <c r="P49" s="304"/>
      <c r="Q49" s="301"/>
      <c r="R49" s="302" t="s">
        <v>352</v>
      </c>
      <c r="S49" s="303"/>
      <c r="T49" s="304"/>
      <c r="U49" s="301"/>
      <c r="V49" s="294" t="s">
        <v>339</v>
      </c>
      <c r="W49" s="303"/>
      <c r="X49" s="297" t="s">
        <v>286</v>
      </c>
      <c r="Y49" s="288" t="s">
        <v>275</v>
      </c>
      <c r="Z49" s="288" t="s">
        <v>312</v>
      </c>
      <c r="AA49" s="288" t="s">
        <v>281</v>
      </c>
      <c r="AB49" s="288" t="s">
        <v>270</v>
      </c>
      <c r="AC49" s="288" t="s">
        <v>373</v>
      </c>
      <c r="AD49" s="298">
        <v>47</v>
      </c>
    </row>
    <row r="50" spans="1:30" ht="99.95" customHeight="1">
      <c r="A50" s="288" t="s">
        <v>311</v>
      </c>
      <c r="B50" s="289" t="s">
        <v>100</v>
      </c>
      <c r="C50" s="306" t="s">
        <v>101</v>
      </c>
      <c r="D50" s="299" t="s">
        <v>102</v>
      </c>
      <c r="E50" s="292">
        <v>43921</v>
      </c>
      <c r="F50" s="9"/>
      <c r="G50" s="9"/>
      <c r="H50" s="10" t="s">
        <v>353</v>
      </c>
      <c r="I50" s="270" t="s">
        <v>558</v>
      </c>
      <c r="J50" s="304"/>
      <c r="K50" s="304"/>
      <c r="L50" s="301"/>
      <c r="M50" s="302" t="s">
        <v>352</v>
      </c>
      <c r="N50" s="303"/>
      <c r="O50" s="304"/>
      <c r="P50" s="304"/>
      <c r="Q50" s="301"/>
      <c r="R50" s="302" t="s">
        <v>352</v>
      </c>
      <c r="S50" s="303"/>
      <c r="T50" s="304"/>
      <c r="U50" s="301"/>
      <c r="V50" s="294" t="s">
        <v>339</v>
      </c>
      <c r="W50" s="303"/>
      <c r="X50" s="305" t="s">
        <v>283</v>
      </c>
      <c r="Y50" s="288" t="s">
        <v>275</v>
      </c>
      <c r="Z50" s="288" t="s">
        <v>312</v>
      </c>
      <c r="AA50" s="288" t="s">
        <v>281</v>
      </c>
      <c r="AB50" s="288" t="s">
        <v>270</v>
      </c>
      <c r="AC50" s="288" t="s">
        <v>373</v>
      </c>
      <c r="AD50" s="298">
        <v>48</v>
      </c>
    </row>
    <row r="51" spans="1:30" ht="99.95" customHeight="1">
      <c r="A51" s="288" t="s">
        <v>311</v>
      </c>
      <c r="B51" s="289" t="s">
        <v>103</v>
      </c>
      <c r="C51" s="306" t="s">
        <v>104</v>
      </c>
      <c r="D51" s="299" t="s">
        <v>105</v>
      </c>
      <c r="E51" s="292">
        <v>43921</v>
      </c>
      <c r="F51" s="9"/>
      <c r="G51" s="9"/>
      <c r="H51" s="10" t="s">
        <v>353</v>
      </c>
      <c r="I51" s="270" t="s">
        <v>517</v>
      </c>
      <c r="J51" s="304"/>
      <c r="K51" s="304"/>
      <c r="L51" s="301"/>
      <c r="M51" s="302" t="s">
        <v>352</v>
      </c>
      <c r="N51" s="303"/>
      <c r="O51" s="304"/>
      <c r="P51" s="304"/>
      <c r="Q51" s="301"/>
      <c r="R51" s="302" t="s">
        <v>352</v>
      </c>
      <c r="S51" s="303"/>
      <c r="T51" s="304"/>
      <c r="U51" s="301"/>
      <c r="V51" s="294" t="s">
        <v>339</v>
      </c>
      <c r="W51" s="303"/>
      <c r="X51" s="305" t="s">
        <v>283</v>
      </c>
      <c r="Y51" s="288" t="s">
        <v>275</v>
      </c>
      <c r="Z51" s="288" t="s">
        <v>312</v>
      </c>
      <c r="AA51" s="288" t="s">
        <v>281</v>
      </c>
      <c r="AB51" s="288" t="s">
        <v>270</v>
      </c>
      <c r="AC51" s="288" t="s">
        <v>373</v>
      </c>
      <c r="AD51" s="298">
        <v>49</v>
      </c>
    </row>
    <row r="52" spans="1:30" ht="99.95" customHeight="1">
      <c r="A52" s="288" t="s">
        <v>313</v>
      </c>
      <c r="B52" s="289" t="s">
        <v>106</v>
      </c>
      <c r="C52" s="306" t="s">
        <v>107</v>
      </c>
      <c r="D52" s="291" t="s">
        <v>108</v>
      </c>
      <c r="E52" s="308"/>
      <c r="F52" s="11" t="s">
        <v>577</v>
      </c>
      <c r="G52" s="11"/>
      <c r="H52" s="12" t="s">
        <v>349</v>
      </c>
      <c r="I52" s="271"/>
      <c r="J52" s="312"/>
      <c r="K52" s="312"/>
      <c r="L52" s="309"/>
      <c r="M52" s="310" t="s">
        <v>352</v>
      </c>
      <c r="N52" s="311"/>
      <c r="O52" s="312"/>
      <c r="P52" s="312"/>
      <c r="Q52" s="309"/>
      <c r="R52" s="310" t="s">
        <v>352</v>
      </c>
      <c r="S52" s="311"/>
      <c r="T52" s="312"/>
      <c r="U52" s="309"/>
      <c r="V52" s="294" t="s">
        <v>339</v>
      </c>
      <c r="W52" s="311"/>
      <c r="X52" s="313" t="s">
        <v>287</v>
      </c>
      <c r="Y52" s="288" t="s">
        <v>275</v>
      </c>
      <c r="Z52" s="288" t="s">
        <v>271</v>
      </c>
      <c r="AA52" s="288" t="s">
        <v>281</v>
      </c>
      <c r="AB52" s="288" t="s">
        <v>271</v>
      </c>
      <c r="AC52" s="288" t="s">
        <v>369</v>
      </c>
      <c r="AD52" s="298">
        <v>50</v>
      </c>
    </row>
    <row r="53" spans="1:30" ht="99.95" customHeight="1">
      <c r="A53" s="288" t="s">
        <v>313</v>
      </c>
      <c r="B53" s="289" t="s">
        <v>109</v>
      </c>
      <c r="C53" s="306" t="s">
        <v>107</v>
      </c>
      <c r="D53" s="291" t="s">
        <v>110</v>
      </c>
      <c r="E53" s="300">
        <v>43830</v>
      </c>
      <c r="F53" s="7" t="s">
        <v>578</v>
      </c>
      <c r="G53" s="7"/>
      <c r="H53" s="8" t="s">
        <v>349</v>
      </c>
      <c r="I53" s="269"/>
      <c r="J53" s="296"/>
      <c r="K53" s="296"/>
      <c r="L53" s="293"/>
      <c r="M53" s="294" t="s">
        <v>352</v>
      </c>
      <c r="N53" s="295"/>
      <c r="O53" s="296"/>
      <c r="P53" s="296"/>
      <c r="Q53" s="293"/>
      <c r="R53" s="294" t="s">
        <v>352</v>
      </c>
      <c r="S53" s="295"/>
      <c r="T53" s="296"/>
      <c r="U53" s="293"/>
      <c r="V53" s="294" t="s">
        <v>339</v>
      </c>
      <c r="W53" s="295"/>
      <c r="X53" s="297" t="s">
        <v>286</v>
      </c>
      <c r="Y53" s="288" t="s">
        <v>275</v>
      </c>
      <c r="Z53" s="288" t="s">
        <v>271</v>
      </c>
      <c r="AA53" s="288" t="s">
        <v>281</v>
      </c>
      <c r="AB53" s="288" t="s">
        <v>271</v>
      </c>
      <c r="AC53" s="288" t="s">
        <v>369</v>
      </c>
      <c r="AD53" s="298">
        <v>51</v>
      </c>
    </row>
    <row r="54" spans="1:30" ht="99.95" customHeight="1">
      <c r="A54" s="288" t="s">
        <v>313</v>
      </c>
      <c r="B54" s="289" t="s">
        <v>111</v>
      </c>
      <c r="C54" s="290" t="s">
        <v>112</v>
      </c>
      <c r="D54" s="291" t="s">
        <v>113</v>
      </c>
      <c r="E54" s="300">
        <v>43830</v>
      </c>
      <c r="F54" s="7" t="s">
        <v>578</v>
      </c>
      <c r="G54" s="7"/>
      <c r="H54" s="8" t="s">
        <v>349</v>
      </c>
      <c r="I54" s="269"/>
      <c r="J54" s="296"/>
      <c r="K54" s="296"/>
      <c r="L54" s="293"/>
      <c r="M54" s="294" t="s">
        <v>352</v>
      </c>
      <c r="N54" s="295"/>
      <c r="O54" s="296"/>
      <c r="P54" s="296"/>
      <c r="Q54" s="293"/>
      <c r="R54" s="294" t="s">
        <v>352</v>
      </c>
      <c r="S54" s="295"/>
      <c r="T54" s="296"/>
      <c r="U54" s="293"/>
      <c r="V54" s="294" t="s">
        <v>339</v>
      </c>
      <c r="W54" s="295"/>
      <c r="X54" s="297" t="s">
        <v>286</v>
      </c>
      <c r="Y54" s="288" t="s">
        <v>275</v>
      </c>
      <c r="Z54" s="288" t="s">
        <v>271</v>
      </c>
      <c r="AA54" s="288" t="s">
        <v>281</v>
      </c>
      <c r="AB54" s="288" t="s">
        <v>271</v>
      </c>
      <c r="AC54" s="288" t="s">
        <v>369</v>
      </c>
      <c r="AD54" s="298">
        <v>52</v>
      </c>
    </row>
    <row r="55" spans="1:30" ht="99.95" customHeight="1">
      <c r="A55" s="288" t="s">
        <v>313</v>
      </c>
      <c r="B55" s="289" t="s">
        <v>114</v>
      </c>
      <c r="C55" s="306" t="s">
        <v>115</v>
      </c>
      <c r="D55" s="299" t="s">
        <v>116</v>
      </c>
      <c r="E55" s="292">
        <v>43921</v>
      </c>
      <c r="F55" s="9" t="s">
        <v>579</v>
      </c>
      <c r="G55" s="9"/>
      <c r="H55" s="10" t="s">
        <v>349</v>
      </c>
      <c r="I55" s="270"/>
      <c r="J55" s="304"/>
      <c r="K55" s="304"/>
      <c r="L55" s="301"/>
      <c r="M55" s="302" t="s">
        <v>352</v>
      </c>
      <c r="N55" s="303"/>
      <c r="O55" s="304"/>
      <c r="P55" s="304"/>
      <c r="Q55" s="301"/>
      <c r="R55" s="302" t="s">
        <v>352</v>
      </c>
      <c r="S55" s="303"/>
      <c r="T55" s="304"/>
      <c r="U55" s="301"/>
      <c r="V55" s="294" t="s">
        <v>339</v>
      </c>
      <c r="W55" s="303"/>
      <c r="X55" s="305" t="s">
        <v>283</v>
      </c>
      <c r="Y55" s="288" t="s">
        <v>275</v>
      </c>
      <c r="Z55" s="288" t="s">
        <v>271</v>
      </c>
      <c r="AA55" s="288" t="s">
        <v>281</v>
      </c>
      <c r="AB55" s="288" t="s">
        <v>271</v>
      </c>
      <c r="AC55" s="288" t="s">
        <v>369</v>
      </c>
      <c r="AD55" s="298">
        <v>53</v>
      </c>
    </row>
    <row r="56" spans="1:30" ht="99.95" customHeight="1">
      <c r="A56" s="288" t="s">
        <v>313</v>
      </c>
      <c r="B56" s="289" t="s">
        <v>117</v>
      </c>
      <c r="C56" s="306" t="s">
        <v>115</v>
      </c>
      <c r="D56" s="299" t="s">
        <v>118</v>
      </c>
      <c r="E56" s="300">
        <v>43830</v>
      </c>
      <c r="F56" s="9" t="s">
        <v>580</v>
      </c>
      <c r="G56" s="9"/>
      <c r="H56" s="10" t="s">
        <v>349</v>
      </c>
      <c r="I56" s="270"/>
      <c r="J56" s="304"/>
      <c r="K56" s="304"/>
      <c r="L56" s="301"/>
      <c r="M56" s="302" t="s">
        <v>352</v>
      </c>
      <c r="N56" s="303"/>
      <c r="O56" s="304"/>
      <c r="P56" s="304"/>
      <c r="Q56" s="301"/>
      <c r="R56" s="302" t="s">
        <v>352</v>
      </c>
      <c r="S56" s="303"/>
      <c r="T56" s="304"/>
      <c r="U56" s="301"/>
      <c r="V56" s="294" t="s">
        <v>339</v>
      </c>
      <c r="W56" s="303"/>
      <c r="X56" s="297" t="s">
        <v>286</v>
      </c>
      <c r="Y56" s="288" t="s">
        <v>275</v>
      </c>
      <c r="Z56" s="288" t="s">
        <v>271</v>
      </c>
      <c r="AA56" s="288" t="s">
        <v>281</v>
      </c>
      <c r="AB56" s="288" t="s">
        <v>271</v>
      </c>
      <c r="AC56" s="288" t="s">
        <v>369</v>
      </c>
      <c r="AD56" s="298">
        <v>54</v>
      </c>
    </row>
    <row r="57" spans="1:30" ht="99.95" customHeight="1">
      <c r="A57" s="288" t="s">
        <v>329</v>
      </c>
      <c r="B57" s="289" t="s">
        <v>119</v>
      </c>
      <c r="C57" s="290" t="s">
        <v>120</v>
      </c>
      <c r="D57" s="299" t="s">
        <v>121</v>
      </c>
      <c r="E57" s="300">
        <v>43738</v>
      </c>
      <c r="F57" s="9" t="s">
        <v>559</v>
      </c>
      <c r="G57" s="9"/>
      <c r="H57" s="10" t="s">
        <v>340</v>
      </c>
      <c r="I57" s="270" t="s">
        <v>560</v>
      </c>
      <c r="J57" s="304"/>
      <c r="K57" s="304"/>
      <c r="L57" s="301"/>
      <c r="M57" s="302" t="s">
        <v>352</v>
      </c>
      <c r="N57" s="303"/>
      <c r="O57" s="304"/>
      <c r="P57" s="304"/>
      <c r="Q57" s="301"/>
      <c r="R57" s="302" t="s">
        <v>352</v>
      </c>
      <c r="S57" s="303"/>
      <c r="T57" s="304"/>
      <c r="U57" s="301"/>
      <c r="V57" s="294" t="s">
        <v>339</v>
      </c>
      <c r="W57" s="303"/>
      <c r="X57" s="305" t="s">
        <v>285</v>
      </c>
      <c r="Y57" s="288" t="s">
        <v>277</v>
      </c>
      <c r="Z57" s="288" t="s">
        <v>314</v>
      </c>
      <c r="AA57" s="288" t="s">
        <v>281</v>
      </c>
      <c r="AB57" s="288" t="s">
        <v>272</v>
      </c>
      <c r="AC57" s="288" t="s">
        <v>372</v>
      </c>
      <c r="AD57" s="298">
        <v>55</v>
      </c>
    </row>
    <row r="58" spans="1:30" ht="99.95" customHeight="1">
      <c r="A58" s="288" t="s">
        <v>329</v>
      </c>
      <c r="B58" s="289" t="s">
        <v>122</v>
      </c>
      <c r="C58" s="290" t="s">
        <v>123</v>
      </c>
      <c r="D58" s="299" t="s">
        <v>124</v>
      </c>
      <c r="E58" s="300">
        <v>43738</v>
      </c>
      <c r="F58" s="9" t="s">
        <v>481</v>
      </c>
      <c r="G58" s="9"/>
      <c r="H58" s="10" t="s">
        <v>349</v>
      </c>
      <c r="I58" s="270" t="s">
        <v>482</v>
      </c>
      <c r="J58" s="304"/>
      <c r="K58" s="304"/>
      <c r="L58" s="301"/>
      <c r="M58" s="302" t="s">
        <v>352</v>
      </c>
      <c r="N58" s="303"/>
      <c r="O58" s="304"/>
      <c r="P58" s="304"/>
      <c r="Q58" s="301"/>
      <c r="R58" s="302" t="s">
        <v>352</v>
      </c>
      <c r="S58" s="303"/>
      <c r="T58" s="304"/>
      <c r="U58" s="301"/>
      <c r="V58" s="294" t="s">
        <v>339</v>
      </c>
      <c r="W58" s="303"/>
      <c r="X58" s="305" t="s">
        <v>285</v>
      </c>
      <c r="Y58" s="288" t="s">
        <v>277</v>
      </c>
      <c r="Z58" s="288" t="s">
        <v>314</v>
      </c>
      <c r="AA58" s="288" t="s">
        <v>281</v>
      </c>
      <c r="AB58" s="288" t="s">
        <v>272</v>
      </c>
      <c r="AC58" s="288" t="s">
        <v>372</v>
      </c>
      <c r="AD58" s="298">
        <v>56</v>
      </c>
    </row>
    <row r="59" spans="1:30" ht="99.95" customHeight="1">
      <c r="A59" s="288" t="s">
        <v>329</v>
      </c>
      <c r="B59" s="289" t="s">
        <v>125</v>
      </c>
      <c r="C59" s="290" t="s">
        <v>123</v>
      </c>
      <c r="D59" s="299" t="s">
        <v>126</v>
      </c>
      <c r="E59" s="292">
        <v>43921</v>
      </c>
      <c r="F59" s="9" t="s">
        <v>561</v>
      </c>
      <c r="G59" s="9"/>
      <c r="H59" s="10" t="s">
        <v>349</v>
      </c>
      <c r="I59" s="270" t="s">
        <v>562</v>
      </c>
      <c r="J59" s="304"/>
      <c r="K59" s="304"/>
      <c r="L59" s="301"/>
      <c r="M59" s="302" t="s">
        <v>352</v>
      </c>
      <c r="N59" s="303"/>
      <c r="O59" s="304"/>
      <c r="P59" s="304"/>
      <c r="Q59" s="301"/>
      <c r="R59" s="302" t="s">
        <v>352</v>
      </c>
      <c r="S59" s="303"/>
      <c r="T59" s="304"/>
      <c r="U59" s="301"/>
      <c r="V59" s="294" t="s">
        <v>339</v>
      </c>
      <c r="W59" s="303"/>
      <c r="X59" s="305" t="s">
        <v>283</v>
      </c>
      <c r="Y59" s="288" t="s">
        <v>277</v>
      </c>
      <c r="Z59" s="288" t="s">
        <v>314</v>
      </c>
      <c r="AA59" s="288" t="s">
        <v>281</v>
      </c>
      <c r="AB59" s="288" t="s">
        <v>272</v>
      </c>
      <c r="AC59" s="288" t="s">
        <v>372</v>
      </c>
      <c r="AD59" s="298">
        <v>57</v>
      </c>
    </row>
    <row r="60" spans="1:30" ht="99.95" customHeight="1">
      <c r="A60" s="288" t="s">
        <v>316</v>
      </c>
      <c r="B60" s="289" t="s">
        <v>127</v>
      </c>
      <c r="C60" s="306" t="s">
        <v>128</v>
      </c>
      <c r="D60" s="299" t="s">
        <v>129</v>
      </c>
      <c r="E60" s="292">
        <v>43799</v>
      </c>
      <c r="F60" s="9" t="s">
        <v>540</v>
      </c>
      <c r="G60" s="9"/>
      <c r="H60" s="10" t="s">
        <v>349</v>
      </c>
      <c r="I60" s="270" t="s">
        <v>545</v>
      </c>
      <c r="J60" s="304"/>
      <c r="K60" s="304"/>
      <c r="L60" s="301"/>
      <c r="M60" s="302" t="s">
        <v>352</v>
      </c>
      <c r="N60" s="303"/>
      <c r="O60" s="304"/>
      <c r="P60" s="304"/>
      <c r="Q60" s="301"/>
      <c r="R60" s="302" t="s">
        <v>352</v>
      </c>
      <c r="S60" s="303"/>
      <c r="T60" s="304"/>
      <c r="U60" s="301"/>
      <c r="V60" s="294" t="s">
        <v>339</v>
      </c>
      <c r="W60" s="303"/>
      <c r="X60" s="297" t="s">
        <v>286</v>
      </c>
      <c r="Y60" s="288" t="s">
        <v>277</v>
      </c>
      <c r="Z60" s="288" t="s">
        <v>315</v>
      </c>
      <c r="AA60" s="288" t="s">
        <v>281</v>
      </c>
      <c r="AB60" s="288" t="s">
        <v>272</v>
      </c>
      <c r="AC60" s="288" t="s">
        <v>372</v>
      </c>
      <c r="AD60" s="298">
        <v>58</v>
      </c>
    </row>
    <row r="61" spans="1:30" ht="99.95" customHeight="1">
      <c r="A61" s="288" t="s">
        <v>316</v>
      </c>
      <c r="B61" s="289" t="s">
        <v>130</v>
      </c>
      <c r="C61" s="306" t="s">
        <v>131</v>
      </c>
      <c r="D61" s="299" t="s">
        <v>132</v>
      </c>
      <c r="E61" s="300">
        <v>43830</v>
      </c>
      <c r="F61" s="9" t="s">
        <v>541</v>
      </c>
      <c r="G61" s="9"/>
      <c r="H61" s="10" t="s">
        <v>349</v>
      </c>
      <c r="I61" s="270"/>
      <c r="J61" s="304"/>
      <c r="K61" s="304"/>
      <c r="L61" s="301"/>
      <c r="M61" s="302" t="s">
        <v>352</v>
      </c>
      <c r="N61" s="303"/>
      <c r="O61" s="304"/>
      <c r="P61" s="304"/>
      <c r="Q61" s="301"/>
      <c r="R61" s="302" t="s">
        <v>352</v>
      </c>
      <c r="S61" s="303"/>
      <c r="T61" s="304"/>
      <c r="U61" s="301"/>
      <c r="V61" s="294" t="s">
        <v>339</v>
      </c>
      <c r="W61" s="303"/>
      <c r="X61" s="297" t="s">
        <v>286</v>
      </c>
      <c r="Y61" s="288" t="s">
        <v>277</v>
      </c>
      <c r="Z61" s="288" t="s">
        <v>315</v>
      </c>
      <c r="AA61" s="288" t="s">
        <v>281</v>
      </c>
      <c r="AB61" s="288" t="s">
        <v>272</v>
      </c>
      <c r="AC61" s="288" t="s">
        <v>372</v>
      </c>
      <c r="AD61" s="298">
        <v>59</v>
      </c>
    </row>
    <row r="62" spans="1:30" ht="99.95" customHeight="1">
      <c r="A62" s="288" t="s">
        <v>304</v>
      </c>
      <c r="B62" s="289" t="s">
        <v>133</v>
      </c>
      <c r="C62" s="306" t="s">
        <v>134</v>
      </c>
      <c r="D62" s="291" t="s">
        <v>135</v>
      </c>
      <c r="E62" s="292">
        <v>43769</v>
      </c>
      <c r="F62" s="7" t="s">
        <v>506</v>
      </c>
      <c r="G62" s="7"/>
      <c r="H62" s="8" t="s">
        <v>349</v>
      </c>
      <c r="I62" s="269"/>
      <c r="J62" s="296"/>
      <c r="K62" s="296"/>
      <c r="L62" s="293"/>
      <c r="M62" s="294" t="s">
        <v>352</v>
      </c>
      <c r="N62" s="295"/>
      <c r="O62" s="296"/>
      <c r="P62" s="296"/>
      <c r="Q62" s="293"/>
      <c r="R62" s="294" t="s">
        <v>352</v>
      </c>
      <c r="S62" s="295"/>
      <c r="T62" s="296"/>
      <c r="U62" s="293"/>
      <c r="V62" s="294" t="s">
        <v>339</v>
      </c>
      <c r="W62" s="295"/>
      <c r="X62" s="297" t="s">
        <v>286</v>
      </c>
      <c r="Y62" s="288" t="s">
        <v>277</v>
      </c>
      <c r="Z62" s="288" t="s">
        <v>305</v>
      </c>
      <c r="AA62" s="288" t="s">
        <v>281</v>
      </c>
      <c r="AB62" s="288" t="s">
        <v>272</v>
      </c>
      <c r="AC62" s="288" t="s">
        <v>372</v>
      </c>
      <c r="AD62" s="298">
        <v>60</v>
      </c>
    </row>
    <row r="63" spans="1:30" ht="99.95" customHeight="1">
      <c r="A63" s="288" t="s">
        <v>330</v>
      </c>
      <c r="B63" s="289" t="s">
        <v>136</v>
      </c>
      <c r="C63" s="306" t="s">
        <v>137</v>
      </c>
      <c r="D63" s="299" t="s">
        <v>138</v>
      </c>
      <c r="E63" s="292">
        <v>43769</v>
      </c>
      <c r="F63" s="9" t="s">
        <v>563</v>
      </c>
      <c r="G63" s="9"/>
      <c r="H63" s="10" t="s">
        <v>349</v>
      </c>
      <c r="I63" s="270"/>
      <c r="J63" s="304"/>
      <c r="K63" s="304"/>
      <c r="L63" s="301"/>
      <c r="M63" s="302" t="s">
        <v>352</v>
      </c>
      <c r="N63" s="303"/>
      <c r="O63" s="304"/>
      <c r="P63" s="304"/>
      <c r="Q63" s="301"/>
      <c r="R63" s="302" t="s">
        <v>352</v>
      </c>
      <c r="S63" s="303"/>
      <c r="T63" s="304"/>
      <c r="U63" s="301"/>
      <c r="V63" s="294" t="s">
        <v>339</v>
      </c>
      <c r="W63" s="303"/>
      <c r="X63" s="297" t="s">
        <v>286</v>
      </c>
      <c r="Y63" s="288" t="s">
        <v>277</v>
      </c>
      <c r="Z63" s="288" t="s">
        <v>331</v>
      </c>
      <c r="AA63" s="288" t="s">
        <v>281</v>
      </c>
      <c r="AB63" s="288" t="s">
        <v>272</v>
      </c>
      <c r="AC63" s="288" t="s">
        <v>372</v>
      </c>
      <c r="AD63" s="298">
        <v>61</v>
      </c>
    </row>
    <row r="64" spans="1:30" ht="166.5" customHeight="1">
      <c r="A64" s="288" t="s">
        <v>502</v>
      </c>
      <c r="B64" s="289" t="s">
        <v>139</v>
      </c>
      <c r="C64" s="290" t="s">
        <v>140</v>
      </c>
      <c r="D64" s="299" t="s">
        <v>141</v>
      </c>
      <c r="E64" s="300">
        <v>43646</v>
      </c>
      <c r="F64" s="9" t="s">
        <v>588</v>
      </c>
      <c r="G64" s="9"/>
      <c r="H64" s="10" t="s">
        <v>344</v>
      </c>
      <c r="I64" s="270" t="s">
        <v>503</v>
      </c>
      <c r="J64" s="304"/>
      <c r="K64" s="304"/>
      <c r="L64" s="301"/>
      <c r="M64" s="302" t="s">
        <v>352</v>
      </c>
      <c r="N64" s="303"/>
      <c r="O64" s="304"/>
      <c r="P64" s="304"/>
      <c r="Q64" s="301"/>
      <c r="R64" s="302" t="s">
        <v>352</v>
      </c>
      <c r="S64" s="303"/>
      <c r="T64" s="304"/>
      <c r="U64" s="301"/>
      <c r="V64" s="294" t="s">
        <v>339</v>
      </c>
      <c r="W64" s="303"/>
      <c r="X64" s="297" t="s">
        <v>284</v>
      </c>
      <c r="Y64" s="288" t="s">
        <v>276</v>
      </c>
      <c r="Z64" s="288" t="s">
        <v>294</v>
      </c>
      <c r="AA64" s="288" t="s">
        <v>281</v>
      </c>
      <c r="AB64" s="288" t="s">
        <v>273</v>
      </c>
      <c r="AC64" s="288" t="s">
        <v>369</v>
      </c>
      <c r="AD64" s="298">
        <v>62</v>
      </c>
    </row>
    <row r="65" spans="1:30" ht="99.95" customHeight="1">
      <c r="A65" s="288" t="s">
        <v>318</v>
      </c>
      <c r="B65" s="289" t="s">
        <v>142</v>
      </c>
      <c r="C65" s="290" t="s">
        <v>143</v>
      </c>
      <c r="D65" s="291" t="s">
        <v>564</v>
      </c>
      <c r="E65" s="300">
        <v>43646</v>
      </c>
      <c r="F65" s="342" t="s">
        <v>490</v>
      </c>
      <c r="G65" s="7"/>
      <c r="H65" s="8" t="s">
        <v>340</v>
      </c>
      <c r="I65" s="269" t="s">
        <v>491</v>
      </c>
      <c r="J65" s="296"/>
      <c r="K65" s="296"/>
      <c r="L65" s="293"/>
      <c r="M65" s="294" t="s">
        <v>352</v>
      </c>
      <c r="N65" s="295"/>
      <c r="O65" s="296"/>
      <c r="P65" s="296"/>
      <c r="Q65" s="293"/>
      <c r="R65" s="294" t="s">
        <v>352</v>
      </c>
      <c r="S65" s="295"/>
      <c r="T65" s="296"/>
      <c r="U65" s="293"/>
      <c r="V65" s="294" t="s">
        <v>339</v>
      </c>
      <c r="W65" s="295"/>
      <c r="X65" s="297" t="s">
        <v>284</v>
      </c>
      <c r="Y65" s="288" t="s">
        <v>276</v>
      </c>
      <c r="Z65" s="288" t="s">
        <v>317</v>
      </c>
      <c r="AA65" s="288" t="s">
        <v>281</v>
      </c>
      <c r="AB65" s="288" t="s">
        <v>273</v>
      </c>
      <c r="AC65" s="288" t="s">
        <v>369</v>
      </c>
      <c r="AD65" s="298">
        <v>63</v>
      </c>
    </row>
    <row r="66" spans="1:30" ht="99.95" customHeight="1">
      <c r="A66" s="288" t="s">
        <v>318</v>
      </c>
      <c r="B66" s="289" t="s">
        <v>144</v>
      </c>
      <c r="C66" s="290" t="s">
        <v>145</v>
      </c>
      <c r="D66" s="299" t="s">
        <v>146</v>
      </c>
      <c r="E66" s="300">
        <v>43646</v>
      </c>
      <c r="F66" s="341" t="s">
        <v>565</v>
      </c>
      <c r="G66" s="9"/>
      <c r="H66" s="10" t="s">
        <v>340</v>
      </c>
      <c r="I66" s="269" t="s">
        <v>491</v>
      </c>
      <c r="J66" s="304"/>
      <c r="K66" s="304"/>
      <c r="L66" s="301"/>
      <c r="M66" s="302" t="s">
        <v>352</v>
      </c>
      <c r="N66" s="303"/>
      <c r="O66" s="304"/>
      <c r="P66" s="304"/>
      <c r="Q66" s="301"/>
      <c r="R66" s="302" t="s">
        <v>352</v>
      </c>
      <c r="S66" s="303"/>
      <c r="T66" s="304"/>
      <c r="U66" s="301"/>
      <c r="V66" s="294" t="s">
        <v>339</v>
      </c>
      <c r="W66" s="303"/>
      <c r="X66" s="297" t="s">
        <v>284</v>
      </c>
      <c r="Y66" s="288" t="s">
        <v>276</v>
      </c>
      <c r="Z66" s="288" t="s">
        <v>317</v>
      </c>
      <c r="AA66" s="288" t="s">
        <v>281</v>
      </c>
      <c r="AB66" s="288" t="s">
        <v>273</v>
      </c>
      <c r="AC66" s="288" t="s">
        <v>369</v>
      </c>
      <c r="AD66" s="298">
        <v>64</v>
      </c>
    </row>
    <row r="67" spans="1:30" ht="99.95" customHeight="1">
      <c r="A67" s="288" t="s">
        <v>318</v>
      </c>
      <c r="B67" s="289" t="s">
        <v>147</v>
      </c>
      <c r="C67" s="306" t="s">
        <v>148</v>
      </c>
      <c r="D67" s="299" t="s">
        <v>149</v>
      </c>
      <c r="E67" s="292">
        <v>43769</v>
      </c>
      <c r="F67" s="9" t="s">
        <v>492</v>
      </c>
      <c r="G67" s="9"/>
      <c r="H67" s="10" t="s">
        <v>349</v>
      </c>
      <c r="I67" s="270"/>
      <c r="J67" s="304"/>
      <c r="K67" s="304"/>
      <c r="L67" s="301"/>
      <c r="M67" s="302" t="s">
        <v>352</v>
      </c>
      <c r="N67" s="303"/>
      <c r="O67" s="304"/>
      <c r="P67" s="304"/>
      <c r="Q67" s="301"/>
      <c r="R67" s="302" t="s">
        <v>352</v>
      </c>
      <c r="S67" s="303"/>
      <c r="T67" s="304"/>
      <c r="U67" s="301"/>
      <c r="V67" s="294" t="s">
        <v>339</v>
      </c>
      <c r="W67" s="303"/>
      <c r="X67" s="297" t="s">
        <v>286</v>
      </c>
      <c r="Y67" s="288" t="s">
        <v>276</v>
      </c>
      <c r="Z67" s="288" t="s">
        <v>317</v>
      </c>
      <c r="AA67" s="288" t="s">
        <v>281</v>
      </c>
      <c r="AB67" s="288" t="s">
        <v>273</v>
      </c>
      <c r="AC67" s="288" t="s">
        <v>369</v>
      </c>
      <c r="AD67" s="298">
        <v>65</v>
      </c>
    </row>
    <row r="68" spans="1:30" ht="99.95" customHeight="1">
      <c r="A68" s="288" t="s">
        <v>332</v>
      </c>
      <c r="B68" s="289" t="s">
        <v>154</v>
      </c>
      <c r="C68" s="306" t="s">
        <v>155</v>
      </c>
      <c r="D68" s="299" t="s">
        <v>156</v>
      </c>
      <c r="E68" s="292">
        <v>43921</v>
      </c>
      <c r="F68" s="337">
        <v>10</v>
      </c>
      <c r="G68" s="336">
        <v>25</v>
      </c>
      <c r="H68" s="10" t="s">
        <v>349</v>
      </c>
      <c r="I68" s="270" t="s">
        <v>538</v>
      </c>
      <c r="J68" s="304"/>
      <c r="K68" s="304"/>
      <c r="L68" s="301"/>
      <c r="M68" s="302" t="s">
        <v>352</v>
      </c>
      <c r="N68" s="303"/>
      <c r="O68" s="304"/>
      <c r="P68" s="304"/>
      <c r="Q68" s="301"/>
      <c r="R68" s="302" t="s">
        <v>352</v>
      </c>
      <c r="S68" s="303"/>
      <c r="T68" s="304"/>
      <c r="U68" s="301"/>
      <c r="V68" s="294" t="s">
        <v>339</v>
      </c>
      <c r="W68" s="303"/>
      <c r="X68" s="305" t="s">
        <v>283</v>
      </c>
      <c r="Y68" s="288" t="s">
        <v>277</v>
      </c>
      <c r="Z68" s="288" t="s">
        <v>319</v>
      </c>
      <c r="AA68" s="288" t="s">
        <v>279</v>
      </c>
      <c r="AB68" s="288" t="s">
        <v>268</v>
      </c>
      <c r="AC68" s="288" t="s">
        <v>429</v>
      </c>
      <c r="AD68" s="298">
        <v>66</v>
      </c>
    </row>
    <row r="69" spans="1:30" ht="99.95" customHeight="1">
      <c r="A69" s="288" t="s">
        <v>332</v>
      </c>
      <c r="B69" s="289" t="s">
        <v>157</v>
      </c>
      <c r="C69" s="306" t="s">
        <v>155</v>
      </c>
      <c r="D69" s="299" t="s">
        <v>158</v>
      </c>
      <c r="E69" s="292">
        <v>43921</v>
      </c>
      <c r="F69" s="9" t="s">
        <v>539</v>
      </c>
      <c r="G69" s="9"/>
      <c r="H69" s="10" t="s">
        <v>353</v>
      </c>
      <c r="I69" s="270"/>
      <c r="J69" s="304"/>
      <c r="K69" s="304"/>
      <c r="L69" s="301"/>
      <c r="M69" s="302" t="s">
        <v>352</v>
      </c>
      <c r="N69" s="303"/>
      <c r="O69" s="304"/>
      <c r="P69" s="304"/>
      <c r="Q69" s="301"/>
      <c r="R69" s="302" t="s">
        <v>352</v>
      </c>
      <c r="S69" s="303"/>
      <c r="T69" s="304"/>
      <c r="U69" s="301"/>
      <c r="V69" s="294" t="s">
        <v>339</v>
      </c>
      <c r="W69" s="303"/>
      <c r="X69" s="305" t="s">
        <v>283</v>
      </c>
      <c r="Y69" s="288" t="s">
        <v>277</v>
      </c>
      <c r="Z69" s="288" t="s">
        <v>319</v>
      </c>
      <c r="AA69" s="288" t="s">
        <v>279</v>
      </c>
      <c r="AB69" s="288" t="s">
        <v>268</v>
      </c>
      <c r="AC69" s="288" t="s">
        <v>429</v>
      </c>
      <c r="AD69" s="298">
        <v>67</v>
      </c>
    </row>
    <row r="70" spans="1:30" ht="99.95" customHeight="1">
      <c r="A70" s="288" t="s">
        <v>313</v>
      </c>
      <c r="B70" s="289" t="s">
        <v>159</v>
      </c>
      <c r="C70" s="290" t="s">
        <v>160</v>
      </c>
      <c r="D70" s="291" t="s">
        <v>161</v>
      </c>
      <c r="E70" s="308"/>
      <c r="F70" s="11" t="s">
        <v>573</v>
      </c>
      <c r="G70" s="11"/>
      <c r="H70" s="12" t="s">
        <v>349</v>
      </c>
      <c r="I70" s="271"/>
      <c r="J70" s="312"/>
      <c r="K70" s="312"/>
      <c r="L70" s="309"/>
      <c r="M70" s="310" t="s">
        <v>352</v>
      </c>
      <c r="N70" s="311"/>
      <c r="O70" s="312"/>
      <c r="P70" s="312"/>
      <c r="Q70" s="309"/>
      <c r="R70" s="310" t="s">
        <v>352</v>
      </c>
      <c r="S70" s="311"/>
      <c r="T70" s="312"/>
      <c r="U70" s="309"/>
      <c r="V70" s="294" t="s">
        <v>339</v>
      </c>
      <c r="W70" s="311"/>
      <c r="X70" s="313" t="s">
        <v>287</v>
      </c>
      <c r="Y70" s="288" t="s">
        <v>275</v>
      </c>
      <c r="Z70" s="288" t="s">
        <v>271</v>
      </c>
      <c r="AA70" s="288" t="s">
        <v>279</v>
      </c>
      <c r="AB70" s="288" t="s">
        <v>271</v>
      </c>
      <c r="AC70" s="288" t="s">
        <v>369</v>
      </c>
      <c r="AD70" s="298">
        <v>68</v>
      </c>
    </row>
    <row r="71" spans="1:30" ht="99.95" customHeight="1">
      <c r="A71" s="288" t="s">
        <v>313</v>
      </c>
      <c r="B71" s="289" t="s">
        <v>162</v>
      </c>
      <c r="C71" s="290" t="s">
        <v>163</v>
      </c>
      <c r="D71" s="291" t="s">
        <v>161</v>
      </c>
      <c r="E71" s="308"/>
      <c r="F71" s="11" t="s">
        <v>574</v>
      </c>
      <c r="G71" s="11"/>
      <c r="H71" s="12" t="s">
        <v>349</v>
      </c>
      <c r="I71" s="271"/>
      <c r="J71" s="312"/>
      <c r="K71" s="312"/>
      <c r="L71" s="309"/>
      <c r="M71" s="310" t="s">
        <v>352</v>
      </c>
      <c r="N71" s="311"/>
      <c r="O71" s="312"/>
      <c r="P71" s="312"/>
      <c r="Q71" s="309"/>
      <c r="R71" s="310" t="s">
        <v>352</v>
      </c>
      <c r="S71" s="311"/>
      <c r="T71" s="312"/>
      <c r="U71" s="309"/>
      <c r="V71" s="294" t="s">
        <v>339</v>
      </c>
      <c r="W71" s="311"/>
      <c r="X71" s="313" t="s">
        <v>287</v>
      </c>
      <c r="Y71" s="288" t="s">
        <v>275</v>
      </c>
      <c r="Z71" s="288" t="s">
        <v>271</v>
      </c>
      <c r="AA71" s="288" t="s">
        <v>279</v>
      </c>
      <c r="AB71" s="288" t="s">
        <v>271</v>
      </c>
      <c r="AC71" s="288" t="s">
        <v>369</v>
      </c>
      <c r="AD71" s="298">
        <v>69</v>
      </c>
    </row>
    <row r="72" spans="1:30" ht="99.95" customHeight="1">
      <c r="A72" s="288" t="s">
        <v>313</v>
      </c>
      <c r="B72" s="289" t="s">
        <v>164</v>
      </c>
      <c r="C72" s="290" t="s">
        <v>165</v>
      </c>
      <c r="D72" s="291" t="s">
        <v>161</v>
      </c>
      <c r="E72" s="308"/>
      <c r="F72" s="11" t="s">
        <v>575</v>
      </c>
      <c r="G72" s="11"/>
      <c r="H72" s="12" t="s">
        <v>349</v>
      </c>
      <c r="I72" s="271"/>
      <c r="J72" s="312"/>
      <c r="K72" s="312"/>
      <c r="L72" s="309"/>
      <c r="M72" s="310" t="s">
        <v>352</v>
      </c>
      <c r="N72" s="311"/>
      <c r="O72" s="312"/>
      <c r="P72" s="312"/>
      <c r="Q72" s="309"/>
      <c r="R72" s="310" t="s">
        <v>352</v>
      </c>
      <c r="S72" s="311"/>
      <c r="T72" s="312"/>
      <c r="U72" s="309"/>
      <c r="V72" s="294" t="s">
        <v>339</v>
      </c>
      <c r="W72" s="311"/>
      <c r="X72" s="313" t="s">
        <v>287</v>
      </c>
      <c r="Y72" s="288" t="s">
        <v>275</v>
      </c>
      <c r="Z72" s="288" t="s">
        <v>271</v>
      </c>
      <c r="AA72" s="288" t="s">
        <v>279</v>
      </c>
      <c r="AB72" s="288" t="s">
        <v>271</v>
      </c>
      <c r="AC72" s="288" t="s">
        <v>369</v>
      </c>
      <c r="AD72" s="298">
        <v>70</v>
      </c>
    </row>
    <row r="73" spans="1:30" ht="99.95" customHeight="1">
      <c r="A73" s="288" t="s">
        <v>313</v>
      </c>
      <c r="B73" s="289" t="s">
        <v>166</v>
      </c>
      <c r="C73" s="306" t="s">
        <v>167</v>
      </c>
      <c r="D73" s="299" t="s">
        <v>168</v>
      </c>
      <c r="E73" s="300">
        <v>43830</v>
      </c>
      <c r="F73" s="9" t="s">
        <v>581</v>
      </c>
      <c r="G73" s="9"/>
      <c r="H73" s="10" t="s">
        <v>349</v>
      </c>
      <c r="I73" s="270"/>
      <c r="J73" s="304"/>
      <c r="K73" s="304"/>
      <c r="L73" s="301"/>
      <c r="M73" s="302" t="s">
        <v>352</v>
      </c>
      <c r="N73" s="303"/>
      <c r="O73" s="304"/>
      <c r="P73" s="304"/>
      <c r="Q73" s="301"/>
      <c r="R73" s="302" t="s">
        <v>352</v>
      </c>
      <c r="S73" s="303"/>
      <c r="T73" s="304"/>
      <c r="U73" s="301"/>
      <c r="V73" s="294" t="s">
        <v>339</v>
      </c>
      <c r="W73" s="303"/>
      <c r="X73" s="297" t="s">
        <v>284</v>
      </c>
      <c r="Y73" s="288" t="s">
        <v>275</v>
      </c>
      <c r="Z73" s="288" t="s">
        <v>271</v>
      </c>
      <c r="AA73" s="288" t="s">
        <v>279</v>
      </c>
      <c r="AB73" s="288" t="s">
        <v>271</v>
      </c>
      <c r="AC73" s="288" t="s">
        <v>369</v>
      </c>
      <c r="AD73" s="298">
        <v>71</v>
      </c>
    </row>
    <row r="74" spans="1:30" ht="99.95" customHeight="1">
      <c r="A74" s="288" t="s">
        <v>313</v>
      </c>
      <c r="B74" s="289" t="s">
        <v>169</v>
      </c>
      <c r="C74" s="306" t="s">
        <v>167</v>
      </c>
      <c r="D74" s="291" t="s">
        <v>170</v>
      </c>
      <c r="E74" s="300">
        <v>43830</v>
      </c>
      <c r="F74" s="7" t="s">
        <v>580</v>
      </c>
      <c r="G74" s="7"/>
      <c r="H74" s="8" t="s">
        <v>349</v>
      </c>
      <c r="I74" s="269"/>
      <c r="J74" s="296"/>
      <c r="K74" s="296"/>
      <c r="L74" s="293"/>
      <c r="M74" s="294" t="s">
        <v>352</v>
      </c>
      <c r="N74" s="295"/>
      <c r="O74" s="296"/>
      <c r="P74" s="296"/>
      <c r="Q74" s="293"/>
      <c r="R74" s="294" t="s">
        <v>352</v>
      </c>
      <c r="S74" s="295"/>
      <c r="T74" s="296"/>
      <c r="U74" s="293"/>
      <c r="V74" s="294" t="s">
        <v>339</v>
      </c>
      <c r="W74" s="295"/>
      <c r="X74" s="297" t="s">
        <v>286</v>
      </c>
      <c r="Y74" s="288" t="s">
        <v>275</v>
      </c>
      <c r="Z74" s="288" t="s">
        <v>271</v>
      </c>
      <c r="AA74" s="288" t="s">
        <v>279</v>
      </c>
      <c r="AB74" s="288" t="s">
        <v>271</v>
      </c>
      <c r="AC74" s="288" t="s">
        <v>369</v>
      </c>
      <c r="AD74" s="298">
        <v>72</v>
      </c>
    </row>
    <row r="75" spans="1:30" ht="99.95" customHeight="1">
      <c r="A75" s="288" t="s">
        <v>313</v>
      </c>
      <c r="B75" s="289" t="s">
        <v>171</v>
      </c>
      <c r="C75" s="306" t="s">
        <v>172</v>
      </c>
      <c r="D75" s="299" t="s">
        <v>173</v>
      </c>
      <c r="E75" s="292">
        <v>43769</v>
      </c>
      <c r="F75" s="9" t="s">
        <v>582</v>
      </c>
      <c r="G75" s="9"/>
      <c r="H75" s="10" t="s">
        <v>349</v>
      </c>
      <c r="I75" s="270"/>
      <c r="J75" s="304"/>
      <c r="K75" s="304"/>
      <c r="L75" s="301"/>
      <c r="M75" s="302" t="s">
        <v>352</v>
      </c>
      <c r="N75" s="303"/>
      <c r="O75" s="304"/>
      <c r="P75" s="304"/>
      <c r="Q75" s="301"/>
      <c r="R75" s="302" t="s">
        <v>352</v>
      </c>
      <c r="S75" s="303"/>
      <c r="T75" s="304"/>
      <c r="U75" s="301"/>
      <c r="V75" s="294" t="s">
        <v>339</v>
      </c>
      <c r="W75" s="303"/>
      <c r="X75" s="297" t="s">
        <v>286</v>
      </c>
      <c r="Y75" s="288" t="s">
        <v>275</v>
      </c>
      <c r="Z75" s="288" t="s">
        <v>271</v>
      </c>
      <c r="AA75" s="288" t="s">
        <v>279</v>
      </c>
      <c r="AB75" s="288" t="s">
        <v>271</v>
      </c>
      <c r="AC75" s="288" t="s">
        <v>369</v>
      </c>
      <c r="AD75" s="298">
        <v>73</v>
      </c>
    </row>
    <row r="76" spans="1:30" ht="99.95" customHeight="1">
      <c r="A76" s="288" t="s">
        <v>313</v>
      </c>
      <c r="B76" s="289" t="s">
        <v>174</v>
      </c>
      <c r="C76" s="306" t="s">
        <v>172</v>
      </c>
      <c r="D76" s="299" t="s">
        <v>175</v>
      </c>
      <c r="E76" s="292">
        <v>43769</v>
      </c>
      <c r="F76" s="9" t="s">
        <v>582</v>
      </c>
      <c r="G76" s="9"/>
      <c r="H76" s="10" t="s">
        <v>349</v>
      </c>
      <c r="I76" s="270"/>
      <c r="J76" s="304"/>
      <c r="K76" s="304"/>
      <c r="L76" s="301"/>
      <c r="M76" s="302" t="s">
        <v>352</v>
      </c>
      <c r="N76" s="303"/>
      <c r="O76" s="304"/>
      <c r="P76" s="304"/>
      <c r="Q76" s="301"/>
      <c r="R76" s="302" t="s">
        <v>352</v>
      </c>
      <c r="S76" s="303"/>
      <c r="T76" s="304"/>
      <c r="U76" s="301"/>
      <c r="V76" s="294" t="s">
        <v>339</v>
      </c>
      <c r="W76" s="303"/>
      <c r="X76" s="297" t="s">
        <v>286</v>
      </c>
      <c r="Y76" s="288" t="s">
        <v>275</v>
      </c>
      <c r="Z76" s="288" t="s">
        <v>271</v>
      </c>
      <c r="AA76" s="288" t="s">
        <v>279</v>
      </c>
      <c r="AB76" s="288" t="s">
        <v>271</v>
      </c>
      <c r="AC76" s="288" t="s">
        <v>369</v>
      </c>
      <c r="AD76" s="298">
        <v>74</v>
      </c>
    </row>
    <row r="77" spans="1:30" ht="99.95" customHeight="1">
      <c r="A77" s="288" t="s">
        <v>313</v>
      </c>
      <c r="B77" s="289" t="s">
        <v>176</v>
      </c>
      <c r="C77" s="306" t="s">
        <v>172</v>
      </c>
      <c r="D77" s="299" t="s">
        <v>177</v>
      </c>
      <c r="E77" s="292">
        <v>43921</v>
      </c>
      <c r="F77" s="9" t="s">
        <v>584</v>
      </c>
      <c r="G77" s="9"/>
      <c r="H77" s="10" t="s">
        <v>349</v>
      </c>
      <c r="I77" s="270"/>
      <c r="J77" s="304"/>
      <c r="K77" s="304"/>
      <c r="L77" s="301"/>
      <c r="M77" s="302" t="s">
        <v>352</v>
      </c>
      <c r="N77" s="303"/>
      <c r="O77" s="304"/>
      <c r="P77" s="304"/>
      <c r="Q77" s="301"/>
      <c r="R77" s="302" t="s">
        <v>352</v>
      </c>
      <c r="S77" s="303"/>
      <c r="T77" s="304"/>
      <c r="U77" s="301"/>
      <c r="V77" s="294" t="s">
        <v>339</v>
      </c>
      <c r="W77" s="303"/>
      <c r="X77" s="305" t="s">
        <v>283</v>
      </c>
      <c r="Y77" s="288" t="s">
        <v>275</v>
      </c>
      <c r="Z77" s="288" t="s">
        <v>271</v>
      </c>
      <c r="AA77" s="288" t="s">
        <v>279</v>
      </c>
      <c r="AB77" s="288" t="s">
        <v>271</v>
      </c>
      <c r="AC77" s="288" t="s">
        <v>369</v>
      </c>
      <c r="AD77" s="298">
        <v>75</v>
      </c>
    </row>
    <row r="78" spans="1:30" ht="99.95" customHeight="1">
      <c r="A78" s="288" t="s">
        <v>313</v>
      </c>
      <c r="B78" s="289" t="s">
        <v>178</v>
      </c>
      <c r="C78" s="306" t="s">
        <v>179</v>
      </c>
      <c r="D78" s="299" t="s">
        <v>180</v>
      </c>
      <c r="E78" s="292">
        <v>43921</v>
      </c>
      <c r="F78" s="9" t="s">
        <v>583</v>
      </c>
      <c r="G78" s="9"/>
      <c r="H78" s="10" t="s">
        <v>349</v>
      </c>
      <c r="I78" s="270"/>
      <c r="J78" s="304"/>
      <c r="K78" s="304"/>
      <c r="L78" s="301"/>
      <c r="M78" s="302" t="s">
        <v>352</v>
      </c>
      <c r="N78" s="303"/>
      <c r="O78" s="304"/>
      <c r="P78" s="304"/>
      <c r="Q78" s="301"/>
      <c r="R78" s="302" t="s">
        <v>352</v>
      </c>
      <c r="S78" s="303"/>
      <c r="T78" s="304"/>
      <c r="U78" s="301"/>
      <c r="V78" s="294" t="s">
        <v>339</v>
      </c>
      <c r="W78" s="303"/>
      <c r="X78" s="305" t="s">
        <v>283</v>
      </c>
      <c r="Y78" s="288" t="s">
        <v>275</v>
      </c>
      <c r="Z78" s="288" t="s">
        <v>271</v>
      </c>
      <c r="AA78" s="288" t="s">
        <v>279</v>
      </c>
      <c r="AB78" s="288" t="s">
        <v>271</v>
      </c>
      <c r="AC78" s="288" t="s">
        <v>369</v>
      </c>
      <c r="AD78" s="298">
        <v>76</v>
      </c>
    </row>
    <row r="79" spans="1:30" ht="99.95" customHeight="1">
      <c r="A79" s="288" t="s">
        <v>318</v>
      </c>
      <c r="B79" s="289" t="s">
        <v>181</v>
      </c>
      <c r="C79" s="290" t="s">
        <v>182</v>
      </c>
      <c r="D79" s="291" t="s">
        <v>183</v>
      </c>
      <c r="E79" s="292">
        <v>43769</v>
      </c>
      <c r="F79" s="7" t="s">
        <v>493</v>
      </c>
      <c r="G79" s="7"/>
      <c r="H79" s="8" t="s">
        <v>349</v>
      </c>
      <c r="I79" s="269"/>
      <c r="J79" s="296"/>
      <c r="K79" s="296"/>
      <c r="L79" s="293"/>
      <c r="M79" s="294" t="s">
        <v>352</v>
      </c>
      <c r="N79" s="295"/>
      <c r="O79" s="296"/>
      <c r="P79" s="296"/>
      <c r="Q79" s="293"/>
      <c r="R79" s="294" t="s">
        <v>352</v>
      </c>
      <c r="S79" s="295"/>
      <c r="T79" s="296"/>
      <c r="U79" s="293"/>
      <c r="V79" s="294" t="s">
        <v>339</v>
      </c>
      <c r="W79" s="295"/>
      <c r="X79" s="297" t="s">
        <v>286</v>
      </c>
      <c r="Y79" s="288" t="s">
        <v>276</v>
      </c>
      <c r="Z79" s="288" t="s">
        <v>317</v>
      </c>
      <c r="AA79" s="288" t="s">
        <v>279</v>
      </c>
      <c r="AB79" s="288" t="s">
        <v>273</v>
      </c>
      <c r="AC79" s="288" t="s">
        <v>369</v>
      </c>
      <c r="AD79" s="298">
        <v>77</v>
      </c>
    </row>
    <row r="80" spans="1:30" ht="99.95" customHeight="1">
      <c r="A80" s="288" t="s">
        <v>277</v>
      </c>
      <c r="B80" s="289" t="s">
        <v>184</v>
      </c>
      <c r="C80" s="290" t="s">
        <v>185</v>
      </c>
      <c r="D80" s="291" t="s">
        <v>186</v>
      </c>
      <c r="E80" s="300">
        <v>43830</v>
      </c>
      <c r="F80" s="7"/>
      <c r="G80" s="7"/>
      <c r="H80" s="8" t="s">
        <v>353</v>
      </c>
      <c r="I80" s="269"/>
      <c r="J80" s="296"/>
      <c r="K80" s="296"/>
      <c r="L80" s="293"/>
      <c r="M80" s="294" t="s">
        <v>352</v>
      </c>
      <c r="N80" s="295"/>
      <c r="O80" s="296"/>
      <c r="P80" s="296"/>
      <c r="Q80" s="293"/>
      <c r="R80" s="294" t="s">
        <v>352</v>
      </c>
      <c r="S80" s="295"/>
      <c r="T80" s="296"/>
      <c r="U80" s="293"/>
      <c r="V80" s="294" t="s">
        <v>339</v>
      </c>
      <c r="W80" s="295"/>
      <c r="X80" s="297" t="s">
        <v>286</v>
      </c>
      <c r="Y80" s="288" t="s">
        <v>277</v>
      </c>
      <c r="Z80" s="288" t="s">
        <v>319</v>
      </c>
      <c r="AA80" s="288" t="s">
        <v>279</v>
      </c>
      <c r="AB80" s="288" t="s">
        <v>273</v>
      </c>
      <c r="AC80" s="288" t="s">
        <v>369</v>
      </c>
      <c r="AD80" s="298">
        <v>78</v>
      </c>
    </row>
    <row r="81" spans="1:30" ht="99.95" customHeight="1">
      <c r="A81" s="288" t="s">
        <v>318</v>
      </c>
      <c r="B81" s="289" t="s">
        <v>187</v>
      </c>
      <c r="C81" s="290" t="s">
        <v>188</v>
      </c>
      <c r="D81" s="299" t="s">
        <v>189</v>
      </c>
      <c r="E81" s="292">
        <v>43921</v>
      </c>
      <c r="F81" s="9"/>
      <c r="G81" s="9"/>
      <c r="H81" s="10" t="s">
        <v>353</v>
      </c>
      <c r="I81" s="270"/>
      <c r="J81" s="304"/>
      <c r="K81" s="304"/>
      <c r="L81" s="301"/>
      <c r="M81" s="302" t="s">
        <v>352</v>
      </c>
      <c r="N81" s="303"/>
      <c r="O81" s="304"/>
      <c r="P81" s="304"/>
      <c r="Q81" s="301"/>
      <c r="R81" s="302" t="s">
        <v>352</v>
      </c>
      <c r="S81" s="303"/>
      <c r="T81" s="304"/>
      <c r="U81" s="301"/>
      <c r="V81" s="294" t="s">
        <v>339</v>
      </c>
      <c r="W81" s="303"/>
      <c r="X81" s="305" t="s">
        <v>283</v>
      </c>
      <c r="Y81" s="288" t="s">
        <v>276</v>
      </c>
      <c r="Z81" s="288" t="s">
        <v>317</v>
      </c>
      <c r="AA81" s="288" t="s">
        <v>279</v>
      </c>
      <c r="AB81" s="288" t="s">
        <v>273</v>
      </c>
      <c r="AC81" s="288" t="s">
        <v>369</v>
      </c>
      <c r="AD81" s="298">
        <v>79</v>
      </c>
    </row>
    <row r="82" spans="1:30" ht="99.95" customHeight="1">
      <c r="A82" s="288" t="s">
        <v>318</v>
      </c>
      <c r="B82" s="289" t="s">
        <v>190</v>
      </c>
      <c r="C82" s="290" t="s">
        <v>191</v>
      </c>
      <c r="D82" s="299" t="s">
        <v>192</v>
      </c>
      <c r="E82" s="292">
        <v>43769</v>
      </c>
      <c r="F82" s="270" t="s">
        <v>590</v>
      </c>
      <c r="G82" s="9"/>
      <c r="H82" s="10" t="s">
        <v>349</v>
      </c>
      <c r="I82" s="270"/>
      <c r="J82" s="304"/>
      <c r="K82" s="304"/>
      <c r="L82" s="301"/>
      <c r="M82" s="302" t="s">
        <v>352</v>
      </c>
      <c r="N82" s="303"/>
      <c r="O82" s="304"/>
      <c r="P82" s="304"/>
      <c r="Q82" s="301"/>
      <c r="R82" s="302" t="s">
        <v>352</v>
      </c>
      <c r="S82" s="303"/>
      <c r="T82" s="304"/>
      <c r="U82" s="301"/>
      <c r="V82" s="294" t="s">
        <v>339</v>
      </c>
      <c r="W82" s="303"/>
      <c r="X82" s="297" t="s">
        <v>286</v>
      </c>
      <c r="Y82" s="288" t="s">
        <v>276</v>
      </c>
      <c r="Z82" s="288" t="s">
        <v>317</v>
      </c>
      <c r="AA82" s="288" t="s">
        <v>279</v>
      </c>
      <c r="AB82" s="288" t="s">
        <v>273</v>
      </c>
      <c r="AC82" s="288" t="s">
        <v>369</v>
      </c>
      <c r="AD82" s="298">
        <v>80</v>
      </c>
    </row>
    <row r="83" spans="1:30" ht="99.95" customHeight="1">
      <c r="A83" s="288" t="s">
        <v>318</v>
      </c>
      <c r="B83" s="289" t="s">
        <v>193</v>
      </c>
      <c r="C83" s="290" t="s">
        <v>194</v>
      </c>
      <c r="D83" s="299" t="s">
        <v>195</v>
      </c>
      <c r="E83" s="292">
        <v>43921</v>
      </c>
      <c r="F83" s="9" t="s">
        <v>494</v>
      </c>
      <c r="G83" s="9" t="s">
        <v>495</v>
      </c>
      <c r="H83" s="10" t="s">
        <v>349</v>
      </c>
      <c r="I83" s="270" t="s">
        <v>496</v>
      </c>
      <c r="J83" s="304"/>
      <c r="K83" s="304"/>
      <c r="L83" s="301"/>
      <c r="M83" s="302" t="s">
        <v>352</v>
      </c>
      <c r="N83" s="303"/>
      <c r="O83" s="304"/>
      <c r="P83" s="304"/>
      <c r="Q83" s="301"/>
      <c r="R83" s="302" t="s">
        <v>352</v>
      </c>
      <c r="S83" s="303"/>
      <c r="T83" s="304"/>
      <c r="U83" s="301"/>
      <c r="V83" s="294" t="s">
        <v>339</v>
      </c>
      <c r="W83" s="303"/>
      <c r="X83" s="305" t="s">
        <v>283</v>
      </c>
      <c r="Y83" s="288" t="s">
        <v>276</v>
      </c>
      <c r="Z83" s="288" t="s">
        <v>317</v>
      </c>
      <c r="AA83" s="288" t="s">
        <v>279</v>
      </c>
      <c r="AB83" s="288" t="s">
        <v>273</v>
      </c>
      <c r="AC83" s="288" t="s">
        <v>369</v>
      </c>
      <c r="AD83" s="298">
        <v>81</v>
      </c>
    </row>
    <row r="84" spans="1:30" ht="99.95" customHeight="1">
      <c r="A84" s="288" t="s">
        <v>318</v>
      </c>
      <c r="B84" s="289" t="s">
        <v>196</v>
      </c>
      <c r="C84" s="290" t="s">
        <v>197</v>
      </c>
      <c r="D84" s="299" t="s">
        <v>198</v>
      </c>
      <c r="E84" s="292">
        <v>43921</v>
      </c>
      <c r="F84" s="9" t="s">
        <v>566</v>
      </c>
      <c r="G84" s="9"/>
      <c r="H84" s="10" t="s">
        <v>349</v>
      </c>
      <c r="I84" s="270" t="s">
        <v>497</v>
      </c>
      <c r="J84" s="304"/>
      <c r="K84" s="304"/>
      <c r="L84" s="301"/>
      <c r="M84" s="302" t="s">
        <v>352</v>
      </c>
      <c r="N84" s="303"/>
      <c r="O84" s="304"/>
      <c r="P84" s="304"/>
      <c r="Q84" s="301"/>
      <c r="R84" s="302" t="s">
        <v>352</v>
      </c>
      <c r="S84" s="303"/>
      <c r="T84" s="304"/>
      <c r="U84" s="301"/>
      <c r="V84" s="294" t="s">
        <v>339</v>
      </c>
      <c r="W84" s="303"/>
      <c r="X84" s="305" t="s">
        <v>283</v>
      </c>
      <c r="Y84" s="288" t="s">
        <v>276</v>
      </c>
      <c r="Z84" s="288" t="s">
        <v>317</v>
      </c>
      <c r="AA84" s="288" t="s">
        <v>279</v>
      </c>
      <c r="AB84" s="288" t="s">
        <v>273</v>
      </c>
      <c r="AC84" s="288" t="s">
        <v>369</v>
      </c>
      <c r="AD84" s="298">
        <v>82</v>
      </c>
    </row>
    <row r="85" spans="1:30" ht="99.95" customHeight="1">
      <c r="A85" s="288" t="s">
        <v>371</v>
      </c>
      <c r="B85" s="289" t="s">
        <v>199</v>
      </c>
      <c r="C85" s="306" t="s">
        <v>200</v>
      </c>
      <c r="D85" s="299" t="s">
        <v>201</v>
      </c>
      <c r="E85" s="292">
        <v>43921</v>
      </c>
      <c r="F85" s="9" t="s">
        <v>518</v>
      </c>
      <c r="G85" s="9"/>
      <c r="H85" s="10" t="s">
        <v>349</v>
      </c>
      <c r="I85" s="270"/>
      <c r="J85" s="304"/>
      <c r="K85" s="304"/>
      <c r="L85" s="301"/>
      <c r="M85" s="302" t="s">
        <v>352</v>
      </c>
      <c r="N85" s="303"/>
      <c r="O85" s="304"/>
      <c r="P85" s="304"/>
      <c r="Q85" s="301"/>
      <c r="R85" s="302" t="s">
        <v>352</v>
      </c>
      <c r="S85" s="303"/>
      <c r="T85" s="304"/>
      <c r="U85" s="301"/>
      <c r="V85" s="294" t="s">
        <v>339</v>
      </c>
      <c r="W85" s="303"/>
      <c r="X85" s="305" t="s">
        <v>283</v>
      </c>
      <c r="Y85" s="288" t="s">
        <v>277</v>
      </c>
      <c r="Z85" s="288" t="s">
        <v>370</v>
      </c>
      <c r="AA85" s="288" t="s">
        <v>279</v>
      </c>
      <c r="AB85" s="288" t="s">
        <v>273</v>
      </c>
      <c r="AC85" s="288" t="s">
        <v>372</v>
      </c>
      <c r="AD85" s="298">
        <v>83</v>
      </c>
    </row>
    <row r="86" spans="1:30" ht="119.25" customHeight="1">
      <c r="A86" s="288" t="s">
        <v>371</v>
      </c>
      <c r="B86" s="289" t="s">
        <v>202</v>
      </c>
      <c r="C86" s="306" t="s">
        <v>200</v>
      </c>
      <c r="D86" s="299" t="s">
        <v>203</v>
      </c>
      <c r="E86" s="300">
        <v>43738</v>
      </c>
      <c r="F86" s="341" t="s">
        <v>576</v>
      </c>
      <c r="G86" s="9"/>
      <c r="H86" s="10" t="s">
        <v>349</v>
      </c>
      <c r="I86" s="270"/>
      <c r="J86" s="304"/>
      <c r="K86" s="304"/>
      <c r="L86" s="301"/>
      <c r="M86" s="302" t="s">
        <v>352</v>
      </c>
      <c r="N86" s="303"/>
      <c r="O86" s="304"/>
      <c r="P86" s="304"/>
      <c r="Q86" s="301"/>
      <c r="R86" s="302" t="s">
        <v>352</v>
      </c>
      <c r="S86" s="303"/>
      <c r="T86" s="304"/>
      <c r="U86" s="301"/>
      <c r="V86" s="294" t="s">
        <v>339</v>
      </c>
      <c r="W86" s="303"/>
      <c r="X86" s="305" t="s">
        <v>285</v>
      </c>
      <c r="Y86" s="288" t="s">
        <v>277</v>
      </c>
      <c r="Z86" s="288" t="s">
        <v>370</v>
      </c>
      <c r="AA86" s="288" t="s">
        <v>279</v>
      </c>
      <c r="AB86" s="288" t="s">
        <v>273</v>
      </c>
      <c r="AC86" s="288" t="s">
        <v>372</v>
      </c>
      <c r="AD86" s="298">
        <v>84</v>
      </c>
    </row>
    <row r="87" spans="1:30" ht="99.95" customHeight="1">
      <c r="A87" s="288" t="s">
        <v>371</v>
      </c>
      <c r="B87" s="289" t="s">
        <v>204</v>
      </c>
      <c r="C87" s="306" t="s">
        <v>205</v>
      </c>
      <c r="D87" s="299" t="s">
        <v>206</v>
      </c>
      <c r="E87" s="292">
        <v>43921</v>
      </c>
      <c r="F87" s="9" t="s">
        <v>567</v>
      </c>
      <c r="G87" s="9"/>
      <c r="H87" s="10" t="s">
        <v>353</v>
      </c>
      <c r="I87" s="270"/>
      <c r="J87" s="304"/>
      <c r="K87" s="304"/>
      <c r="L87" s="301"/>
      <c r="M87" s="302" t="s">
        <v>352</v>
      </c>
      <c r="N87" s="303"/>
      <c r="O87" s="304"/>
      <c r="P87" s="304"/>
      <c r="Q87" s="301"/>
      <c r="R87" s="302" t="s">
        <v>352</v>
      </c>
      <c r="S87" s="303"/>
      <c r="T87" s="304"/>
      <c r="U87" s="301"/>
      <c r="V87" s="294" t="s">
        <v>339</v>
      </c>
      <c r="W87" s="303"/>
      <c r="X87" s="305" t="s">
        <v>283</v>
      </c>
      <c r="Y87" s="288" t="s">
        <v>277</v>
      </c>
      <c r="Z87" s="288" t="s">
        <v>370</v>
      </c>
      <c r="AA87" s="288" t="s">
        <v>279</v>
      </c>
      <c r="AB87" s="288" t="s">
        <v>273</v>
      </c>
      <c r="AC87" s="288" t="s">
        <v>372</v>
      </c>
      <c r="AD87" s="298">
        <v>85</v>
      </c>
    </row>
    <row r="88" spans="1:30" ht="99.95" customHeight="1">
      <c r="A88" s="288" t="s">
        <v>304</v>
      </c>
      <c r="B88" s="289" t="s">
        <v>207</v>
      </c>
      <c r="C88" s="306" t="s">
        <v>208</v>
      </c>
      <c r="D88" s="299" t="s">
        <v>209</v>
      </c>
      <c r="E88" s="292">
        <v>43769</v>
      </c>
      <c r="F88" s="9" t="s">
        <v>568</v>
      </c>
      <c r="G88" s="9"/>
      <c r="H88" s="10" t="s">
        <v>349</v>
      </c>
      <c r="I88" s="270"/>
      <c r="J88" s="304"/>
      <c r="K88" s="304"/>
      <c r="L88" s="301"/>
      <c r="M88" s="302" t="s">
        <v>352</v>
      </c>
      <c r="N88" s="303"/>
      <c r="O88" s="304"/>
      <c r="P88" s="304"/>
      <c r="Q88" s="301"/>
      <c r="R88" s="302" t="s">
        <v>352</v>
      </c>
      <c r="S88" s="303"/>
      <c r="T88" s="304"/>
      <c r="U88" s="301"/>
      <c r="V88" s="294" t="s">
        <v>339</v>
      </c>
      <c r="W88" s="303"/>
      <c r="X88" s="297" t="s">
        <v>286</v>
      </c>
      <c r="Y88" s="288" t="s">
        <v>277</v>
      </c>
      <c r="Z88" s="288" t="s">
        <v>305</v>
      </c>
      <c r="AA88" s="288" t="s">
        <v>280</v>
      </c>
      <c r="AB88" s="288" t="s">
        <v>268</v>
      </c>
      <c r="AC88" s="288" t="s">
        <v>429</v>
      </c>
      <c r="AD88" s="298">
        <v>86</v>
      </c>
    </row>
    <row r="89" spans="1:30" ht="99.95" customHeight="1">
      <c r="A89" s="288" t="s">
        <v>304</v>
      </c>
      <c r="B89" s="289" t="s">
        <v>210</v>
      </c>
      <c r="C89" s="306" t="s">
        <v>211</v>
      </c>
      <c r="D89" s="299" t="s">
        <v>212</v>
      </c>
      <c r="E89" s="300">
        <v>43738</v>
      </c>
      <c r="F89" s="9" t="s">
        <v>569</v>
      </c>
      <c r="G89" s="9"/>
      <c r="H89" s="10" t="s">
        <v>353</v>
      </c>
      <c r="I89" s="270"/>
      <c r="J89" s="304"/>
      <c r="K89" s="304"/>
      <c r="L89" s="301"/>
      <c r="M89" s="302" t="s">
        <v>352</v>
      </c>
      <c r="N89" s="303"/>
      <c r="O89" s="304"/>
      <c r="P89" s="304"/>
      <c r="Q89" s="301"/>
      <c r="R89" s="302" t="s">
        <v>352</v>
      </c>
      <c r="S89" s="303"/>
      <c r="T89" s="304"/>
      <c r="U89" s="301"/>
      <c r="V89" s="294" t="s">
        <v>339</v>
      </c>
      <c r="W89" s="303"/>
      <c r="X89" s="305" t="s">
        <v>285</v>
      </c>
      <c r="Y89" s="288" t="s">
        <v>277</v>
      </c>
      <c r="Z89" s="288" t="s">
        <v>305</v>
      </c>
      <c r="AA89" s="288" t="s">
        <v>280</v>
      </c>
      <c r="AB89" s="288" t="s">
        <v>268</v>
      </c>
      <c r="AC89" s="288" t="s">
        <v>429</v>
      </c>
      <c r="AD89" s="298">
        <v>87</v>
      </c>
    </row>
    <row r="90" spans="1:30" ht="99.95" customHeight="1">
      <c r="A90" s="288" t="s">
        <v>304</v>
      </c>
      <c r="B90" s="289" t="s">
        <v>213</v>
      </c>
      <c r="C90" s="306" t="s">
        <v>211</v>
      </c>
      <c r="D90" s="299" t="s">
        <v>214</v>
      </c>
      <c r="E90" s="300">
        <v>43799</v>
      </c>
      <c r="F90" s="9" t="s">
        <v>507</v>
      </c>
      <c r="G90" s="9"/>
      <c r="H90" s="10" t="s">
        <v>353</v>
      </c>
      <c r="I90" s="270"/>
      <c r="J90" s="304"/>
      <c r="K90" s="304"/>
      <c r="L90" s="301"/>
      <c r="M90" s="302" t="s">
        <v>352</v>
      </c>
      <c r="N90" s="303"/>
      <c r="O90" s="304"/>
      <c r="P90" s="304"/>
      <c r="Q90" s="301"/>
      <c r="R90" s="302" t="s">
        <v>352</v>
      </c>
      <c r="S90" s="303"/>
      <c r="T90" s="304"/>
      <c r="U90" s="301"/>
      <c r="V90" s="294" t="s">
        <v>339</v>
      </c>
      <c r="W90" s="303"/>
      <c r="X90" s="297" t="s">
        <v>286</v>
      </c>
      <c r="Y90" s="288" t="s">
        <v>277</v>
      </c>
      <c r="Z90" s="288" t="s">
        <v>305</v>
      </c>
      <c r="AA90" s="288" t="s">
        <v>280</v>
      </c>
      <c r="AB90" s="288" t="s">
        <v>268</v>
      </c>
      <c r="AC90" s="288" t="s">
        <v>429</v>
      </c>
      <c r="AD90" s="298">
        <v>88</v>
      </c>
    </row>
    <row r="91" spans="1:30" ht="99.95" customHeight="1">
      <c r="A91" s="288" t="s">
        <v>306</v>
      </c>
      <c r="B91" s="289" t="s">
        <v>215</v>
      </c>
      <c r="C91" s="290" t="s">
        <v>216</v>
      </c>
      <c r="D91" s="316" t="s">
        <v>217</v>
      </c>
      <c r="E91" s="323"/>
      <c r="F91" s="15" t="s">
        <v>519</v>
      </c>
      <c r="G91" s="15"/>
      <c r="H91" s="16" t="s">
        <v>353</v>
      </c>
      <c r="I91" s="272"/>
      <c r="J91" s="327"/>
      <c r="K91" s="327"/>
      <c r="L91" s="324"/>
      <c r="M91" s="325" t="s">
        <v>352</v>
      </c>
      <c r="N91" s="326"/>
      <c r="O91" s="327"/>
      <c r="P91" s="327"/>
      <c r="Q91" s="324"/>
      <c r="R91" s="325" t="s">
        <v>352</v>
      </c>
      <c r="S91" s="326"/>
      <c r="T91" s="327"/>
      <c r="U91" s="324"/>
      <c r="V91" s="294" t="s">
        <v>339</v>
      </c>
      <c r="W91" s="326"/>
      <c r="X91" s="328" t="s">
        <v>287</v>
      </c>
      <c r="Y91" s="288" t="s">
        <v>275</v>
      </c>
      <c r="Z91" s="288" t="s">
        <v>269</v>
      </c>
      <c r="AA91" s="288" t="s">
        <v>280</v>
      </c>
      <c r="AB91" s="288" t="s">
        <v>269</v>
      </c>
      <c r="AC91" s="288" t="s">
        <v>373</v>
      </c>
      <c r="AD91" s="298">
        <v>89</v>
      </c>
    </row>
    <row r="92" spans="1:30" ht="99.95" customHeight="1">
      <c r="A92" s="288" t="s">
        <v>306</v>
      </c>
      <c r="B92" s="289" t="s">
        <v>218</v>
      </c>
      <c r="C92" s="290" t="s">
        <v>219</v>
      </c>
      <c r="D92" s="316" t="s">
        <v>217</v>
      </c>
      <c r="E92" s="323"/>
      <c r="F92" s="15" t="s">
        <v>519</v>
      </c>
      <c r="G92" s="15"/>
      <c r="H92" s="16" t="s">
        <v>353</v>
      </c>
      <c r="I92" s="272"/>
      <c r="J92" s="327"/>
      <c r="K92" s="327"/>
      <c r="L92" s="324"/>
      <c r="M92" s="325" t="s">
        <v>352</v>
      </c>
      <c r="N92" s="326"/>
      <c r="O92" s="327"/>
      <c r="P92" s="327"/>
      <c r="Q92" s="324"/>
      <c r="R92" s="325" t="s">
        <v>352</v>
      </c>
      <c r="S92" s="326"/>
      <c r="T92" s="327"/>
      <c r="U92" s="324"/>
      <c r="V92" s="294" t="s">
        <v>339</v>
      </c>
      <c r="W92" s="326"/>
      <c r="X92" s="313" t="s">
        <v>287</v>
      </c>
      <c r="Y92" s="288" t="s">
        <v>275</v>
      </c>
      <c r="Z92" s="288" t="s">
        <v>269</v>
      </c>
      <c r="AA92" s="288" t="s">
        <v>280</v>
      </c>
      <c r="AB92" s="288" t="s">
        <v>269</v>
      </c>
      <c r="AC92" s="288" t="s">
        <v>373</v>
      </c>
      <c r="AD92" s="298">
        <v>90</v>
      </c>
    </row>
    <row r="93" spans="1:30" ht="99.95" customHeight="1">
      <c r="A93" s="288" t="s">
        <v>306</v>
      </c>
      <c r="B93" s="289" t="s">
        <v>220</v>
      </c>
      <c r="C93" s="290" t="s">
        <v>221</v>
      </c>
      <c r="D93" s="316" t="s">
        <v>217</v>
      </c>
      <c r="E93" s="323"/>
      <c r="F93" s="15" t="s">
        <v>519</v>
      </c>
      <c r="G93" s="15"/>
      <c r="H93" s="16" t="s">
        <v>353</v>
      </c>
      <c r="I93" s="272"/>
      <c r="J93" s="327"/>
      <c r="K93" s="327"/>
      <c r="L93" s="324"/>
      <c r="M93" s="325" t="s">
        <v>352</v>
      </c>
      <c r="N93" s="326"/>
      <c r="O93" s="327"/>
      <c r="P93" s="327"/>
      <c r="Q93" s="324"/>
      <c r="R93" s="325" t="s">
        <v>352</v>
      </c>
      <c r="S93" s="326"/>
      <c r="T93" s="327"/>
      <c r="U93" s="324"/>
      <c r="V93" s="294" t="s">
        <v>339</v>
      </c>
      <c r="W93" s="326"/>
      <c r="X93" s="313" t="s">
        <v>287</v>
      </c>
      <c r="Y93" s="288" t="s">
        <v>275</v>
      </c>
      <c r="Z93" s="288" t="s">
        <v>269</v>
      </c>
      <c r="AA93" s="288" t="s">
        <v>280</v>
      </c>
      <c r="AB93" s="288" t="s">
        <v>269</v>
      </c>
      <c r="AC93" s="288" t="s">
        <v>373</v>
      </c>
      <c r="AD93" s="298">
        <v>91</v>
      </c>
    </row>
    <row r="94" spans="1:30" ht="99.95" customHeight="1">
      <c r="A94" s="288" t="s">
        <v>306</v>
      </c>
      <c r="B94" s="289" t="s">
        <v>222</v>
      </c>
      <c r="C94" s="290" t="s">
        <v>223</v>
      </c>
      <c r="D94" s="316" t="s">
        <v>217</v>
      </c>
      <c r="E94" s="323"/>
      <c r="F94" s="15" t="s">
        <v>519</v>
      </c>
      <c r="G94" s="15"/>
      <c r="H94" s="16" t="s">
        <v>353</v>
      </c>
      <c r="I94" s="272"/>
      <c r="J94" s="327"/>
      <c r="K94" s="327"/>
      <c r="L94" s="324"/>
      <c r="M94" s="325" t="s">
        <v>352</v>
      </c>
      <c r="N94" s="326"/>
      <c r="O94" s="327"/>
      <c r="P94" s="327"/>
      <c r="Q94" s="324"/>
      <c r="R94" s="325" t="s">
        <v>352</v>
      </c>
      <c r="S94" s="326"/>
      <c r="T94" s="327"/>
      <c r="U94" s="324"/>
      <c r="V94" s="294" t="s">
        <v>339</v>
      </c>
      <c r="W94" s="326"/>
      <c r="X94" s="313" t="s">
        <v>287</v>
      </c>
      <c r="Y94" s="288" t="s">
        <v>275</v>
      </c>
      <c r="Z94" s="288" t="s">
        <v>269</v>
      </c>
      <c r="AA94" s="288" t="s">
        <v>280</v>
      </c>
      <c r="AB94" s="288" t="s">
        <v>269</v>
      </c>
      <c r="AC94" s="288" t="s">
        <v>373</v>
      </c>
      <c r="AD94" s="298">
        <v>92</v>
      </c>
    </row>
    <row r="95" spans="1:30" ht="99.95" customHeight="1">
      <c r="A95" s="288" t="s">
        <v>306</v>
      </c>
      <c r="B95" s="289" t="s">
        <v>224</v>
      </c>
      <c r="C95" s="290" t="s">
        <v>225</v>
      </c>
      <c r="D95" s="299" t="s">
        <v>264</v>
      </c>
      <c r="E95" s="329"/>
      <c r="F95" s="15" t="s">
        <v>520</v>
      </c>
      <c r="G95" s="15"/>
      <c r="H95" s="16" t="s">
        <v>349</v>
      </c>
      <c r="I95" s="272"/>
      <c r="J95" s="327"/>
      <c r="K95" s="327"/>
      <c r="L95" s="324"/>
      <c r="M95" s="325" t="s">
        <v>352</v>
      </c>
      <c r="N95" s="326"/>
      <c r="O95" s="327"/>
      <c r="P95" s="327"/>
      <c r="Q95" s="324"/>
      <c r="R95" s="325" t="s">
        <v>352</v>
      </c>
      <c r="S95" s="326"/>
      <c r="T95" s="327"/>
      <c r="U95" s="324"/>
      <c r="V95" s="294" t="s">
        <v>339</v>
      </c>
      <c r="W95" s="326"/>
      <c r="X95" s="313" t="s">
        <v>287</v>
      </c>
      <c r="Y95" s="288" t="s">
        <v>275</v>
      </c>
      <c r="Z95" s="288" t="s">
        <v>269</v>
      </c>
      <c r="AA95" s="288" t="s">
        <v>280</v>
      </c>
      <c r="AB95" s="288" t="s">
        <v>269</v>
      </c>
      <c r="AC95" s="288" t="s">
        <v>373</v>
      </c>
      <c r="AD95" s="298">
        <v>93</v>
      </c>
    </row>
    <row r="96" spans="1:30" ht="99.95" customHeight="1">
      <c r="A96" s="288" t="s">
        <v>306</v>
      </c>
      <c r="B96" s="289" t="s">
        <v>226</v>
      </c>
      <c r="C96" s="290" t="s">
        <v>227</v>
      </c>
      <c r="D96" s="299" t="s">
        <v>265</v>
      </c>
      <c r="E96" s="329"/>
      <c r="F96" s="15" t="s">
        <v>521</v>
      </c>
      <c r="G96" s="15"/>
      <c r="H96" s="16" t="s">
        <v>349</v>
      </c>
      <c r="I96" s="272"/>
      <c r="J96" s="327"/>
      <c r="K96" s="327"/>
      <c r="L96" s="324"/>
      <c r="M96" s="325" t="s">
        <v>352</v>
      </c>
      <c r="N96" s="326"/>
      <c r="O96" s="327"/>
      <c r="P96" s="327"/>
      <c r="Q96" s="324"/>
      <c r="R96" s="325" t="s">
        <v>352</v>
      </c>
      <c r="S96" s="326"/>
      <c r="T96" s="327"/>
      <c r="U96" s="324"/>
      <c r="V96" s="294" t="s">
        <v>339</v>
      </c>
      <c r="W96" s="326"/>
      <c r="X96" s="313" t="s">
        <v>287</v>
      </c>
      <c r="Y96" s="288" t="s">
        <v>275</v>
      </c>
      <c r="Z96" s="288" t="s">
        <v>269</v>
      </c>
      <c r="AA96" s="288" t="s">
        <v>280</v>
      </c>
      <c r="AB96" s="288" t="s">
        <v>269</v>
      </c>
      <c r="AC96" s="288" t="s">
        <v>373</v>
      </c>
      <c r="AD96" s="298">
        <v>94</v>
      </c>
    </row>
    <row r="97" spans="1:30" ht="99.95" customHeight="1">
      <c r="A97" s="288" t="s">
        <v>321</v>
      </c>
      <c r="B97" s="289" t="s">
        <v>228</v>
      </c>
      <c r="C97" s="306" t="s">
        <v>229</v>
      </c>
      <c r="D97" s="299" t="s">
        <v>230</v>
      </c>
      <c r="E97" s="323"/>
      <c r="F97" s="15" t="s">
        <v>535</v>
      </c>
      <c r="G97" s="15" t="s">
        <v>530</v>
      </c>
      <c r="H97" s="16" t="s">
        <v>349</v>
      </c>
      <c r="I97" s="272" t="s">
        <v>536</v>
      </c>
      <c r="J97" s="327"/>
      <c r="K97" s="327"/>
      <c r="L97" s="324"/>
      <c r="M97" s="325" t="s">
        <v>352</v>
      </c>
      <c r="N97" s="326"/>
      <c r="O97" s="327"/>
      <c r="P97" s="327"/>
      <c r="Q97" s="324"/>
      <c r="R97" s="325" t="s">
        <v>352</v>
      </c>
      <c r="S97" s="326"/>
      <c r="T97" s="327"/>
      <c r="U97" s="324"/>
      <c r="V97" s="294" t="s">
        <v>339</v>
      </c>
      <c r="W97" s="326"/>
      <c r="X97" s="313" t="s">
        <v>287</v>
      </c>
      <c r="Y97" s="288" t="s">
        <v>275</v>
      </c>
      <c r="Z97" s="288" t="s">
        <v>320</v>
      </c>
      <c r="AA97" s="288" t="s">
        <v>280</v>
      </c>
      <c r="AB97" s="288" t="s">
        <v>270</v>
      </c>
      <c r="AC97" s="288" t="s">
        <v>373</v>
      </c>
      <c r="AD97" s="298">
        <v>95</v>
      </c>
    </row>
    <row r="98" spans="1:30" ht="225">
      <c r="A98" s="288" t="s">
        <v>321</v>
      </c>
      <c r="B98" s="289" t="s">
        <v>231</v>
      </c>
      <c r="C98" s="306" t="s">
        <v>232</v>
      </c>
      <c r="D98" s="299" t="s">
        <v>233</v>
      </c>
      <c r="E98" s="323"/>
      <c r="F98" s="15" t="s">
        <v>593</v>
      </c>
      <c r="G98" s="15" t="s">
        <v>529</v>
      </c>
      <c r="H98" s="16" t="s">
        <v>350</v>
      </c>
      <c r="I98" s="272" t="s">
        <v>594</v>
      </c>
      <c r="J98" s="327"/>
      <c r="K98" s="327"/>
      <c r="L98" s="324"/>
      <c r="M98" s="325" t="s">
        <v>352</v>
      </c>
      <c r="N98" s="326"/>
      <c r="O98" s="327"/>
      <c r="P98" s="327"/>
      <c r="Q98" s="324"/>
      <c r="R98" s="325" t="s">
        <v>352</v>
      </c>
      <c r="S98" s="326"/>
      <c r="T98" s="327"/>
      <c r="U98" s="324"/>
      <c r="V98" s="294" t="s">
        <v>339</v>
      </c>
      <c r="W98" s="326"/>
      <c r="X98" s="313" t="s">
        <v>287</v>
      </c>
      <c r="Y98" s="288" t="s">
        <v>275</v>
      </c>
      <c r="Z98" s="288" t="s">
        <v>320</v>
      </c>
      <c r="AA98" s="288" t="s">
        <v>280</v>
      </c>
      <c r="AB98" s="288" t="s">
        <v>270</v>
      </c>
      <c r="AC98" s="288" t="s">
        <v>373</v>
      </c>
      <c r="AD98" s="298">
        <v>96</v>
      </c>
    </row>
    <row r="99" spans="1:30" ht="99.95" customHeight="1">
      <c r="A99" s="288" t="s">
        <v>321</v>
      </c>
      <c r="B99" s="289" t="s">
        <v>234</v>
      </c>
      <c r="C99" s="306" t="s">
        <v>235</v>
      </c>
      <c r="D99" s="291" t="s">
        <v>236</v>
      </c>
      <c r="E99" s="300">
        <v>43677</v>
      </c>
      <c r="F99" s="9" t="s">
        <v>531</v>
      </c>
      <c r="G99" s="9"/>
      <c r="H99" s="10" t="s">
        <v>349</v>
      </c>
      <c r="I99" s="270"/>
      <c r="J99" s="304"/>
      <c r="K99" s="304"/>
      <c r="L99" s="301"/>
      <c r="M99" s="302" t="s">
        <v>352</v>
      </c>
      <c r="N99" s="303"/>
      <c r="O99" s="304"/>
      <c r="P99" s="304"/>
      <c r="Q99" s="301"/>
      <c r="R99" s="302" t="s">
        <v>352</v>
      </c>
      <c r="S99" s="303"/>
      <c r="T99" s="304"/>
      <c r="U99" s="301"/>
      <c r="V99" s="294" t="s">
        <v>339</v>
      </c>
      <c r="W99" s="303"/>
      <c r="X99" s="305" t="s">
        <v>285</v>
      </c>
      <c r="Y99" s="288" t="s">
        <v>275</v>
      </c>
      <c r="Z99" s="288" t="s">
        <v>320</v>
      </c>
      <c r="AA99" s="288" t="s">
        <v>280</v>
      </c>
      <c r="AB99" s="288" t="s">
        <v>270</v>
      </c>
      <c r="AC99" s="288" t="s">
        <v>373</v>
      </c>
      <c r="AD99" s="298">
        <v>97</v>
      </c>
    </row>
    <row r="100" spans="1:30" ht="99.95" customHeight="1">
      <c r="A100" s="288" t="s">
        <v>321</v>
      </c>
      <c r="B100" s="289" t="s">
        <v>237</v>
      </c>
      <c r="C100" s="306" t="s">
        <v>229</v>
      </c>
      <c r="D100" s="291" t="s">
        <v>238</v>
      </c>
      <c r="E100" s="300">
        <v>43646</v>
      </c>
      <c r="F100" s="9" t="s">
        <v>533</v>
      </c>
      <c r="G100" s="9"/>
      <c r="H100" s="10" t="s">
        <v>340</v>
      </c>
      <c r="I100" s="270" t="s">
        <v>534</v>
      </c>
      <c r="J100" s="304"/>
      <c r="K100" s="304"/>
      <c r="L100" s="301"/>
      <c r="M100" s="302" t="s">
        <v>352</v>
      </c>
      <c r="N100" s="303"/>
      <c r="O100" s="304"/>
      <c r="P100" s="304"/>
      <c r="Q100" s="301"/>
      <c r="R100" s="302" t="s">
        <v>352</v>
      </c>
      <c r="S100" s="303"/>
      <c r="T100" s="304"/>
      <c r="U100" s="301"/>
      <c r="V100" s="294" t="s">
        <v>339</v>
      </c>
      <c r="W100" s="303"/>
      <c r="X100" s="297" t="s">
        <v>284</v>
      </c>
      <c r="Y100" s="288" t="s">
        <v>275</v>
      </c>
      <c r="Z100" s="288" t="s">
        <v>320</v>
      </c>
      <c r="AA100" s="288" t="s">
        <v>280</v>
      </c>
      <c r="AB100" s="288" t="s">
        <v>270</v>
      </c>
      <c r="AC100" s="288" t="s">
        <v>373</v>
      </c>
      <c r="AD100" s="298">
        <v>98</v>
      </c>
    </row>
    <row r="101" spans="1:30" ht="99.95" customHeight="1">
      <c r="A101" s="288" t="s">
        <v>321</v>
      </c>
      <c r="B101" s="289" t="s">
        <v>239</v>
      </c>
      <c r="C101" s="306" t="s">
        <v>240</v>
      </c>
      <c r="D101" s="291" t="s">
        <v>241</v>
      </c>
      <c r="E101" s="300">
        <v>43585</v>
      </c>
      <c r="F101" s="9" t="s">
        <v>532</v>
      </c>
      <c r="G101" s="9"/>
      <c r="H101" s="10" t="s">
        <v>340</v>
      </c>
      <c r="I101" s="270" t="s">
        <v>537</v>
      </c>
      <c r="J101" s="304"/>
      <c r="K101" s="304"/>
      <c r="L101" s="301"/>
      <c r="M101" s="302" t="s">
        <v>352</v>
      </c>
      <c r="N101" s="303"/>
      <c r="O101" s="304"/>
      <c r="P101" s="304"/>
      <c r="Q101" s="301"/>
      <c r="R101" s="302" t="s">
        <v>352</v>
      </c>
      <c r="S101" s="303"/>
      <c r="T101" s="304"/>
      <c r="U101" s="301"/>
      <c r="V101" s="294" t="s">
        <v>339</v>
      </c>
      <c r="W101" s="303"/>
      <c r="X101" s="297" t="s">
        <v>284</v>
      </c>
      <c r="Y101" s="288" t="s">
        <v>275</v>
      </c>
      <c r="Z101" s="288" t="s">
        <v>320</v>
      </c>
      <c r="AA101" s="288" t="s">
        <v>280</v>
      </c>
      <c r="AB101" s="288" t="s">
        <v>270</v>
      </c>
      <c r="AC101" s="288" t="s">
        <v>373</v>
      </c>
      <c r="AD101" s="298">
        <v>99</v>
      </c>
    </row>
    <row r="102" spans="1:30" ht="99.95" customHeight="1">
      <c r="A102" s="288" t="s">
        <v>329</v>
      </c>
      <c r="B102" s="289" t="s">
        <v>242</v>
      </c>
      <c r="C102" s="306" t="s">
        <v>243</v>
      </c>
      <c r="D102" s="299" t="s">
        <v>244</v>
      </c>
      <c r="E102" s="292">
        <v>43769</v>
      </c>
      <c r="F102" s="9" t="s">
        <v>571</v>
      </c>
      <c r="G102" s="9"/>
      <c r="H102" s="10" t="s">
        <v>349</v>
      </c>
      <c r="I102" s="270" t="s">
        <v>570</v>
      </c>
      <c r="J102" s="304"/>
      <c r="K102" s="304"/>
      <c r="L102" s="301"/>
      <c r="M102" s="302" t="s">
        <v>352</v>
      </c>
      <c r="N102" s="303"/>
      <c r="O102" s="304"/>
      <c r="P102" s="304"/>
      <c r="Q102" s="301"/>
      <c r="R102" s="302" t="s">
        <v>352</v>
      </c>
      <c r="S102" s="303"/>
      <c r="T102" s="304"/>
      <c r="U102" s="301"/>
      <c r="V102" s="294" t="s">
        <v>339</v>
      </c>
      <c r="W102" s="303"/>
      <c r="X102" s="297" t="s">
        <v>286</v>
      </c>
      <c r="Y102" s="288" t="s">
        <v>277</v>
      </c>
      <c r="Z102" s="288" t="s">
        <v>314</v>
      </c>
      <c r="AA102" s="288" t="s">
        <v>280</v>
      </c>
      <c r="AB102" s="288" t="s">
        <v>272</v>
      </c>
      <c r="AC102" s="288" t="s">
        <v>372</v>
      </c>
      <c r="AD102" s="298">
        <v>100</v>
      </c>
    </row>
    <row r="103" spans="1:30" ht="99.95" customHeight="1">
      <c r="A103" s="288" t="s">
        <v>316</v>
      </c>
      <c r="B103" s="289" t="s">
        <v>245</v>
      </c>
      <c r="C103" s="306" t="s">
        <v>243</v>
      </c>
      <c r="D103" s="299" t="s">
        <v>322</v>
      </c>
      <c r="E103" s="292">
        <v>43921</v>
      </c>
      <c r="F103" s="9" t="s">
        <v>544</v>
      </c>
      <c r="G103" s="9"/>
      <c r="H103" s="10" t="s">
        <v>349</v>
      </c>
      <c r="I103" s="270" t="s">
        <v>572</v>
      </c>
      <c r="J103" s="304"/>
      <c r="K103" s="304"/>
      <c r="L103" s="301"/>
      <c r="M103" s="302" t="s">
        <v>352</v>
      </c>
      <c r="N103" s="303"/>
      <c r="O103" s="304"/>
      <c r="P103" s="304"/>
      <c r="Q103" s="301"/>
      <c r="R103" s="302" t="s">
        <v>352</v>
      </c>
      <c r="S103" s="303"/>
      <c r="T103" s="304"/>
      <c r="U103" s="301"/>
      <c r="V103" s="294" t="s">
        <v>339</v>
      </c>
      <c r="W103" s="303"/>
      <c r="X103" s="305" t="s">
        <v>283</v>
      </c>
      <c r="Y103" s="288" t="s">
        <v>277</v>
      </c>
      <c r="Z103" s="288" t="s">
        <v>315</v>
      </c>
      <c r="AA103" s="288" t="s">
        <v>280</v>
      </c>
      <c r="AB103" s="288" t="s">
        <v>272</v>
      </c>
      <c r="AC103" s="288" t="s">
        <v>372</v>
      </c>
      <c r="AD103" s="298">
        <v>101</v>
      </c>
    </row>
    <row r="104" spans="1:30" ht="99.95" customHeight="1">
      <c r="A104" s="288" t="s">
        <v>316</v>
      </c>
      <c r="B104" s="289" t="s">
        <v>246</v>
      </c>
      <c r="C104" s="306" t="s">
        <v>243</v>
      </c>
      <c r="D104" s="299" t="s">
        <v>247</v>
      </c>
      <c r="E104" s="292">
        <v>43921</v>
      </c>
      <c r="F104" s="9" t="s">
        <v>542</v>
      </c>
      <c r="G104" s="9"/>
      <c r="H104" s="10" t="s">
        <v>349</v>
      </c>
      <c r="I104" s="270" t="s">
        <v>543</v>
      </c>
      <c r="J104" s="304"/>
      <c r="K104" s="304"/>
      <c r="L104" s="301"/>
      <c r="M104" s="302" t="s">
        <v>352</v>
      </c>
      <c r="N104" s="303"/>
      <c r="O104" s="304"/>
      <c r="P104" s="304"/>
      <c r="Q104" s="301"/>
      <c r="R104" s="302" t="s">
        <v>352</v>
      </c>
      <c r="S104" s="303"/>
      <c r="T104" s="304"/>
      <c r="U104" s="301"/>
      <c r="V104" s="294" t="s">
        <v>339</v>
      </c>
      <c r="W104" s="303"/>
      <c r="X104" s="305" t="s">
        <v>283</v>
      </c>
      <c r="Y104" s="288" t="s">
        <v>277</v>
      </c>
      <c r="Z104" s="288" t="s">
        <v>315</v>
      </c>
      <c r="AA104" s="288" t="s">
        <v>280</v>
      </c>
      <c r="AB104" s="288" t="s">
        <v>272</v>
      </c>
      <c r="AC104" s="288" t="s">
        <v>372</v>
      </c>
      <c r="AD104" s="298">
        <v>102</v>
      </c>
    </row>
    <row r="105" spans="1:30" ht="99.95" customHeight="1">
      <c r="A105" s="288" t="s">
        <v>318</v>
      </c>
      <c r="B105" s="289" t="s">
        <v>248</v>
      </c>
      <c r="C105" s="290" t="s">
        <v>249</v>
      </c>
      <c r="D105" s="291" t="s">
        <v>250</v>
      </c>
      <c r="E105" s="300">
        <v>43830</v>
      </c>
      <c r="F105" s="9" t="s">
        <v>498</v>
      </c>
      <c r="G105" s="9"/>
      <c r="H105" s="10" t="s">
        <v>349</v>
      </c>
      <c r="I105" s="270"/>
      <c r="J105" s="304"/>
      <c r="K105" s="304"/>
      <c r="L105" s="301"/>
      <c r="M105" s="302" t="s">
        <v>352</v>
      </c>
      <c r="N105" s="303"/>
      <c r="O105" s="304"/>
      <c r="P105" s="304"/>
      <c r="Q105" s="301"/>
      <c r="R105" s="302" t="s">
        <v>352</v>
      </c>
      <c r="S105" s="303"/>
      <c r="T105" s="304"/>
      <c r="U105" s="301"/>
      <c r="V105" s="294" t="s">
        <v>339</v>
      </c>
      <c r="W105" s="303"/>
      <c r="X105" s="297" t="s">
        <v>286</v>
      </c>
      <c r="Y105" s="288" t="s">
        <v>276</v>
      </c>
      <c r="Z105" s="288" t="s">
        <v>317</v>
      </c>
      <c r="AA105" s="288" t="s">
        <v>280</v>
      </c>
      <c r="AB105" s="288" t="s">
        <v>273</v>
      </c>
      <c r="AC105" s="288" t="s">
        <v>369</v>
      </c>
      <c r="AD105" s="298">
        <v>103</v>
      </c>
    </row>
    <row r="106" spans="1:30" ht="99.95" customHeight="1">
      <c r="A106" s="288" t="s">
        <v>318</v>
      </c>
      <c r="B106" s="289" t="s">
        <v>251</v>
      </c>
      <c r="C106" s="290" t="s">
        <v>252</v>
      </c>
      <c r="D106" s="291" t="s">
        <v>253</v>
      </c>
      <c r="E106" s="300">
        <v>43830</v>
      </c>
      <c r="F106" s="9" t="s">
        <v>499</v>
      </c>
      <c r="G106" s="9"/>
      <c r="H106" s="10" t="s">
        <v>349</v>
      </c>
      <c r="I106" s="270"/>
      <c r="J106" s="304"/>
      <c r="K106" s="304"/>
      <c r="L106" s="301"/>
      <c r="M106" s="302" t="s">
        <v>352</v>
      </c>
      <c r="N106" s="303"/>
      <c r="O106" s="304"/>
      <c r="P106" s="304"/>
      <c r="Q106" s="301"/>
      <c r="R106" s="302" t="s">
        <v>352</v>
      </c>
      <c r="S106" s="303"/>
      <c r="T106" s="304"/>
      <c r="U106" s="301"/>
      <c r="V106" s="294" t="s">
        <v>339</v>
      </c>
      <c r="W106" s="303"/>
      <c r="X106" s="297" t="s">
        <v>286</v>
      </c>
      <c r="Y106" s="288" t="s">
        <v>276</v>
      </c>
      <c r="Z106" s="288" t="s">
        <v>317</v>
      </c>
      <c r="AA106" s="288" t="s">
        <v>280</v>
      </c>
      <c r="AB106" s="288" t="s">
        <v>273</v>
      </c>
      <c r="AC106" s="288" t="s">
        <v>369</v>
      </c>
      <c r="AD106" s="298">
        <v>104</v>
      </c>
    </row>
    <row r="107" spans="1:30" ht="99.95" customHeight="1">
      <c r="A107" s="288" t="s">
        <v>318</v>
      </c>
      <c r="B107" s="289" t="s">
        <v>254</v>
      </c>
      <c r="C107" s="290" t="s">
        <v>255</v>
      </c>
      <c r="D107" s="291" t="s">
        <v>256</v>
      </c>
      <c r="E107" s="292">
        <v>43921</v>
      </c>
      <c r="F107" s="9" t="s">
        <v>500</v>
      </c>
      <c r="G107" s="9"/>
      <c r="H107" s="10" t="s">
        <v>349</v>
      </c>
      <c r="I107" s="270"/>
      <c r="J107" s="304"/>
      <c r="K107" s="304"/>
      <c r="L107" s="301"/>
      <c r="M107" s="302" t="s">
        <v>352</v>
      </c>
      <c r="N107" s="303"/>
      <c r="O107" s="304"/>
      <c r="P107" s="304"/>
      <c r="Q107" s="301"/>
      <c r="R107" s="302" t="s">
        <v>352</v>
      </c>
      <c r="S107" s="303"/>
      <c r="T107" s="304"/>
      <c r="U107" s="301"/>
      <c r="V107" s="294" t="s">
        <v>339</v>
      </c>
      <c r="W107" s="303"/>
      <c r="X107" s="305" t="s">
        <v>283</v>
      </c>
      <c r="Y107" s="288" t="s">
        <v>276</v>
      </c>
      <c r="Z107" s="288" t="s">
        <v>317</v>
      </c>
      <c r="AA107" s="288" t="s">
        <v>280</v>
      </c>
      <c r="AB107" s="288" t="s">
        <v>273</v>
      </c>
      <c r="AC107" s="288" t="s">
        <v>369</v>
      </c>
      <c r="AD107" s="298">
        <v>105</v>
      </c>
    </row>
    <row r="108" spans="1:30" ht="99.95" customHeight="1">
      <c r="A108" s="288" t="s">
        <v>318</v>
      </c>
      <c r="B108" s="289" t="s">
        <v>257</v>
      </c>
      <c r="C108" s="290" t="s">
        <v>255</v>
      </c>
      <c r="D108" s="291" t="s">
        <v>258</v>
      </c>
      <c r="E108" s="292">
        <v>43921</v>
      </c>
      <c r="F108" s="9"/>
      <c r="G108" s="9"/>
      <c r="H108" s="10" t="s">
        <v>353</v>
      </c>
      <c r="I108" s="270"/>
      <c r="J108" s="304"/>
      <c r="K108" s="304"/>
      <c r="L108" s="301"/>
      <c r="M108" s="302" t="s">
        <v>352</v>
      </c>
      <c r="N108" s="303"/>
      <c r="O108" s="304"/>
      <c r="P108" s="304"/>
      <c r="Q108" s="301"/>
      <c r="R108" s="302" t="s">
        <v>352</v>
      </c>
      <c r="S108" s="303"/>
      <c r="T108" s="304"/>
      <c r="U108" s="301"/>
      <c r="V108" s="294" t="s">
        <v>339</v>
      </c>
      <c r="W108" s="303"/>
      <c r="X108" s="305" t="s">
        <v>283</v>
      </c>
      <c r="Y108" s="288" t="s">
        <v>276</v>
      </c>
      <c r="Z108" s="288" t="s">
        <v>317</v>
      </c>
      <c r="AA108" s="288" t="s">
        <v>280</v>
      </c>
      <c r="AB108" s="288" t="s">
        <v>273</v>
      </c>
      <c r="AC108" s="288" t="s">
        <v>369</v>
      </c>
      <c r="AD108" s="298">
        <v>106</v>
      </c>
    </row>
    <row r="109" spans="1:30" ht="99.95" customHeight="1">
      <c r="A109" s="288" t="s">
        <v>304</v>
      </c>
      <c r="B109" s="289" t="s">
        <v>259</v>
      </c>
      <c r="C109" s="290" t="s">
        <v>260</v>
      </c>
      <c r="D109" s="291" t="s">
        <v>261</v>
      </c>
      <c r="E109" s="292">
        <v>43921</v>
      </c>
      <c r="F109" s="9" t="s">
        <v>508</v>
      </c>
      <c r="G109" s="9"/>
      <c r="H109" s="10" t="s">
        <v>353</v>
      </c>
      <c r="I109" s="270"/>
      <c r="J109" s="304"/>
      <c r="K109" s="304"/>
      <c r="L109" s="301"/>
      <c r="M109" s="302" t="s">
        <v>352</v>
      </c>
      <c r="N109" s="303"/>
      <c r="O109" s="304"/>
      <c r="P109" s="304"/>
      <c r="Q109" s="301"/>
      <c r="R109" s="302" t="s">
        <v>352</v>
      </c>
      <c r="S109" s="303"/>
      <c r="T109" s="304"/>
      <c r="U109" s="301"/>
      <c r="V109" s="294" t="s">
        <v>339</v>
      </c>
      <c r="W109" s="303"/>
      <c r="X109" s="305" t="s">
        <v>283</v>
      </c>
      <c r="Y109" s="288" t="s">
        <v>277</v>
      </c>
      <c r="Z109" s="288" t="s">
        <v>305</v>
      </c>
      <c r="AA109" s="288" t="s">
        <v>280</v>
      </c>
      <c r="AB109" s="288" t="s">
        <v>273</v>
      </c>
      <c r="AC109" s="288" t="s">
        <v>429</v>
      </c>
      <c r="AD109" s="298">
        <v>107</v>
      </c>
    </row>
    <row r="110" spans="1:30" ht="99.95" customHeight="1">
      <c r="A110" s="288" t="s">
        <v>318</v>
      </c>
      <c r="B110" s="289" t="s">
        <v>262</v>
      </c>
      <c r="C110" s="290" t="s">
        <v>260</v>
      </c>
      <c r="D110" s="291" t="s">
        <v>263</v>
      </c>
      <c r="E110" s="292">
        <v>43921</v>
      </c>
      <c r="F110" s="9" t="s">
        <v>501</v>
      </c>
      <c r="G110" s="9"/>
      <c r="H110" s="10" t="s">
        <v>349</v>
      </c>
      <c r="I110" s="270"/>
      <c r="J110" s="304"/>
      <c r="K110" s="304"/>
      <c r="L110" s="301"/>
      <c r="M110" s="302" t="s">
        <v>352</v>
      </c>
      <c r="N110" s="303"/>
      <c r="O110" s="304"/>
      <c r="P110" s="304"/>
      <c r="Q110" s="301"/>
      <c r="R110" s="302" t="s">
        <v>352</v>
      </c>
      <c r="S110" s="303"/>
      <c r="T110" s="304"/>
      <c r="U110" s="301"/>
      <c r="V110" s="294" t="s">
        <v>339</v>
      </c>
      <c r="W110" s="303"/>
      <c r="X110" s="305" t="s">
        <v>283</v>
      </c>
      <c r="Y110" s="288" t="s">
        <v>276</v>
      </c>
      <c r="Z110" s="288" t="s">
        <v>317</v>
      </c>
      <c r="AA110" s="288" t="s">
        <v>280</v>
      </c>
      <c r="AB110" s="288" t="s">
        <v>273</v>
      </c>
      <c r="AC110" s="288" t="s">
        <v>369</v>
      </c>
      <c r="AD110" s="298">
        <v>108</v>
      </c>
    </row>
    <row r="111" spans="1:30">
      <c r="F111" s="330"/>
      <c r="G111" s="330"/>
      <c r="H111" s="330"/>
      <c r="I111" s="330"/>
      <c r="J111" s="330"/>
      <c r="K111" s="330"/>
      <c r="L111" s="330"/>
      <c r="M111" s="330"/>
      <c r="N111" s="330"/>
      <c r="O111" s="330"/>
      <c r="P111" s="330"/>
      <c r="Q111" s="330"/>
      <c r="R111" s="330"/>
      <c r="S111" s="330"/>
      <c r="T111" s="330"/>
      <c r="U111" s="330"/>
      <c r="V111" s="330"/>
      <c r="W111" s="330"/>
    </row>
    <row r="145" spans="1:1">
      <c r="A145" s="1" t="s">
        <v>339</v>
      </c>
    </row>
    <row r="146" spans="1:1">
      <c r="A146" s="1" t="s">
        <v>340</v>
      </c>
    </row>
    <row r="147" spans="1:1">
      <c r="A147" s="1" t="s">
        <v>341</v>
      </c>
    </row>
    <row r="148" spans="1:1">
      <c r="A148" s="1" t="s">
        <v>342</v>
      </c>
    </row>
    <row r="149" spans="1:1">
      <c r="A149" s="1" t="s">
        <v>343</v>
      </c>
    </row>
    <row r="150" spans="1:1">
      <c r="A150" s="1" t="s">
        <v>344</v>
      </c>
    </row>
    <row r="151" spans="1:1">
      <c r="A151" s="1" t="s">
        <v>345</v>
      </c>
    </row>
    <row r="152" spans="1:1">
      <c r="A152" s="1" t="s">
        <v>346</v>
      </c>
    </row>
    <row r="153" spans="1:1">
      <c r="A153" s="1" t="s">
        <v>347</v>
      </c>
    </row>
    <row r="154" spans="1:1">
      <c r="A154" s="1" t="s">
        <v>348</v>
      </c>
    </row>
    <row r="155" spans="1:1">
      <c r="A155" s="2"/>
    </row>
    <row r="156" spans="1:1">
      <c r="A156" s="2"/>
    </row>
    <row r="157" spans="1:1">
      <c r="A157" s="2"/>
    </row>
    <row r="158" spans="1:1">
      <c r="A158" s="3"/>
    </row>
    <row r="159" spans="1:1">
      <c r="A159" s="3"/>
    </row>
    <row r="160" spans="1:1">
      <c r="A160" s="2"/>
    </row>
    <row r="161" spans="1:1">
      <c r="A161" s="2"/>
    </row>
    <row r="162" spans="1:1">
      <c r="A162" s="2"/>
    </row>
    <row r="163" spans="1:1">
      <c r="A163" s="5" t="s">
        <v>340</v>
      </c>
    </row>
    <row r="164" spans="1:1">
      <c r="A164" s="5" t="s">
        <v>349</v>
      </c>
    </row>
    <row r="165" spans="1:1">
      <c r="A165" s="5" t="s">
        <v>350</v>
      </c>
    </row>
    <row r="166" spans="1:1">
      <c r="A166" s="5" t="s">
        <v>344</v>
      </c>
    </row>
    <row r="167" spans="1:1">
      <c r="A167" s="5" t="s">
        <v>351</v>
      </c>
    </row>
    <row r="168" spans="1:1">
      <c r="A168" s="6" t="s">
        <v>348</v>
      </c>
    </row>
    <row r="169" spans="1:1">
      <c r="A169" s="5" t="s">
        <v>353</v>
      </c>
    </row>
    <row r="170" spans="1:1">
      <c r="A170" s="5" t="s">
        <v>352</v>
      </c>
    </row>
    <row r="171" spans="1:1">
      <c r="A171" s="4" t="s">
        <v>347</v>
      </c>
    </row>
  </sheetData>
  <sheetProtection autoFilter="0" pivotTables="0"/>
  <autoFilter ref="A2:AD110"/>
  <mergeCells count="4">
    <mergeCell ref="F1:I1"/>
    <mergeCell ref="J1:N1"/>
    <mergeCell ref="O1:S1"/>
    <mergeCell ref="T1:W1"/>
  </mergeCells>
  <conditionalFormatting sqref="H3:H38 H40 H43 H45:H47 H49:H110">
    <cfRule type="containsText" dxfId="4210" priority="286" operator="containsText" text="Deferred">
      <formula>NOT(ISERROR(SEARCH("Deferred",H3)))</formula>
    </cfRule>
    <cfRule type="containsText" dxfId="4209" priority="288" operator="containsText" text="Update Not Provided">
      <formula>NOT(ISERROR(SEARCH("Update Not Provided",H3)))</formula>
    </cfRule>
    <cfRule type="containsText" dxfId="4208" priority="289" operator="containsText" text="Not Yet Due">
      <formula>NOT(ISERROR(SEARCH("Not Yet Due",H3)))</formula>
    </cfRule>
    <cfRule type="containsText" dxfId="4207" priority="290" operator="containsText" text="Deleted">
      <formula>NOT(ISERROR(SEARCH("Deleted",H3)))</formula>
    </cfRule>
    <cfRule type="containsText" dxfId="4206" priority="291" operator="containsText" text="Completed Behind Schedule">
      <formula>NOT(ISERROR(SEARCH("Completed Behind Schedule",H3)))</formula>
    </cfRule>
    <cfRule type="containsText" dxfId="4205" priority="292" operator="containsText" text="Off Target">
      <formula>NOT(ISERROR(SEARCH("Off Target",H3)))</formula>
    </cfRule>
    <cfRule type="containsText" dxfId="4204" priority="293" operator="containsText" text="In Danger of Falling Behind Target">
      <formula>NOT(ISERROR(SEARCH("In Danger of Falling Behind Target",H3)))</formula>
    </cfRule>
    <cfRule type="containsText" dxfId="4203" priority="294" operator="containsText" text="Fully Achieved">
      <formula>NOT(ISERROR(SEARCH("Fully Achieved",H3)))</formula>
    </cfRule>
    <cfRule type="containsText" dxfId="4202" priority="295" operator="containsText" text="On track to be achieved">
      <formula>NOT(ISERROR(SEARCH("On track to be achieved",H3)))</formula>
    </cfRule>
  </conditionalFormatting>
  <conditionalFormatting sqref="V3:V38 V40 V43 V45:V47 V49:V110">
    <cfRule type="containsText" dxfId="4201" priority="231" operator="containsText" text="Deleted">
      <formula>NOT(ISERROR(SEARCH("Deleted",V3)))</formula>
    </cfRule>
    <cfRule type="containsText" dxfId="4200" priority="232" operator="containsText" text="Deferred">
      <formula>NOT(ISERROR(SEARCH("Deferred",V3)))</formula>
    </cfRule>
    <cfRule type="containsText" dxfId="4199" priority="233" operator="containsText" text="Completion date within reasonable tolerance">
      <formula>NOT(ISERROR(SEARCH("Completion date within reasonable tolerance",V3)))</formula>
    </cfRule>
    <cfRule type="containsText" dxfId="4198" priority="234" operator="containsText" text="completed significantly after target deadline">
      <formula>NOT(ISERROR(SEARCH("completed significantly after target deadline",V3)))</formula>
    </cfRule>
    <cfRule type="containsText" dxfId="4197" priority="235" operator="containsText" text="Off target">
      <formula>NOT(ISERROR(SEARCH("Off target",V3)))</formula>
    </cfRule>
    <cfRule type="containsText" dxfId="4196" priority="236" operator="containsText" text="Target partially met">
      <formula>NOT(ISERROR(SEARCH("Target partially met",V3)))</formula>
    </cfRule>
    <cfRule type="containsText" dxfId="4195" priority="237" operator="containsText" text="Numerical outturn within 10% tolerance">
      <formula>NOT(ISERROR(SEARCH("Numerical outturn within 10% tolerance",V3)))</formula>
    </cfRule>
    <cfRule type="containsText" dxfId="4194" priority="238" operator="containsText" text="Numerical outturn within 5% Tolerance">
      <formula>NOT(ISERROR(SEARCH("Numerical outturn within 5% Tolerance",V3)))</formula>
    </cfRule>
    <cfRule type="containsText" dxfId="4193" priority="239" operator="containsText" text="Fully Achieved">
      <formula>NOT(ISERROR(SEARCH("Fully Achieved",V3)))</formula>
    </cfRule>
    <cfRule type="containsText" dxfId="4192" priority="240" operator="containsText" text="Update Not Provided">
      <formula>NOT(ISERROR(SEARCH("Update Not Provided",V3)))</formula>
    </cfRule>
    <cfRule type="containsText" dxfId="4191" priority="259" operator="containsText" text="Deferred">
      <formula>NOT(ISERROR(SEARCH("Deferred",V3)))</formula>
    </cfRule>
    <cfRule type="containsText" dxfId="4190" priority="260" operator="containsText" text="Update Not Provided">
      <formula>NOT(ISERROR(SEARCH("Update Not Provided",V3)))</formula>
    </cfRule>
    <cfRule type="containsText" dxfId="4189" priority="261" operator="containsText" text="Not Yet Due">
      <formula>NOT(ISERROR(SEARCH("Not Yet Due",V3)))</formula>
    </cfRule>
    <cfRule type="containsText" dxfId="4188" priority="262" operator="containsText" text="Deleted">
      <formula>NOT(ISERROR(SEARCH("Deleted",V3)))</formula>
    </cfRule>
    <cfRule type="containsText" dxfId="4187" priority="263" operator="containsText" text="Completed Behind Schedule">
      <formula>NOT(ISERROR(SEARCH("Completed Behind Schedule",V3)))</formula>
    </cfRule>
    <cfRule type="containsText" dxfId="4186" priority="264" operator="containsText" text="Off Target">
      <formula>NOT(ISERROR(SEARCH("Off Target",V3)))</formula>
    </cfRule>
    <cfRule type="containsText" dxfId="4185" priority="265" operator="containsText" text="In Danger of Falling Behind Target">
      <formula>NOT(ISERROR(SEARCH("In Danger of Falling Behind Target",V3)))</formula>
    </cfRule>
    <cfRule type="containsText" dxfId="4184" priority="266" operator="containsText" text="Fully Achieved">
      <formula>NOT(ISERROR(SEARCH("Fully Achieved",V3)))</formula>
    </cfRule>
    <cfRule type="containsText" dxfId="4183" priority="267" operator="containsText" text="On track to be achieved">
      <formula>NOT(ISERROR(SEARCH("On track to be achieved",V3)))</formula>
    </cfRule>
  </conditionalFormatting>
  <conditionalFormatting sqref="M3:M38 M40 M43 M45:M47 M49:M110">
    <cfRule type="containsText" dxfId="4182" priority="250" operator="containsText" text="Deferred">
      <formula>NOT(ISERROR(SEARCH("Deferred",M3)))</formula>
    </cfRule>
    <cfRule type="containsText" dxfId="4181" priority="251" operator="containsText" text="Update Not Provided">
      <formula>NOT(ISERROR(SEARCH("Update Not Provided",M3)))</formula>
    </cfRule>
    <cfRule type="containsText" dxfId="4180" priority="252" operator="containsText" text="Not Yet Due">
      <formula>NOT(ISERROR(SEARCH("Not Yet Due",M3)))</formula>
    </cfRule>
    <cfRule type="containsText" dxfId="4179" priority="253" operator="containsText" text="Deleted">
      <formula>NOT(ISERROR(SEARCH("Deleted",M3)))</formula>
    </cfRule>
    <cfRule type="containsText" dxfId="4178" priority="254" operator="containsText" text="Completed Behind Schedule">
      <formula>NOT(ISERROR(SEARCH("Completed Behind Schedule",M3)))</formula>
    </cfRule>
    <cfRule type="containsText" dxfId="4177" priority="255" operator="containsText" text="Off Target">
      <formula>NOT(ISERROR(SEARCH("Off Target",M3)))</formula>
    </cfRule>
    <cfRule type="containsText" dxfId="4176" priority="256" operator="containsText" text="In Danger of Falling Behind Target">
      <formula>NOT(ISERROR(SEARCH("In Danger of Falling Behind Target",M3)))</formula>
    </cfRule>
    <cfRule type="containsText" dxfId="4175" priority="257" operator="containsText" text="Fully Achieved">
      <formula>NOT(ISERROR(SEARCH("Fully Achieved",M3)))</formula>
    </cfRule>
    <cfRule type="containsText" dxfId="4174" priority="258" operator="containsText" text="On track to be achieved">
      <formula>NOT(ISERROR(SEARCH("On track to be achieved",M3)))</formula>
    </cfRule>
  </conditionalFormatting>
  <conditionalFormatting sqref="R3:R38 R40 R43 R45:R47 R49:R110">
    <cfRule type="containsText" dxfId="4173" priority="241" operator="containsText" text="Deferred">
      <formula>NOT(ISERROR(SEARCH("Deferred",R3)))</formula>
    </cfRule>
    <cfRule type="containsText" dxfId="4172" priority="242" operator="containsText" text="Update Not Provided">
      <formula>NOT(ISERROR(SEARCH("Update Not Provided",R3)))</formula>
    </cfRule>
    <cfRule type="containsText" dxfId="4171" priority="243" operator="containsText" text="Not Yet Due">
      <formula>NOT(ISERROR(SEARCH("Not Yet Due",R3)))</formula>
    </cfRule>
    <cfRule type="containsText" dxfId="4170" priority="244" operator="containsText" text="Deleted">
      <formula>NOT(ISERROR(SEARCH("Deleted",R3)))</formula>
    </cfRule>
    <cfRule type="containsText" dxfId="4169" priority="245" operator="containsText" text="Completed Behind Schedule">
      <formula>NOT(ISERROR(SEARCH("Completed Behind Schedule",R3)))</formula>
    </cfRule>
    <cfRule type="containsText" dxfId="4168" priority="246" operator="containsText" text="Off Target">
      <formula>NOT(ISERROR(SEARCH("Off Target",R3)))</formula>
    </cfRule>
    <cfRule type="containsText" dxfId="4167" priority="247" operator="containsText" text="In Danger of Falling Behind Target">
      <formula>NOT(ISERROR(SEARCH("In Danger of Falling Behind Target",R3)))</formula>
    </cfRule>
    <cfRule type="containsText" dxfId="4166" priority="248" operator="containsText" text="Fully Achieved">
      <formula>NOT(ISERROR(SEARCH("Fully Achieved",R3)))</formula>
    </cfRule>
    <cfRule type="containsText" dxfId="4165" priority="249" operator="containsText" text="On track to be achieved">
      <formula>NOT(ISERROR(SEARCH("On track to be achieved",R3)))</formula>
    </cfRule>
  </conditionalFormatting>
  <conditionalFormatting sqref="H39">
    <cfRule type="containsText" dxfId="4164" priority="222" operator="containsText" text="Deferred">
      <formula>NOT(ISERROR(SEARCH("Deferred",H39)))</formula>
    </cfRule>
    <cfRule type="containsText" dxfId="4163" priority="223" operator="containsText" text="Update Not Provided">
      <formula>NOT(ISERROR(SEARCH("Update Not Provided",H39)))</formula>
    </cfRule>
    <cfRule type="containsText" dxfId="4162" priority="224" operator="containsText" text="Not Yet Due">
      <formula>NOT(ISERROR(SEARCH("Not Yet Due",H39)))</formula>
    </cfRule>
    <cfRule type="containsText" dxfId="4161" priority="225" operator="containsText" text="Deleted">
      <formula>NOT(ISERROR(SEARCH("Deleted",H39)))</formula>
    </cfRule>
    <cfRule type="containsText" dxfId="4160" priority="226" operator="containsText" text="Completed Behind Schedule">
      <formula>NOT(ISERROR(SEARCH("Completed Behind Schedule",H39)))</formula>
    </cfRule>
    <cfRule type="containsText" dxfId="4159" priority="227" operator="containsText" text="Off Target">
      <formula>NOT(ISERROR(SEARCH("Off Target",H39)))</formula>
    </cfRule>
    <cfRule type="containsText" dxfId="4158" priority="228" operator="containsText" text="In Danger of Falling Behind Target">
      <formula>NOT(ISERROR(SEARCH("In Danger of Falling Behind Target",H39)))</formula>
    </cfRule>
    <cfRule type="containsText" dxfId="4157" priority="229" operator="containsText" text="Fully Achieved">
      <formula>NOT(ISERROR(SEARCH("Fully Achieved",H39)))</formula>
    </cfRule>
    <cfRule type="containsText" dxfId="4156" priority="230" operator="containsText" text="On track to be achieved">
      <formula>NOT(ISERROR(SEARCH("On track to be achieved",H39)))</formula>
    </cfRule>
  </conditionalFormatting>
  <conditionalFormatting sqref="V39">
    <cfRule type="containsText" dxfId="4155" priority="185" operator="containsText" text="Deleted">
      <formula>NOT(ISERROR(SEARCH("Deleted",V39)))</formula>
    </cfRule>
    <cfRule type="containsText" dxfId="4154" priority="186" operator="containsText" text="Deferred">
      <formula>NOT(ISERROR(SEARCH("Deferred",V39)))</formula>
    </cfRule>
    <cfRule type="containsText" dxfId="4153" priority="187" operator="containsText" text="Completion date within reasonable tolerance">
      <formula>NOT(ISERROR(SEARCH("Completion date within reasonable tolerance",V39)))</formula>
    </cfRule>
    <cfRule type="containsText" dxfId="4152" priority="188" operator="containsText" text="completed significantly after target deadline">
      <formula>NOT(ISERROR(SEARCH("completed significantly after target deadline",V39)))</formula>
    </cfRule>
    <cfRule type="containsText" dxfId="4151" priority="189" operator="containsText" text="Off target">
      <formula>NOT(ISERROR(SEARCH("Off target",V39)))</formula>
    </cfRule>
    <cfRule type="containsText" dxfId="4150" priority="190" operator="containsText" text="Target partially met">
      <formula>NOT(ISERROR(SEARCH("Target partially met",V39)))</formula>
    </cfRule>
    <cfRule type="containsText" dxfId="4149" priority="191" operator="containsText" text="Numerical outturn within 10% tolerance">
      <formula>NOT(ISERROR(SEARCH("Numerical outturn within 10% tolerance",V39)))</formula>
    </cfRule>
    <cfRule type="containsText" dxfId="4148" priority="192" operator="containsText" text="Numerical outturn within 5% Tolerance">
      <formula>NOT(ISERROR(SEARCH("Numerical outturn within 5% Tolerance",V39)))</formula>
    </cfRule>
    <cfRule type="containsText" dxfId="4147" priority="193" operator="containsText" text="Fully Achieved">
      <formula>NOT(ISERROR(SEARCH("Fully Achieved",V39)))</formula>
    </cfRule>
    <cfRule type="containsText" dxfId="4146" priority="194" operator="containsText" text="Update Not Provided">
      <formula>NOT(ISERROR(SEARCH("Update Not Provided",V39)))</formula>
    </cfRule>
    <cfRule type="containsText" dxfId="4145" priority="213" operator="containsText" text="Deferred">
      <formula>NOT(ISERROR(SEARCH("Deferred",V39)))</formula>
    </cfRule>
    <cfRule type="containsText" dxfId="4144" priority="214" operator="containsText" text="Update Not Provided">
      <formula>NOT(ISERROR(SEARCH("Update Not Provided",V39)))</formula>
    </cfRule>
    <cfRule type="containsText" dxfId="4143" priority="215" operator="containsText" text="Not Yet Due">
      <formula>NOT(ISERROR(SEARCH("Not Yet Due",V39)))</formula>
    </cfRule>
    <cfRule type="containsText" dxfId="4142" priority="216" operator="containsText" text="Deleted">
      <formula>NOT(ISERROR(SEARCH("Deleted",V39)))</formula>
    </cfRule>
    <cfRule type="containsText" dxfId="4141" priority="217" operator="containsText" text="Completed Behind Schedule">
      <formula>NOT(ISERROR(SEARCH("Completed Behind Schedule",V39)))</formula>
    </cfRule>
    <cfRule type="containsText" dxfId="4140" priority="218" operator="containsText" text="Off Target">
      <formula>NOT(ISERROR(SEARCH("Off Target",V39)))</formula>
    </cfRule>
    <cfRule type="containsText" dxfId="4139" priority="219" operator="containsText" text="In Danger of Falling Behind Target">
      <formula>NOT(ISERROR(SEARCH("In Danger of Falling Behind Target",V39)))</formula>
    </cfRule>
    <cfRule type="containsText" dxfId="4138" priority="220" operator="containsText" text="Fully Achieved">
      <formula>NOT(ISERROR(SEARCH("Fully Achieved",V39)))</formula>
    </cfRule>
    <cfRule type="containsText" dxfId="4137" priority="221" operator="containsText" text="On track to be achieved">
      <formula>NOT(ISERROR(SEARCH("On track to be achieved",V39)))</formula>
    </cfRule>
  </conditionalFormatting>
  <conditionalFormatting sqref="M39">
    <cfRule type="containsText" dxfId="4136" priority="204" operator="containsText" text="Deferred">
      <formula>NOT(ISERROR(SEARCH("Deferred",M39)))</formula>
    </cfRule>
    <cfRule type="containsText" dxfId="4135" priority="205" operator="containsText" text="Update Not Provided">
      <formula>NOT(ISERROR(SEARCH("Update Not Provided",M39)))</formula>
    </cfRule>
    <cfRule type="containsText" dxfId="4134" priority="206" operator="containsText" text="Not Yet Due">
      <formula>NOT(ISERROR(SEARCH("Not Yet Due",M39)))</formula>
    </cfRule>
    <cfRule type="containsText" dxfId="4133" priority="207" operator="containsText" text="Deleted">
      <formula>NOT(ISERROR(SEARCH("Deleted",M39)))</formula>
    </cfRule>
    <cfRule type="containsText" dxfId="4132" priority="208" operator="containsText" text="Completed Behind Schedule">
      <formula>NOT(ISERROR(SEARCH("Completed Behind Schedule",M39)))</formula>
    </cfRule>
    <cfRule type="containsText" dxfId="4131" priority="209" operator="containsText" text="Off Target">
      <formula>NOT(ISERROR(SEARCH("Off Target",M39)))</formula>
    </cfRule>
    <cfRule type="containsText" dxfId="4130" priority="210" operator="containsText" text="In Danger of Falling Behind Target">
      <formula>NOT(ISERROR(SEARCH("In Danger of Falling Behind Target",M39)))</formula>
    </cfRule>
    <cfRule type="containsText" dxfId="4129" priority="211" operator="containsText" text="Fully Achieved">
      <formula>NOT(ISERROR(SEARCH("Fully Achieved",M39)))</formula>
    </cfRule>
    <cfRule type="containsText" dxfId="4128" priority="212" operator="containsText" text="On track to be achieved">
      <formula>NOT(ISERROR(SEARCH("On track to be achieved",M39)))</formula>
    </cfRule>
  </conditionalFormatting>
  <conditionalFormatting sqref="R39">
    <cfRule type="containsText" dxfId="4127" priority="195" operator="containsText" text="Deferred">
      <formula>NOT(ISERROR(SEARCH("Deferred",R39)))</formula>
    </cfRule>
    <cfRule type="containsText" dxfId="4126" priority="196" operator="containsText" text="Update Not Provided">
      <formula>NOT(ISERROR(SEARCH("Update Not Provided",R39)))</formula>
    </cfRule>
    <cfRule type="containsText" dxfId="4125" priority="197" operator="containsText" text="Not Yet Due">
      <formula>NOT(ISERROR(SEARCH("Not Yet Due",R39)))</formula>
    </cfRule>
    <cfRule type="containsText" dxfId="4124" priority="198" operator="containsText" text="Deleted">
      <formula>NOT(ISERROR(SEARCH("Deleted",R39)))</formula>
    </cfRule>
    <cfRule type="containsText" dxfId="4123" priority="199" operator="containsText" text="Completed Behind Schedule">
      <formula>NOT(ISERROR(SEARCH("Completed Behind Schedule",R39)))</formula>
    </cfRule>
    <cfRule type="containsText" dxfId="4122" priority="200" operator="containsText" text="Off Target">
      <formula>NOT(ISERROR(SEARCH("Off Target",R39)))</formula>
    </cfRule>
    <cfRule type="containsText" dxfId="4121" priority="201" operator="containsText" text="In Danger of Falling Behind Target">
      <formula>NOT(ISERROR(SEARCH("In Danger of Falling Behind Target",R39)))</formula>
    </cfRule>
    <cfRule type="containsText" dxfId="4120" priority="202" operator="containsText" text="Fully Achieved">
      <formula>NOT(ISERROR(SEARCH("Fully Achieved",R39)))</formula>
    </cfRule>
    <cfRule type="containsText" dxfId="4119" priority="203" operator="containsText" text="On track to be achieved">
      <formula>NOT(ISERROR(SEARCH("On track to be achieved",R39)))</formula>
    </cfRule>
  </conditionalFormatting>
  <conditionalFormatting sqref="H41">
    <cfRule type="containsText" dxfId="4118" priority="176" operator="containsText" text="Deferred">
      <formula>NOT(ISERROR(SEARCH("Deferred",H41)))</formula>
    </cfRule>
    <cfRule type="containsText" dxfId="4117" priority="177" operator="containsText" text="Update Not Provided">
      <formula>NOT(ISERROR(SEARCH("Update Not Provided",H41)))</formula>
    </cfRule>
    <cfRule type="containsText" dxfId="4116" priority="178" operator="containsText" text="Not Yet Due">
      <formula>NOT(ISERROR(SEARCH("Not Yet Due",H41)))</formula>
    </cfRule>
    <cfRule type="containsText" dxfId="4115" priority="179" operator="containsText" text="Deleted">
      <formula>NOT(ISERROR(SEARCH("Deleted",H41)))</formula>
    </cfRule>
    <cfRule type="containsText" dxfId="4114" priority="180" operator="containsText" text="Completed Behind Schedule">
      <formula>NOT(ISERROR(SEARCH("Completed Behind Schedule",H41)))</formula>
    </cfRule>
    <cfRule type="containsText" dxfId="4113" priority="181" operator="containsText" text="Off Target">
      <formula>NOT(ISERROR(SEARCH("Off Target",H41)))</formula>
    </cfRule>
    <cfRule type="containsText" dxfId="4112" priority="182" operator="containsText" text="In Danger of Falling Behind Target">
      <formula>NOT(ISERROR(SEARCH("In Danger of Falling Behind Target",H41)))</formula>
    </cfRule>
    <cfRule type="containsText" dxfId="4111" priority="183" operator="containsText" text="Fully Achieved">
      <formula>NOT(ISERROR(SEARCH("Fully Achieved",H41)))</formula>
    </cfRule>
    <cfRule type="containsText" dxfId="4110" priority="184" operator="containsText" text="On track to be achieved">
      <formula>NOT(ISERROR(SEARCH("On track to be achieved",H41)))</formula>
    </cfRule>
  </conditionalFormatting>
  <conditionalFormatting sqref="V41">
    <cfRule type="containsText" dxfId="4109" priority="139" operator="containsText" text="Deleted">
      <formula>NOT(ISERROR(SEARCH("Deleted",V41)))</formula>
    </cfRule>
    <cfRule type="containsText" dxfId="4108" priority="140" operator="containsText" text="Deferred">
      <formula>NOT(ISERROR(SEARCH("Deferred",V41)))</formula>
    </cfRule>
    <cfRule type="containsText" dxfId="4107" priority="141" operator="containsText" text="Completion date within reasonable tolerance">
      <formula>NOT(ISERROR(SEARCH("Completion date within reasonable tolerance",V41)))</formula>
    </cfRule>
    <cfRule type="containsText" dxfId="4106" priority="142" operator="containsText" text="completed significantly after target deadline">
      <formula>NOT(ISERROR(SEARCH("completed significantly after target deadline",V41)))</formula>
    </cfRule>
    <cfRule type="containsText" dxfId="4105" priority="143" operator="containsText" text="Off target">
      <formula>NOT(ISERROR(SEARCH("Off target",V41)))</formula>
    </cfRule>
    <cfRule type="containsText" dxfId="4104" priority="144" operator="containsText" text="Target partially met">
      <formula>NOT(ISERROR(SEARCH("Target partially met",V41)))</formula>
    </cfRule>
    <cfRule type="containsText" dxfId="4103" priority="145" operator="containsText" text="Numerical outturn within 10% tolerance">
      <formula>NOT(ISERROR(SEARCH("Numerical outturn within 10% tolerance",V41)))</formula>
    </cfRule>
    <cfRule type="containsText" dxfId="4102" priority="146" operator="containsText" text="Numerical outturn within 5% Tolerance">
      <formula>NOT(ISERROR(SEARCH("Numerical outturn within 5% Tolerance",V41)))</formula>
    </cfRule>
    <cfRule type="containsText" dxfId="4101" priority="147" operator="containsText" text="Fully Achieved">
      <formula>NOT(ISERROR(SEARCH("Fully Achieved",V41)))</formula>
    </cfRule>
    <cfRule type="containsText" dxfId="4100" priority="148" operator="containsText" text="Update Not Provided">
      <formula>NOT(ISERROR(SEARCH("Update Not Provided",V41)))</formula>
    </cfRule>
    <cfRule type="containsText" dxfId="4099" priority="167" operator="containsText" text="Deferred">
      <formula>NOT(ISERROR(SEARCH("Deferred",V41)))</formula>
    </cfRule>
    <cfRule type="containsText" dxfId="4098" priority="168" operator="containsText" text="Update Not Provided">
      <formula>NOT(ISERROR(SEARCH("Update Not Provided",V41)))</formula>
    </cfRule>
    <cfRule type="containsText" dxfId="4097" priority="169" operator="containsText" text="Not Yet Due">
      <formula>NOT(ISERROR(SEARCH("Not Yet Due",V41)))</formula>
    </cfRule>
    <cfRule type="containsText" dxfId="4096" priority="170" operator="containsText" text="Deleted">
      <formula>NOT(ISERROR(SEARCH("Deleted",V41)))</formula>
    </cfRule>
    <cfRule type="containsText" dxfId="4095" priority="171" operator="containsText" text="Completed Behind Schedule">
      <formula>NOT(ISERROR(SEARCH("Completed Behind Schedule",V41)))</formula>
    </cfRule>
    <cfRule type="containsText" dxfId="4094" priority="172" operator="containsText" text="Off Target">
      <formula>NOT(ISERROR(SEARCH("Off Target",V41)))</formula>
    </cfRule>
    <cfRule type="containsText" dxfId="4093" priority="173" operator="containsText" text="In Danger of Falling Behind Target">
      <formula>NOT(ISERROR(SEARCH("In Danger of Falling Behind Target",V41)))</formula>
    </cfRule>
    <cfRule type="containsText" dxfId="4092" priority="174" operator="containsText" text="Fully Achieved">
      <formula>NOT(ISERROR(SEARCH("Fully Achieved",V41)))</formula>
    </cfRule>
    <cfRule type="containsText" dxfId="4091" priority="175" operator="containsText" text="On track to be achieved">
      <formula>NOT(ISERROR(SEARCH("On track to be achieved",V41)))</formula>
    </cfRule>
  </conditionalFormatting>
  <conditionalFormatting sqref="M41">
    <cfRule type="containsText" dxfId="4090" priority="158" operator="containsText" text="Deferred">
      <formula>NOT(ISERROR(SEARCH("Deferred",M41)))</formula>
    </cfRule>
    <cfRule type="containsText" dxfId="4089" priority="159" operator="containsText" text="Update Not Provided">
      <formula>NOT(ISERROR(SEARCH("Update Not Provided",M41)))</formula>
    </cfRule>
    <cfRule type="containsText" dxfId="4088" priority="160" operator="containsText" text="Not Yet Due">
      <formula>NOT(ISERROR(SEARCH("Not Yet Due",M41)))</formula>
    </cfRule>
    <cfRule type="containsText" dxfId="4087" priority="161" operator="containsText" text="Deleted">
      <formula>NOT(ISERROR(SEARCH("Deleted",M41)))</formula>
    </cfRule>
    <cfRule type="containsText" dxfId="4086" priority="162" operator="containsText" text="Completed Behind Schedule">
      <formula>NOT(ISERROR(SEARCH("Completed Behind Schedule",M41)))</formula>
    </cfRule>
    <cfRule type="containsText" dxfId="4085" priority="163" operator="containsText" text="Off Target">
      <formula>NOT(ISERROR(SEARCH("Off Target",M41)))</formula>
    </cfRule>
    <cfRule type="containsText" dxfId="4084" priority="164" operator="containsText" text="In Danger of Falling Behind Target">
      <formula>NOT(ISERROR(SEARCH("In Danger of Falling Behind Target",M41)))</formula>
    </cfRule>
    <cfRule type="containsText" dxfId="4083" priority="165" operator="containsText" text="Fully Achieved">
      <formula>NOT(ISERROR(SEARCH("Fully Achieved",M41)))</formula>
    </cfRule>
    <cfRule type="containsText" dxfId="4082" priority="166" operator="containsText" text="On track to be achieved">
      <formula>NOT(ISERROR(SEARCH("On track to be achieved",M41)))</formula>
    </cfRule>
  </conditionalFormatting>
  <conditionalFormatting sqref="R41">
    <cfRule type="containsText" dxfId="4081" priority="149" operator="containsText" text="Deferred">
      <formula>NOT(ISERROR(SEARCH("Deferred",R41)))</formula>
    </cfRule>
    <cfRule type="containsText" dxfId="4080" priority="150" operator="containsText" text="Update Not Provided">
      <formula>NOT(ISERROR(SEARCH("Update Not Provided",R41)))</formula>
    </cfRule>
    <cfRule type="containsText" dxfId="4079" priority="151" operator="containsText" text="Not Yet Due">
      <formula>NOT(ISERROR(SEARCH("Not Yet Due",R41)))</formula>
    </cfRule>
    <cfRule type="containsText" dxfId="4078" priority="152" operator="containsText" text="Deleted">
      <formula>NOT(ISERROR(SEARCH("Deleted",R41)))</formula>
    </cfRule>
    <cfRule type="containsText" dxfId="4077" priority="153" operator="containsText" text="Completed Behind Schedule">
      <formula>NOT(ISERROR(SEARCH("Completed Behind Schedule",R41)))</formula>
    </cfRule>
    <cfRule type="containsText" dxfId="4076" priority="154" operator="containsText" text="Off Target">
      <formula>NOT(ISERROR(SEARCH("Off Target",R41)))</formula>
    </cfRule>
    <cfRule type="containsText" dxfId="4075" priority="155" operator="containsText" text="In Danger of Falling Behind Target">
      <formula>NOT(ISERROR(SEARCH("In Danger of Falling Behind Target",R41)))</formula>
    </cfRule>
    <cfRule type="containsText" dxfId="4074" priority="156" operator="containsText" text="Fully Achieved">
      <formula>NOT(ISERROR(SEARCH("Fully Achieved",R41)))</formula>
    </cfRule>
    <cfRule type="containsText" dxfId="4073" priority="157" operator="containsText" text="On track to be achieved">
      <formula>NOT(ISERROR(SEARCH("On track to be achieved",R41)))</formula>
    </cfRule>
  </conditionalFormatting>
  <conditionalFormatting sqref="H42">
    <cfRule type="containsText" dxfId="4072" priority="130" operator="containsText" text="Deferred">
      <formula>NOT(ISERROR(SEARCH("Deferred",H42)))</formula>
    </cfRule>
    <cfRule type="containsText" dxfId="4071" priority="131" operator="containsText" text="Update Not Provided">
      <formula>NOT(ISERROR(SEARCH("Update Not Provided",H42)))</formula>
    </cfRule>
    <cfRule type="containsText" dxfId="4070" priority="132" operator="containsText" text="Not Yet Due">
      <formula>NOT(ISERROR(SEARCH("Not Yet Due",H42)))</formula>
    </cfRule>
    <cfRule type="containsText" dxfId="4069" priority="133" operator="containsText" text="Deleted">
      <formula>NOT(ISERROR(SEARCH("Deleted",H42)))</formula>
    </cfRule>
    <cfRule type="containsText" dxfId="4068" priority="134" operator="containsText" text="Completed Behind Schedule">
      <formula>NOT(ISERROR(SEARCH("Completed Behind Schedule",H42)))</formula>
    </cfRule>
    <cfRule type="containsText" dxfId="4067" priority="135" operator="containsText" text="Off Target">
      <formula>NOT(ISERROR(SEARCH("Off Target",H42)))</formula>
    </cfRule>
    <cfRule type="containsText" dxfId="4066" priority="136" operator="containsText" text="In Danger of Falling Behind Target">
      <formula>NOT(ISERROR(SEARCH("In Danger of Falling Behind Target",H42)))</formula>
    </cfRule>
    <cfRule type="containsText" dxfId="4065" priority="137" operator="containsText" text="Fully Achieved">
      <formula>NOT(ISERROR(SEARCH("Fully Achieved",H42)))</formula>
    </cfRule>
    <cfRule type="containsText" dxfId="4064" priority="138" operator="containsText" text="On track to be achieved">
      <formula>NOT(ISERROR(SEARCH("On track to be achieved",H42)))</formula>
    </cfRule>
  </conditionalFormatting>
  <conditionalFormatting sqref="V42">
    <cfRule type="containsText" dxfId="4063" priority="93" operator="containsText" text="Deleted">
      <formula>NOT(ISERROR(SEARCH("Deleted",V42)))</formula>
    </cfRule>
    <cfRule type="containsText" dxfId="4062" priority="94" operator="containsText" text="Deferred">
      <formula>NOT(ISERROR(SEARCH("Deferred",V42)))</formula>
    </cfRule>
    <cfRule type="containsText" dxfId="4061" priority="95" operator="containsText" text="Completion date within reasonable tolerance">
      <formula>NOT(ISERROR(SEARCH("Completion date within reasonable tolerance",V42)))</formula>
    </cfRule>
    <cfRule type="containsText" dxfId="4060" priority="96" operator="containsText" text="completed significantly after target deadline">
      <formula>NOT(ISERROR(SEARCH("completed significantly after target deadline",V42)))</formula>
    </cfRule>
    <cfRule type="containsText" dxfId="4059" priority="97" operator="containsText" text="Off target">
      <formula>NOT(ISERROR(SEARCH("Off target",V42)))</formula>
    </cfRule>
    <cfRule type="containsText" dxfId="4058" priority="98" operator="containsText" text="Target partially met">
      <formula>NOT(ISERROR(SEARCH("Target partially met",V42)))</formula>
    </cfRule>
    <cfRule type="containsText" dxfId="4057" priority="99" operator="containsText" text="Numerical outturn within 10% tolerance">
      <formula>NOT(ISERROR(SEARCH("Numerical outturn within 10% tolerance",V42)))</formula>
    </cfRule>
    <cfRule type="containsText" dxfId="4056" priority="100" operator="containsText" text="Numerical outturn within 5% Tolerance">
      <formula>NOT(ISERROR(SEARCH("Numerical outturn within 5% Tolerance",V42)))</formula>
    </cfRule>
    <cfRule type="containsText" dxfId="4055" priority="101" operator="containsText" text="Fully Achieved">
      <formula>NOT(ISERROR(SEARCH("Fully Achieved",V42)))</formula>
    </cfRule>
    <cfRule type="containsText" dxfId="4054" priority="102" operator="containsText" text="Update Not Provided">
      <formula>NOT(ISERROR(SEARCH("Update Not Provided",V42)))</formula>
    </cfRule>
    <cfRule type="containsText" dxfId="4053" priority="121" operator="containsText" text="Deferred">
      <formula>NOT(ISERROR(SEARCH("Deferred",V42)))</formula>
    </cfRule>
    <cfRule type="containsText" dxfId="4052" priority="122" operator="containsText" text="Update Not Provided">
      <formula>NOT(ISERROR(SEARCH("Update Not Provided",V42)))</formula>
    </cfRule>
    <cfRule type="containsText" dxfId="4051" priority="123" operator="containsText" text="Not Yet Due">
      <formula>NOT(ISERROR(SEARCH("Not Yet Due",V42)))</formula>
    </cfRule>
    <cfRule type="containsText" dxfId="4050" priority="124" operator="containsText" text="Deleted">
      <formula>NOT(ISERROR(SEARCH("Deleted",V42)))</formula>
    </cfRule>
    <cfRule type="containsText" dxfId="4049" priority="125" operator="containsText" text="Completed Behind Schedule">
      <formula>NOT(ISERROR(SEARCH("Completed Behind Schedule",V42)))</formula>
    </cfRule>
    <cfRule type="containsText" dxfId="4048" priority="126" operator="containsText" text="Off Target">
      <formula>NOT(ISERROR(SEARCH("Off Target",V42)))</formula>
    </cfRule>
    <cfRule type="containsText" dxfId="4047" priority="127" operator="containsText" text="In Danger of Falling Behind Target">
      <formula>NOT(ISERROR(SEARCH("In Danger of Falling Behind Target",V42)))</formula>
    </cfRule>
    <cfRule type="containsText" dxfId="4046" priority="128" operator="containsText" text="Fully Achieved">
      <formula>NOT(ISERROR(SEARCH("Fully Achieved",V42)))</formula>
    </cfRule>
    <cfRule type="containsText" dxfId="4045" priority="129" operator="containsText" text="On track to be achieved">
      <formula>NOT(ISERROR(SEARCH("On track to be achieved",V42)))</formula>
    </cfRule>
  </conditionalFormatting>
  <conditionalFormatting sqref="M42">
    <cfRule type="containsText" dxfId="4044" priority="112" operator="containsText" text="Deferred">
      <formula>NOT(ISERROR(SEARCH("Deferred",M42)))</formula>
    </cfRule>
    <cfRule type="containsText" dxfId="4043" priority="113" operator="containsText" text="Update Not Provided">
      <formula>NOT(ISERROR(SEARCH("Update Not Provided",M42)))</formula>
    </cfRule>
    <cfRule type="containsText" dxfId="4042" priority="114" operator="containsText" text="Not Yet Due">
      <formula>NOT(ISERROR(SEARCH("Not Yet Due",M42)))</formula>
    </cfRule>
    <cfRule type="containsText" dxfId="4041" priority="115" operator="containsText" text="Deleted">
      <formula>NOT(ISERROR(SEARCH("Deleted",M42)))</formula>
    </cfRule>
    <cfRule type="containsText" dxfId="4040" priority="116" operator="containsText" text="Completed Behind Schedule">
      <formula>NOT(ISERROR(SEARCH("Completed Behind Schedule",M42)))</formula>
    </cfRule>
    <cfRule type="containsText" dxfId="4039" priority="117" operator="containsText" text="Off Target">
      <formula>NOT(ISERROR(SEARCH("Off Target",M42)))</formula>
    </cfRule>
    <cfRule type="containsText" dxfId="4038" priority="118" operator="containsText" text="In Danger of Falling Behind Target">
      <formula>NOT(ISERROR(SEARCH("In Danger of Falling Behind Target",M42)))</formula>
    </cfRule>
    <cfRule type="containsText" dxfId="4037" priority="119" operator="containsText" text="Fully Achieved">
      <formula>NOT(ISERROR(SEARCH("Fully Achieved",M42)))</formula>
    </cfRule>
    <cfRule type="containsText" dxfId="4036" priority="120" operator="containsText" text="On track to be achieved">
      <formula>NOT(ISERROR(SEARCH("On track to be achieved",M42)))</formula>
    </cfRule>
  </conditionalFormatting>
  <conditionalFormatting sqref="R42">
    <cfRule type="containsText" dxfId="4035" priority="103" operator="containsText" text="Deferred">
      <formula>NOT(ISERROR(SEARCH("Deferred",R42)))</formula>
    </cfRule>
    <cfRule type="containsText" dxfId="4034" priority="104" operator="containsText" text="Update Not Provided">
      <formula>NOT(ISERROR(SEARCH("Update Not Provided",R42)))</formula>
    </cfRule>
    <cfRule type="containsText" dxfId="4033" priority="105" operator="containsText" text="Not Yet Due">
      <formula>NOT(ISERROR(SEARCH("Not Yet Due",R42)))</formula>
    </cfRule>
    <cfRule type="containsText" dxfId="4032" priority="106" operator="containsText" text="Deleted">
      <formula>NOT(ISERROR(SEARCH("Deleted",R42)))</formula>
    </cfRule>
    <cfRule type="containsText" dxfId="4031" priority="107" operator="containsText" text="Completed Behind Schedule">
      <formula>NOT(ISERROR(SEARCH("Completed Behind Schedule",R42)))</formula>
    </cfRule>
    <cfRule type="containsText" dxfId="4030" priority="108" operator="containsText" text="Off Target">
      <formula>NOT(ISERROR(SEARCH("Off Target",R42)))</formula>
    </cfRule>
    <cfRule type="containsText" dxfId="4029" priority="109" operator="containsText" text="In Danger of Falling Behind Target">
      <formula>NOT(ISERROR(SEARCH("In Danger of Falling Behind Target",R42)))</formula>
    </cfRule>
    <cfRule type="containsText" dxfId="4028" priority="110" operator="containsText" text="Fully Achieved">
      <formula>NOT(ISERROR(SEARCH("Fully Achieved",R42)))</formula>
    </cfRule>
    <cfRule type="containsText" dxfId="4027" priority="111" operator="containsText" text="On track to be achieved">
      <formula>NOT(ISERROR(SEARCH("On track to be achieved",R42)))</formula>
    </cfRule>
  </conditionalFormatting>
  <conditionalFormatting sqref="H44">
    <cfRule type="containsText" dxfId="4026" priority="84" operator="containsText" text="Deferred">
      <formula>NOT(ISERROR(SEARCH("Deferred",H44)))</formula>
    </cfRule>
    <cfRule type="containsText" dxfId="4025" priority="85" operator="containsText" text="Update Not Provided">
      <formula>NOT(ISERROR(SEARCH("Update Not Provided",H44)))</formula>
    </cfRule>
    <cfRule type="containsText" dxfId="4024" priority="86" operator="containsText" text="Not Yet Due">
      <formula>NOT(ISERROR(SEARCH("Not Yet Due",H44)))</formula>
    </cfRule>
    <cfRule type="containsText" dxfId="4023" priority="87" operator="containsText" text="Deleted">
      <formula>NOT(ISERROR(SEARCH("Deleted",H44)))</formula>
    </cfRule>
    <cfRule type="containsText" dxfId="4022" priority="88" operator="containsText" text="Completed Behind Schedule">
      <formula>NOT(ISERROR(SEARCH("Completed Behind Schedule",H44)))</formula>
    </cfRule>
    <cfRule type="containsText" dxfId="4021" priority="89" operator="containsText" text="Off Target">
      <formula>NOT(ISERROR(SEARCH("Off Target",H44)))</formula>
    </cfRule>
    <cfRule type="containsText" dxfId="4020" priority="90" operator="containsText" text="In Danger of Falling Behind Target">
      <formula>NOT(ISERROR(SEARCH("In Danger of Falling Behind Target",H44)))</formula>
    </cfRule>
    <cfRule type="containsText" dxfId="4019" priority="91" operator="containsText" text="Fully Achieved">
      <formula>NOT(ISERROR(SEARCH("Fully Achieved",H44)))</formula>
    </cfRule>
    <cfRule type="containsText" dxfId="4018" priority="92" operator="containsText" text="On track to be achieved">
      <formula>NOT(ISERROR(SEARCH("On track to be achieved",H44)))</formula>
    </cfRule>
  </conditionalFormatting>
  <conditionalFormatting sqref="V44">
    <cfRule type="containsText" dxfId="4017" priority="47" operator="containsText" text="Deleted">
      <formula>NOT(ISERROR(SEARCH("Deleted",V44)))</formula>
    </cfRule>
    <cfRule type="containsText" dxfId="4016" priority="48" operator="containsText" text="Deferred">
      <formula>NOT(ISERROR(SEARCH("Deferred",V44)))</formula>
    </cfRule>
    <cfRule type="containsText" dxfId="4015" priority="49" operator="containsText" text="Completion date within reasonable tolerance">
      <formula>NOT(ISERROR(SEARCH("Completion date within reasonable tolerance",V44)))</formula>
    </cfRule>
    <cfRule type="containsText" dxfId="4014" priority="50" operator="containsText" text="completed significantly after target deadline">
      <formula>NOT(ISERROR(SEARCH("completed significantly after target deadline",V44)))</formula>
    </cfRule>
    <cfRule type="containsText" dxfId="4013" priority="51" operator="containsText" text="Off target">
      <formula>NOT(ISERROR(SEARCH("Off target",V44)))</formula>
    </cfRule>
    <cfRule type="containsText" dxfId="4012" priority="52" operator="containsText" text="Target partially met">
      <formula>NOT(ISERROR(SEARCH("Target partially met",V44)))</formula>
    </cfRule>
    <cfRule type="containsText" dxfId="4011" priority="53" operator="containsText" text="Numerical outturn within 10% tolerance">
      <formula>NOT(ISERROR(SEARCH("Numerical outturn within 10% tolerance",V44)))</formula>
    </cfRule>
    <cfRule type="containsText" dxfId="4010" priority="54" operator="containsText" text="Numerical outturn within 5% Tolerance">
      <formula>NOT(ISERROR(SEARCH("Numerical outturn within 5% Tolerance",V44)))</formula>
    </cfRule>
    <cfRule type="containsText" dxfId="4009" priority="55" operator="containsText" text="Fully Achieved">
      <formula>NOT(ISERROR(SEARCH("Fully Achieved",V44)))</formula>
    </cfRule>
    <cfRule type="containsText" dxfId="4008" priority="56" operator="containsText" text="Update Not Provided">
      <formula>NOT(ISERROR(SEARCH("Update Not Provided",V44)))</formula>
    </cfRule>
    <cfRule type="containsText" dxfId="4007" priority="75" operator="containsText" text="Deferred">
      <formula>NOT(ISERROR(SEARCH("Deferred",V44)))</formula>
    </cfRule>
    <cfRule type="containsText" dxfId="4006" priority="76" operator="containsText" text="Update Not Provided">
      <formula>NOT(ISERROR(SEARCH("Update Not Provided",V44)))</formula>
    </cfRule>
    <cfRule type="containsText" dxfId="4005" priority="77" operator="containsText" text="Not Yet Due">
      <formula>NOT(ISERROR(SEARCH("Not Yet Due",V44)))</formula>
    </cfRule>
    <cfRule type="containsText" dxfId="4004" priority="78" operator="containsText" text="Deleted">
      <formula>NOT(ISERROR(SEARCH("Deleted",V44)))</formula>
    </cfRule>
    <cfRule type="containsText" dxfId="4003" priority="79" operator="containsText" text="Completed Behind Schedule">
      <formula>NOT(ISERROR(SEARCH("Completed Behind Schedule",V44)))</formula>
    </cfRule>
    <cfRule type="containsText" dxfId="4002" priority="80" operator="containsText" text="Off Target">
      <formula>NOT(ISERROR(SEARCH("Off Target",V44)))</formula>
    </cfRule>
    <cfRule type="containsText" dxfId="4001" priority="81" operator="containsText" text="In Danger of Falling Behind Target">
      <formula>NOT(ISERROR(SEARCH("In Danger of Falling Behind Target",V44)))</formula>
    </cfRule>
    <cfRule type="containsText" dxfId="4000" priority="82" operator="containsText" text="Fully Achieved">
      <formula>NOT(ISERROR(SEARCH("Fully Achieved",V44)))</formula>
    </cfRule>
    <cfRule type="containsText" dxfId="3999" priority="83" operator="containsText" text="On track to be achieved">
      <formula>NOT(ISERROR(SEARCH("On track to be achieved",V44)))</formula>
    </cfRule>
  </conditionalFormatting>
  <conditionalFormatting sqref="M44">
    <cfRule type="containsText" dxfId="3998" priority="66" operator="containsText" text="Deferred">
      <formula>NOT(ISERROR(SEARCH("Deferred",M44)))</formula>
    </cfRule>
    <cfRule type="containsText" dxfId="3997" priority="67" operator="containsText" text="Update Not Provided">
      <formula>NOT(ISERROR(SEARCH("Update Not Provided",M44)))</formula>
    </cfRule>
    <cfRule type="containsText" dxfId="3996" priority="68" operator="containsText" text="Not Yet Due">
      <formula>NOT(ISERROR(SEARCH("Not Yet Due",M44)))</formula>
    </cfRule>
    <cfRule type="containsText" dxfId="3995" priority="69" operator="containsText" text="Deleted">
      <formula>NOT(ISERROR(SEARCH("Deleted",M44)))</formula>
    </cfRule>
    <cfRule type="containsText" dxfId="3994" priority="70" operator="containsText" text="Completed Behind Schedule">
      <formula>NOT(ISERROR(SEARCH("Completed Behind Schedule",M44)))</formula>
    </cfRule>
    <cfRule type="containsText" dxfId="3993" priority="71" operator="containsText" text="Off Target">
      <formula>NOT(ISERROR(SEARCH("Off Target",M44)))</formula>
    </cfRule>
    <cfRule type="containsText" dxfId="3992" priority="72" operator="containsText" text="In Danger of Falling Behind Target">
      <formula>NOT(ISERROR(SEARCH("In Danger of Falling Behind Target",M44)))</formula>
    </cfRule>
    <cfRule type="containsText" dxfId="3991" priority="73" operator="containsText" text="Fully Achieved">
      <formula>NOT(ISERROR(SEARCH("Fully Achieved",M44)))</formula>
    </cfRule>
    <cfRule type="containsText" dxfId="3990" priority="74" operator="containsText" text="On track to be achieved">
      <formula>NOT(ISERROR(SEARCH("On track to be achieved",M44)))</formula>
    </cfRule>
  </conditionalFormatting>
  <conditionalFormatting sqref="R44">
    <cfRule type="containsText" dxfId="3989" priority="57" operator="containsText" text="Deferred">
      <formula>NOT(ISERROR(SEARCH("Deferred",R44)))</formula>
    </cfRule>
    <cfRule type="containsText" dxfId="3988" priority="58" operator="containsText" text="Update Not Provided">
      <formula>NOT(ISERROR(SEARCH("Update Not Provided",R44)))</formula>
    </cfRule>
    <cfRule type="containsText" dxfId="3987" priority="59" operator="containsText" text="Not Yet Due">
      <formula>NOT(ISERROR(SEARCH("Not Yet Due",R44)))</formula>
    </cfRule>
    <cfRule type="containsText" dxfId="3986" priority="60" operator="containsText" text="Deleted">
      <formula>NOT(ISERROR(SEARCH("Deleted",R44)))</formula>
    </cfRule>
    <cfRule type="containsText" dxfId="3985" priority="61" operator="containsText" text="Completed Behind Schedule">
      <formula>NOT(ISERROR(SEARCH("Completed Behind Schedule",R44)))</formula>
    </cfRule>
    <cfRule type="containsText" dxfId="3984" priority="62" operator="containsText" text="Off Target">
      <formula>NOT(ISERROR(SEARCH("Off Target",R44)))</formula>
    </cfRule>
    <cfRule type="containsText" dxfId="3983" priority="63" operator="containsText" text="In Danger of Falling Behind Target">
      <formula>NOT(ISERROR(SEARCH("In Danger of Falling Behind Target",R44)))</formula>
    </cfRule>
    <cfRule type="containsText" dxfId="3982" priority="64" operator="containsText" text="Fully Achieved">
      <formula>NOT(ISERROR(SEARCH("Fully Achieved",R44)))</formula>
    </cfRule>
    <cfRule type="containsText" dxfId="3981" priority="65" operator="containsText" text="On track to be achieved">
      <formula>NOT(ISERROR(SEARCH("On track to be achieved",R44)))</formula>
    </cfRule>
  </conditionalFormatting>
  <conditionalFormatting sqref="H48">
    <cfRule type="containsText" dxfId="3980" priority="38" operator="containsText" text="Deferred">
      <formula>NOT(ISERROR(SEARCH("Deferred",H48)))</formula>
    </cfRule>
    <cfRule type="containsText" dxfId="3979" priority="39" operator="containsText" text="Update Not Provided">
      <formula>NOT(ISERROR(SEARCH("Update Not Provided",H48)))</formula>
    </cfRule>
    <cfRule type="containsText" dxfId="3978" priority="40" operator="containsText" text="Not Yet Due">
      <formula>NOT(ISERROR(SEARCH("Not Yet Due",H48)))</formula>
    </cfRule>
    <cfRule type="containsText" dxfId="3977" priority="41" operator="containsText" text="Deleted">
      <formula>NOT(ISERROR(SEARCH("Deleted",H48)))</formula>
    </cfRule>
    <cfRule type="containsText" dxfId="3976" priority="42" operator="containsText" text="Completed Behind Schedule">
      <formula>NOT(ISERROR(SEARCH("Completed Behind Schedule",H48)))</formula>
    </cfRule>
    <cfRule type="containsText" dxfId="3975" priority="43" operator="containsText" text="Off Target">
      <formula>NOT(ISERROR(SEARCH("Off Target",H48)))</formula>
    </cfRule>
    <cfRule type="containsText" dxfId="3974" priority="44" operator="containsText" text="In Danger of Falling Behind Target">
      <formula>NOT(ISERROR(SEARCH("In Danger of Falling Behind Target",H48)))</formula>
    </cfRule>
    <cfRule type="containsText" dxfId="3973" priority="45" operator="containsText" text="Fully Achieved">
      <formula>NOT(ISERROR(SEARCH("Fully Achieved",H48)))</formula>
    </cfRule>
    <cfRule type="containsText" dxfId="3972" priority="46" operator="containsText" text="On track to be achieved">
      <formula>NOT(ISERROR(SEARCH("On track to be achieved",H48)))</formula>
    </cfRule>
  </conditionalFormatting>
  <conditionalFormatting sqref="V48">
    <cfRule type="containsText" dxfId="3971" priority="1" operator="containsText" text="Deleted">
      <formula>NOT(ISERROR(SEARCH("Deleted",V48)))</formula>
    </cfRule>
    <cfRule type="containsText" dxfId="3970" priority="2" operator="containsText" text="Deferred">
      <formula>NOT(ISERROR(SEARCH("Deferred",V48)))</formula>
    </cfRule>
    <cfRule type="containsText" dxfId="3969" priority="3" operator="containsText" text="Completion date within reasonable tolerance">
      <formula>NOT(ISERROR(SEARCH("Completion date within reasonable tolerance",V48)))</formula>
    </cfRule>
    <cfRule type="containsText" dxfId="3968" priority="4" operator="containsText" text="completed significantly after target deadline">
      <formula>NOT(ISERROR(SEARCH("completed significantly after target deadline",V48)))</formula>
    </cfRule>
    <cfRule type="containsText" dxfId="3967" priority="5" operator="containsText" text="Off target">
      <formula>NOT(ISERROR(SEARCH("Off target",V48)))</formula>
    </cfRule>
    <cfRule type="containsText" dxfId="3966" priority="6" operator="containsText" text="Target partially met">
      <formula>NOT(ISERROR(SEARCH("Target partially met",V48)))</formula>
    </cfRule>
    <cfRule type="containsText" dxfId="3965" priority="7" operator="containsText" text="Numerical outturn within 10% tolerance">
      <formula>NOT(ISERROR(SEARCH("Numerical outturn within 10% tolerance",V48)))</formula>
    </cfRule>
    <cfRule type="containsText" dxfId="3964" priority="8" operator="containsText" text="Numerical outturn within 5% Tolerance">
      <formula>NOT(ISERROR(SEARCH("Numerical outturn within 5% Tolerance",V48)))</formula>
    </cfRule>
    <cfRule type="containsText" dxfId="3963" priority="9" operator="containsText" text="Fully Achieved">
      <formula>NOT(ISERROR(SEARCH("Fully Achieved",V48)))</formula>
    </cfRule>
    <cfRule type="containsText" dxfId="3962" priority="10" operator="containsText" text="Update Not Provided">
      <formula>NOT(ISERROR(SEARCH("Update Not Provided",V48)))</formula>
    </cfRule>
    <cfRule type="containsText" dxfId="3961" priority="29" operator="containsText" text="Deferred">
      <formula>NOT(ISERROR(SEARCH("Deferred",V48)))</formula>
    </cfRule>
    <cfRule type="containsText" dxfId="3960" priority="30" operator="containsText" text="Update Not Provided">
      <formula>NOT(ISERROR(SEARCH("Update Not Provided",V48)))</formula>
    </cfRule>
    <cfRule type="containsText" dxfId="3959" priority="31" operator="containsText" text="Not Yet Due">
      <formula>NOT(ISERROR(SEARCH("Not Yet Due",V48)))</formula>
    </cfRule>
    <cfRule type="containsText" dxfId="3958" priority="32" operator="containsText" text="Deleted">
      <formula>NOT(ISERROR(SEARCH("Deleted",V48)))</formula>
    </cfRule>
    <cfRule type="containsText" dxfId="3957" priority="33" operator="containsText" text="Completed Behind Schedule">
      <formula>NOT(ISERROR(SEARCH("Completed Behind Schedule",V48)))</formula>
    </cfRule>
    <cfRule type="containsText" dxfId="3956" priority="34" operator="containsText" text="Off Target">
      <formula>NOT(ISERROR(SEARCH("Off Target",V48)))</formula>
    </cfRule>
    <cfRule type="containsText" dxfId="3955" priority="35" operator="containsText" text="In Danger of Falling Behind Target">
      <formula>NOT(ISERROR(SEARCH("In Danger of Falling Behind Target",V48)))</formula>
    </cfRule>
    <cfRule type="containsText" dxfId="3954" priority="36" operator="containsText" text="Fully Achieved">
      <formula>NOT(ISERROR(SEARCH("Fully Achieved",V48)))</formula>
    </cfRule>
    <cfRule type="containsText" dxfId="3953" priority="37" operator="containsText" text="On track to be achieved">
      <formula>NOT(ISERROR(SEARCH("On track to be achieved",V48)))</formula>
    </cfRule>
  </conditionalFormatting>
  <conditionalFormatting sqref="M48">
    <cfRule type="containsText" dxfId="3952" priority="20" operator="containsText" text="Deferred">
      <formula>NOT(ISERROR(SEARCH("Deferred",M48)))</formula>
    </cfRule>
    <cfRule type="containsText" dxfId="3951" priority="21" operator="containsText" text="Update Not Provided">
      <formula>NOT(ISERROR(SEARCH("Update Not Provided",M48)))</formula>
    </cfRule>
    <cfRule type="containsText" dxfId="3950" priority="22" operator="containsText" text="Not Yet Due">
      <formula>NOT(ISERROR(SEARCH("Not Yet Due",M48)))</formula>
    </cfRule>
    <cfRule type="containsText" dxfId="3949" priority="23" operator="containsText" text="Deleted">
      <formula>NOT(ISERROR(SEARCH("Deleted",M48)))</formula>
    </cfRule>
    <cfRule type="containsText" dxfId="3948" priority="24" operator="containsText" text="Completed Behind Schedule">
      <formula>NOT(ISERROR(SEARCH("Completed Behind Schedule",M48)))</formula>
    </cfRule>
    <cfRule type="containsText" dxfId="3947" priority="25" operator="containsText" text="Off Target">
      <formula>NOT(ISERROR(SEARCH("Off Target",M48)))</formula>
    </cfRule>
    <cfRule type="containsText" dxfId="3946" priority="26" operator="containsText" text="In Danger of Falling Behind Target">
      <formula>NOT(ISERROR(SEARCH("In Danger of Falling Behind Target",M48)))</formula>
    </cfRule>
    <cfRule type="containsText" dxfId="3945" priority="27" operator="containsText" text="Fully Achieved">
      <formula>NOT(ISERROR(SEARCH("Fully Achieved",M48)))</formula>
    </cfRule>
    <cfRule type="containsText" dxfId="3944" priority="28" operator="containsText" text="On track to be achieved">
      <formula>NOT(ISERROR(SEARCH("On track to be achieved",M48)))</formula>
    </cfRule>
  </conditionalFormatting>
  <conditionalFormatting sqref="R48">
    <cfRule type="containsText" dxfId="3943" priority="11" operator="containsText" text="Deferred">
      <formula>NOT(ISERROR(SEARCH("Deferred",R48)))</formula>
    </cfRule>
    <cfRule type="containsText" dxfId="3942" priority="12" operator="containsText" text="Update Not Provided">
      <formula>NOT(ISERROR(SEARCH("Update Not Provided",R48)))</formula>
    </cfRule>
    <cfRule type="containsText" dxfId="3941" priority="13" operator="containsText" text="Not Yet Due">
      <formula>NOT(ISERROR(SEARCH("Not Yet Due",R48)))</formula>
    </cfRule>
    <cfRule type="containsText" dxfId="3940" priority="14" operator="containsText" text="Deleted">
      <formula>NOT(ISERROR(SEARCH("Deleted",R48)))</formula>
    </cfRule>
    <cfRule type="containsText" dxfId="3939" priority="15" operator="containsText" text="Completed Behind Schedule">
      <formula>NOT(ISERROR(SEARCH("Completed Behind Schedule",R48)))</formula>
    </cfRule>
    <cfRule type="containsText" dxfId="3938" priority="16" operator="containsText" text="Off Target">
      <formula>NOT(ISERROR(SEARCH("Off Target",R48)))</formula>
    </cfRule>
    <cfRule type="containsText" dxfId="3937" priority="17" operator="containsText" text="In Danger of Falling Behind Target">
      <formula>NOT(ISERROR(SEARCH("In Danger of Falling Behind Target",R48)))</formula>
    </cfRule>
    <cfRule type="containsText" dxfId="3936" priority="18" operator="containsText" text="Fully Achieved">
      <formula>NOT(ISERROR(SEARCH("Fully Achieved",R48)))</formula>
    </cfRule>
    <cfRule type="containsText" dxfId="3935" priority="19" operator="containsText" text="On track to be achieved">
      <formula>NOT(ISERROR(SEARCH("On track to be achieved",R48)))</formula>
    </cfRule>
  </conditionalFormatting>
  <dataValidations count="2">
    <dataValidation type="list" allowBlank="1" showInputMessage="1" showErrorMessage="1" promptTitle="Is target on track?" prompt="Please choose an option from the drop down list that best describes the current situation for this target." sqref="M3:M110 H3:H110 R3:R110">
      <formula1>$A$163:$A$171</formula1>
    </dataValidation>
    <dataValidation type="list" allowBlank="1" showInputMessage="1" showErrorMessage="1" promptTitle="Is target on track?" prompt="Please choose an option from the drop down list that best describes the current situation for this target." sqref="V3:V110">
      <formula1>$A$145:$A$154</formula1>
    </dataValidation>
  </dataValidations>
  <pageMargins left="0.23622047244094491" right="0.23622047244094491" top="0.74803149606299213" bottom="0.74803149606299213" header="0.31496062992125984" footer="0.31496062992125984"/>
  <pageSetup paperSize="8" orientation="portrait" r:id="rId1"/>
  <colBreaks count="1" manualBreakCount="1">
    <brk id="9" max="10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B1" zoomScale="70" zoomScaleNormal="70" workbookViewId="0">
      <selection activeCell="D5" sqref="D5"/>
    </sheetView>
  </sheetViews>
  <sheetFormatPr defaultColWidth="9.140625" defaultRowHeight="15"/>
  <cols>
    <col min="1" max="1" width="9.140625" style="125"/>
    <col min="2" max="2" width="49.5703125" style="64" customWidth="1"/>
    <col min="3" max="3" width="27.140625" style="64" customWidth="1"/>
    <col min="4" max="4" width="27.140625" style="148" customWidth="1"/>
    <col min="5" max="8" width="27.140625" style="64" customWidth="1"/>
    <col min="9" max="40" width="9.140625" style="125"/>
    <col min="41" max="16384" width="9.140625" style="64"/>
  </cols>
  <sheetData>
    <row r="1" spans="1:40" s="125" customFormat="1" ht="33" customHeight="1" thickBot="1">
      <c r="B1" s="126" t="s">
        <v>422</v>
      </c>
      <c r="D1" s="127"/>
    </row>
    <row r="2" spans="1:40" ht="40.5" customHeight="1" thickTop="1" thickBot="1">
      <c r="B2" s="344" t="s">
        <v>428</v>
      </c>
      <c r="C2" s="346" t="s">
        <v>416</v>
      </c>
      <c r="D2" s="347"/>
      <c r="E2" s="348" t="s">
        <v>417</v>
      </c>
      <c r="F2" s="349"/>
      <c r="G2" s="350" t="s">
        <v>418</v>
      </c>
      <c r="H2" s="350"/>
    </row>
    <row r="3" spans="1:40" ht="50.25" customHeight="1" thickTop="1" thickBot="1">
      <c r="B3" s="345"/>
      <c r="C3" s="128" t="s">
        <v>423</v>
      </c>
      <c r="D3" s="129" t="s">
        <v>424</v>
      </c>
      <c r="E3" s="130" t="s">
        <v>423</v>
      </c>
      <c r="F3" s="131" t="s">
        <v>424</v>
      </c>
      <c r="G3" s="149" t="s">
        <v>423</v>
      </c>
      <c r="H3" s="150" t="s">
        <v>424</v>
      </c>
    </row>
    <row r="4" spans="1:40" s="136" customFormat="1" ht="21.75" thickTop="1" thickBot="1">
      <c r="A4" s="132"/>
      <c r="B4" s="133" t="s">
        <v>425</v>
      </c>
      <c r="C4" s="17"/>
      <c r="D4" s="134"/>
      <c r="E4" s="17"/>
      <c r="F4" s="17"/>
      <c r="G4" s="17"/>
      <c r="H4" s="135"/>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row>
    <row r="5" spans="1:40" s="142" customFormat="1" ht="37.5" customHeight="1" thickTop="1" thickBot="1">
      <c r="A5" s="137"/>
      <c r="B5" s="138" t="s">
        <v>426</v>
      </c>
      <c r="C5" s="139">
        <f>'2a. % By Priority'!C6+'2a. % By Priority'!C7</f>
        <v>80</v>
      </c>
      <c r="D5" s="140">
        <f>'2a. % By Priority'!G6</f>
        <v>0.96385542168674698</v>
      </c>
      <c r="E5" s="141">
        <f>'2a. % By Priority'!C9</f>
        <v>2</v>
      </c>
      <c r="F5" s="131">
        <f>'2a. % By Priority'!G9</f>
        <v>2.4096385542168676E-2</v>
      </c>
      <c r="G5" s="151">
        <f>'2a. % By Priority'!C13+'2a. % By Priority'!C14</f>
        <v>1</v>
      </c>
      <c r="H5" s="152">
        <f>'2a. % By Priority'!G13</f>
        <v>1.2048192771084338E-2</v>
      </c>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row>
    <row r="6" spans="1:40" s="142" customFormat="1" ht="21.75" thickTop="1" thickBot="1">
      <c r="A6" s="137"/>
      <c r="B6" s="143" t="s">
        <v>427</v>
      </c>
      <c r="C6" s="144"/>
      <c r="D6" s="145"/>
      <c r="E6" s="144"/>
      <c r="F6" s="145"/>
      <c r="G6" s="144"/>
      <c r="H6" s="146"/>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row>
    <row r="7" spans="1:40" s="142" customFormat="1" ht="37.5" customHeight="1" thickTop="1" thickBot="1">
      <c r="A7" s="137"/>
      <c r="B7" s="138" t="s">
        <v>281</v>
      </c>
      <c r="C7" s="139">
        <f>'2a. % By Priority'!C28+'2a. % By Priority'!C29</f>
        <v>50</v>
      </c>
      <c r="D7" s="140">
        <f>'2a. % By Priority'!G28</f>
        <v>0.96153846153846156</v>
      </c>
      <c r="E7" s="147">
        <f>'2a. % By Priority'!C31</f>
        <v>1</v>
      </c>
      <c r="F7" s="131">
        <f>'2a. % By Priority'!G31</f>
        <v>1.9230769230769232E-2</v>
      </c>
      <c r="G7" s="151">
        <f>'2a. % By Priority'!C35+'2a. % By Priority'!C36</f>
        <v>1</v>
      </c>
      <c r="H7" s="152">
        <f>'2a. % By Priority'!G35</f>
        <v>1.9230769230769232E-2</v>
      </c>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row>
    <row r="8" spans="1:40" s="142" customFormat="1" ht="37.5" customHeight="1" thickTop="1" thickBot="1">
      <c r="A8" s="137"/>
      <c r="B8" s="138" t="s">
        <v>419</v>
      </c>
      <c r="C8" s="139">
        <f>'2a. % By Priority'!C50+'2a. % By Priority'!C51</f>
        <v>14</v>
      </c>
      <c r="D8" s="140">
        <f>'2a. % By Priority'!G50</f>
        <v>0.93333333333333335</v>
      </c>
      <c r="E8" s="147">
        <f>'2a. % By Priority'!C53</f>
        <v>1</v>
      </c>
      <c r="F8" s="131">
        <f>'2a. % By Priority'!G53</f>
        <v>6.6666666666666666E-2</v>
      </c>
      <c r="G8" s="151">
        <f>'2a. % By Priority'!C57+'2a. % By Priority'!C58</f>
        <v>0</v>
      </c>
      <c r="H8" s="152">
        <f>'2a. % By Priority'!G57</f>
        <v>0</v>
      </c>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row>
    <row r="9" spans="1:40" s="142" customFormat="1" ht="37.5" customHeight="1" thickTop="1" thickBot="1">
      <c r="A9" s="137"/>
      <c r="B9" s="138" t="s">
        <v>279</v>
      </c>
      <c r="C9" s="139">
        <f>'2a. % By Priority'!C72+'2a. % By Priority'!C73</f>
        <v>16</v>
      </c>
      <c r="D9" s="140">
        <f>'2a. % By Priority'!G72</f>
        <v>1</v>
      </c>
      <c r="E9" s="147">
        <f>'2a. % By Priority'!C75</f>
        <v>0</v>
      </c>
      <c r="F9" s="131">
        <f>'2a. % By Priority'!G75</f>
        <v>0</v>
      </c>
      <c r="G9" s="151">
        <f>'2a. % By Priority'!C79+'2a. % By Priority'!C80</f>
        <v>0</v>
      </c>
      <c r="H9" s="152">
        <f>'2a. % By Priority'!G79</f>
        <v>0</v>
      </c>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row>
    <row r="10" spans="1:40" s="142" customFormat="1" ht="21.75" thickTop="1" thickBot="1">
      <c r="A10" s="137"/>
      <c r="B10" s="143" t="s">
        <v>266</v>
      </c>
      <c r="C10" s="144"/>
      <c r="D10" s="145"/>
      <c r="E10" s="144"/>
      <c r="F10" s="145"/>
      <c r="G10" s="144"/>
      <c r="H10" s="146"/>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row>
    <row r="11" spans="1:40" s="142" customFormat="1" ht="37.5" customHeight="1" thickTop="1" thickBot="1">
      <c r="A11" s="137"/>
      <c r="B11" s="182" t="s">
        <v>374</v>
      </c>
      <c r="C11" s="183">
        <f>'3a. % by Portfolio'!C6+'3a. % by Portfolio'!C7</f>
        <v>11</v>
      </c>
      <c r="D11" s="184">
        <f>'3a. % by Portfolio'!G6</f>
        <v>1</v>
      </c>
      <c r="E11" s="185">
        <f>'3a. % by Portfolio'!C9</f>
        <v>0</v>
      </c>
      <c r="F11" s="186">
        <f>'3a. % by Portfolio'!G9</f>
        <v>0</v>
      </c>
      <c r="G11" s="187">
        <f>'3a. % by Portfolio'!C13+'3a. % by Portfolio'!C14</f>
        <v>0</v>
      </c>
      <c r="H11" s="188">
        <f>'3a. % by Portfolio'!G13</f>
        <v>0</v>
      </c>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row>
    <row r="12" spans="1:40" s="142" customFormat="1" ht="37.5" customHeight="1" thickTop="1" thickBot="1">
      <c r="A12" s="137"/>
      <c r="B12" s="182" t="s">
        <v>373</v>
      </c>
      <c r="C12" s="183">
        <f>'3a. % by Portfolio'!C29+'3a. % by Portfolio'!C30</f>
        <v>20</v>
      </c>
      <c r="D12" s="184">
        <f>'3a. % by Portfolio'!G29</f>
        <v>0.90909090909090906</v>
      </c>
      <c r="E12" s="189">
        <f>'3a. % by Portfolio'!C32</f>
        <v>2</v>
      </c>
      <c r="F12" s="186">
        <f>'3a. % by Portfolio'!G32</f>
        <v>9.0909090909090912E-2</v>
      </c>
      <c r="G12" s="187">
        <f>'3a. % by Portfolio'!C13+'3a. % by Portfolio'!C14</f>
        <v>0</v>
      </c>
      <c r="H12" s="188">
        <f>'3a. % by Portfolio'!G36</f>
        <v>0</v>
      </c>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row>
    <row r="13" spans="1:40" s="142" customFormat="1" ht="37.5" customHeight="1" thickTop="1" thickBot="1">
      <c r="A13" s="137"/>
      <c r="B13" s="182" t="s">
        <v>429</v>
      </c>
      <c r="C13" s="183">
        <f>'3a. % by Portfolio'!C51+'3a. % by Portfolio'!C52</f>
        <v>12</v>
      </c>
      <c r="D13" s="184">
        <f>'3a. % by Portfolio'!G51</f>
        <v>1</v>
      </c>
      <c r="E13" s="189">
        <f>'3a. % by Portfolio'!C54</f>
        <v>0</v>
      </c>
      <c r="F13" s="186">
        <f>'3a. % by Portfolio'!G54</f>
        <v>0</v>
      </c>
      <c r="G13" s="187">
        <f>'3a. % by Portfolio'!C58+'3a. % by Portfolio'!C59</f>
        <v>0</v>
      </c>
      <c r="H13" s="188">
        <f>'3a. % by Portfolio'!G58</f>
        <v>0</v>
      </c>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row>
    <row r="14" spans="1:40" s="142" customFormat="1" ht="37.5" customHeight="1" thickTop="1" thickBot="1">
      <c r="A14" s="137"/>
      <c r="B14" s="182" t="s">
        <v>369</v>
      </c>
      <c r="C14" s="183">
        <f>'3a. % by Portfolio'!C73+'3a. % by Portfolio'!C74</f>
        <v>25</v>
      </c>
      <c r="D14" s="184">
        <f>'3a. % by Portfolio'!G73</f>
        <v>0.96153846153846145</v>
      </c>
      <c r="E14" s="189">
        <f>'3a. % by Portfolio'!C76</f>
        <v>0</v>
      </c>
      <c r="F14" s="186">
        <f>'3a. % by Portfolio'!G76</f>
        <v>0</v>
      </c>
      <c r="G14" s="187">
        <f>'3a. % by Portfolio'!C80+'3a. % by Portfolio'!C81</f>
        <v>1</v>
      </c>
      <c r="H14" s="188">
        <f>'3a. % by Portfolio'!G80</f>
        <v>3.8461538461538464E-2</v>
      </c>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row>
    <row r="15" spans="1:40" s="142" customFormat="1" ht="37.5" customHeight="1" thickTop="1" thickBot="1">
      <c r="A15" s="137"/>
      <c r="B15" s="182" t="s">
        <v>372</v>
      </c>
      <c r="C15" s="183">
        <f>'3a. % by Portfolio'!C95+'3a. % by Portfolio'!C96</f>
        <v>12</v>
      </c>
      <c r="D15" s="184">
        <f>'3a. % by Portfolio'!G95</f>
        <v>1</v>
      </c>
      <c r="E15" s="189">
        <f>'3a. % by Portfolio'!C98</f>
        <v>0</v>
      </c>
      <c r="F15" s="186">
        <f>'3a. % by Portfolio'!G98</f>
        <v>0</v>
      </c>
      <c r="G15" s="187">
        <f>'3a. % by Portfolio'!C102+'3a. % by Portfolio'!C103</f>
        <v>0</v>
      </c>
      <c r="H15" s="188">
        <f>'3a. % by Portfolio'!G102</f>
        <v>0</v>
      </c>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row>
    <row r="16" spans="1:40" s="125" customFormat="1" ht="15.75" thickTop="1">
      <c r="D16" s="127"/>
    </row>
    <row r="17" spans="4:4" s="125" customFormat="1">
      <c r="D17" s="127"/>
    </row>
    <row r="18" spans="4:4" s="125" customFormat="1">
      <c r="D18" s="127"/>
    </row>
    <row r="19" spans="4:4" s="125" customFormat="1">
      <c r="D19" s="127"/>
    </row>
    <row r="20" spans="4:4" s="125" customFormat="1">
      <c r="D20" s="127"/>
    </row>
    <row r="21" spans="4:4" s="125" customFormat="1">
      <c r="D21" s="127"/>
    </row>
    <row r="22" spans="4:4" s="125" customFormat="1">
      <c r="D22" s="127"/>
    </row>
    <row r="23" spans="4:4" s="125" customFormat="1">
      <c r="D23" s="127"/>
    </row>
    <row r="24" spans="4:4" s="125" customFormat="1">
      <c r="D24" s="127"/>
    </row>
    <row r="25" spans="4:4" s="125" customFormat="1">
      <c r="D25" s="127"/>
    </row>
    <row r="26" spans="4:4" s="125" customFormat="1">
      <c r="D26" s="127"/>
    </row>
    <row r="27" spans="4:4" s="125" customFormat="1">
      <c r="D27" s="127"/>
    </row>
    <row r="28" spans="4:4" s="125" customFormat="1">
      <c r="D28" s="127"/>
    </row>
    <row r="29" spans="4:4" s="125" customFormat="1">
      <c r="D29" s="127"/>
    </row>
    <row r="30" spans="4:4" s="125" customFormat="1">
      <c r="D30" s="127"/>
    </row>
    <row r="31" spans="4:4" s="125" customFormat="1">
      <c r="D31" s="127"/>
    </row>
    <row r="32" spans="4:4" s="125" customFormat="1">
      <c r="D32" s="127"/>
    </row>
    <row r="33" spans="4:4" s="125" customFormat="1">
      <c r="D33" s="127"/>
    </row>
    <row r="34" spans="4:4" s="125" customFormat="1">
      <c r="D34" s="127"/>
    </row>
    <row r="35" spans="4:4" s="125" customFormat="1">
      <c r="D35" s="127"/>
    </row>
    <row r="36" spans="4:4" s="125" customFormat="1">
      <c r="D36" s="127"/>
    </row>
    <row r="37" spans="4:4" s="125" customFormat="1">
      <c r="D37" s="127"/>
    </row>
    <row r="38" spans="4:4" s="125" customFormat="1">
      <c r="D38" s="127"/>
    </row>
    <row r="39" spans="4:4" s="125" customFormat="1">
      <c r="D39" s="127"/>
    </row>
    <row r="40" spans="4:4" s="125" customFormat="1">
      <c r="D40" s="127"/>
    </row>
    <row r="41" spans="4:4" s="125" customFormat="1">
      <c r="D41" s="127"/>
    </row>
    <row r="42" spans="4:4" s="125" customFormat="1">
      <c r="D42" s="127"/>
    </row>
    <row r="43" spans="4:4" s="125" customFormat="1">
      <c r="D43" s="127"/>
    </row>
    <row r="44" spans="4:4" s="125" customFormat="1">
      <c r="D44" s="127"/>
    </row>
    <row r="45" spans="4:4" s="125" customFormat="1">
      <c r="D45" s="127"/>
    </row>
    <row r="46" spans="4:4" s="125" customFormat="1">
      <c r="D46" s="127"/>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89"/>
  <sheetViews>
    <sheetView zoomScale="77" zoomScaleNormal="77" workbookViewId="0">
      <pane ySplit="1" topLeftCell="A2" activePane="bottomLeft" state="frozen"/>
      <selection pane="bottomLeft" activeCell="C21" sqref="C21"/>
    </sheetView>
  </sheetViews>
  <sheetFormatPr defaultColWidth="9.140625" defaultRowHeight="14.25"/>
  <cols>
    <col min="1" max="1" width="2.140625" style="25" customWidth="1"/>
    <col min="2" max="2" width="38.85546875" style="25" customWidth="1"/>
    <col min="3" max="3" width="13.7109375" style="22" customWidth="1"/>
    <col min="4" max="4" width="13.85546875" style="22" customWidth="1"/>
    <col min="5" max="5" width="16.28515625" style="22" customWidth="1"/>
    <col min="6" max="6" width="14.140625" style="22" customWidth="1"/>
    <col min="7" max="7" width="17.140625" style="22" customWidth="1"/>
    <col min="8" max="8" width="4.7109375" style="22" customWidth="1"/>
    <col min="9" max="9" width="38.85546875" style="25" hidden="1" customWidth="1"/>
    <col min="10" max="10" width="13.7109375" style="22" hidden="1" customWidth="1"/>
    <col min="11" max="11" width="13.85546875" style="22" hidden="1" customWidth="1"/>
    <col min="12" max="12" width="16.28515625" style="22" hidden="1" customWidth="1"/>
    <col min="13" max="13" width="14.140625" style="22" hidden="1" customWidth="1"/>
    <col min="14" max="14" width="17.140625" style="22" hidden="1" customWidth="1"/>
    <col min="15" max="15" width="4.7109375" style="22" hidden="1" customWidth="1"/>
    <col min="16" max="16" width="38.85546875" style="25" hidden="1" customWidth="1"/>
    <col min="17" max="17" width="13.7109375" style="22" hidden="1" customWidth="1"/>
    <col min="18" max="18" width="13.85546875" style="22" hidden="1" customWidth="1"/>
    <col min="19" max="19" width="16.28515625" style="22" hidden="1" customWidth="1"/>
    <col min="20" max="20" width="14.140625" style="22" hidden="1" customWidth="1"/>
    <col min="21" max="21" width="17.140625" style="22" hidden="1" customWidth="1"/>
    <col min="22" max="22" width="4.7109375" style="22" hidden="1" customWidth="1"/>
    <col min="23" max="23" width="55.28515625" style="22" hidden="1" customWidth="1"/>
    <col min="24" max="24" width="14.5703125" style="22" hidden="1" customWidth="1"/>
    <col min="25" max="27" width="17.140625" style="22" hidden="1" customWidth="1"/>
    <col min="28" max="28" width="17.140625" style="50" hidden="1" customWidth="1"/>
    <col min="29" max="32" width="9.140625" style="25" customWidth="1"/>
    <col min="33" max="16384" width="9.140625" style="25"/>
  </cols>
  <sheetData>
    <row r="1" spans="2:32" s="19" customFormat="1" ht="20.25">
      <c r="B1" s="67" t="s">
        <v>409</v>
      </c>
      <c r="C1" s="65"/>
      <c r="D1" s="66"/>
      <c r="E1" s="66"/>
      <c r="F1" s="66"/>
      <c r="G1" s="66"/>
      <c r="H1" s="18"/>
      <c r="I1" s="67" t="s">
        <v>410</v>
      </c>
      <c r="J1" s="65"/>
      <c r="K1" s="66"/>
      <c r="L1" s="66"/>
      <c r="M1" s="66"/>
      <c r="N1" s="66"/>
      <c r="O1" s="18"/>
      <c r="P1" s="91" t="s">
        <v>411</v>
      </c>
      <c r="Q1" s="65"/>
      <c r="R1" s="66"/>
      <c r="S1" s="66"/>
      <c r="T1" s="66"/>
      <c r="U1" s="66"/>
      <c r="V1" s="18"/>
      <c r="W1" s="70" t="s">
        <v>412</v>
      </c>
      <c r="X1" s="68"/>
      <c r="Y1" s="68"/>
      <c r="Z1" s="68"/>
      <c r="AA1" s="68"/>
      <c r="AB1" s="69"/>
    </row>
    <row r="2" spans="2:32" ht="15.75">
      <c r="B2" s="20"/>
      <c r="C2" s="21"/>
      <c r="D2" s="21"/>
      <c r="E2" s="21"/>
      <c r="F2" s="21"/>
      <c r="G2" s="21"/>
      <c r="I2" s="20"/>
      <c r="J2" s="21"/>
      <c r="K2" s="21"/>
      <c r="L2" s="21"/>
      <c r="M2" s="21"/>
      <c r="N2" s="21"/>
      <c r="P2" s="20"/>
      <c r="Q2" s="21"/>
      <c r="R2" s="21"/>
      <c r="S2" s="21"/>
      <c r="T2" s="21"/>
      <c r="U2" s="21"/>
      <c r="W2" s="23"/>
      <c r="X2" s="23"/>
      <c r="Y2" s="23"/>
      <c r="Z2" s="23"/>
      <c r="AA2" s="23"/>
      <c r="AB2" s="24"/>
    </row>
    <row r="3" spans="2:32" ht="15.75">
      <c r="B3" s="82" t="s">
        <v>391</v>
      </c>
      <c r="C3" s="83"/>
      <c r="D3" s="83"/>
      <c r="E3" s="83"/>
      <c r="F3" s="83"/>
      <c r="G3" s="84"/>
      <c r="I3" s="82" t="s">
        <v>391</v>
      </c>
      <c r="J3" s="83"/>
      <c r="K3" s="83"/>
      <c r="L3" s="83"/>
      <c r="M3" s="83"/>
      <c r="N3" s="84"/>
      <c r="P3" s="82" t="s">
        <v>391</v>
      </c>
      <c r="Q3" s="83"/>
      <c r="R3" s="83"/>
      <c r="S3" s="83"/>
      <c r="T3" s="83"/>
      <c r="U3" s="84"/>
      <c r="W3" s="27" t="s">
        <v>391</v>
      </c>
      <c r="X3" s="28"/>
      <c r="Y3" s="28"/>
      <c r="Z3" s="28"/>
      <c r="AA3" s="28"/>
      <c r="AB3" s="29"/>
    </row>
    <row r="4" spans="2:32" s="22" customFormat="1" ht="39" customHeight="1">
      <c r="B4" s="85" t="s">
        <v>392</v>
      </c>
      <c r="C4" s="85" t="s">
        <v>393</v>
      </c>
      <c r="D4" s="85" t="s">
        <v>394</v>
      </c>
      <c r="E4" s="85" t="s">
        <v>395</v>
      </c>
      <c r="F4" s="85" t="s">
        <v>396</v>
      </c>
      <c r="G4" s="85" t="s">
        <v>397</v>
      </c>
      <c r="I4" s="85" t="s">
        <v>392</v>
      </c>
      <c r="J4" s="85" t="s">
        <v>393</v>
      </c>
      <c r="K4" s="85" t="s">
        <v>394</v>
      </c>
      <c r="L4" s="85" t="s">
        <v>395</v>
      </c>
      <c r="M4" s="85" t="s">
        <v>396</v>
      </c>
      <c r="N4" s="85" t="s">
        <v>397</v>
      </c>
      <c r="P4" s="85" t="s">
        <v>392</v>
      </c>
      <c r="Q4" s="85" t="s">
        <v>393</v>
      </c>
      <c r="R4" s="85" t="s">
        <v>394</v>
      </c>
      <c r="S4" s="85" t="s">
        <v>395</v>
      </c>
      <c r="T4" s="85" t="s">
        <v>396</v>
      </c>
      <c r="U4" s="85" t="s">
        <v>397</v>
      </c>
      <c r="W4" s="85" t="s">
        <v>392</v>
      </c>
      <c r="X4" s="85" t="s">
        <v>393</v>
      </c>
      <c r="Y4" s="85" t="s">
        <v>394</v>
      </c>
      <c r="Z4" s="85" t="s">
        <v>395</v>
      </c>
      <c r="AA4" s="85" t="s">
        <v>396</v>
      </c>
      <c r="AB4" s="85" t="s">
        <v>397</v>
      </c>
    </row>
    <row r="5" spans="2:32" s="33" customFormat="1" ht="5.25" customHeight="1">
      <c r="B5" s="30"/>
      <c r="C5" s="31"/>
      <c r="D5" s="31"/>
      <c r="E5" s="31"/>
      <c r="F5" s="31"/>
      <c r="G5" s="31"/>
      <c r="H5" s="32"/>
      <c r="I5" s="30"/>
      <c r="J5" s="31"/>
      <c r="K5" s="31"/>
      <c r="L5" s="31"/>
      <c r="M5" s="31"/>
      <c r="N5" s="31"/>
      <c r="O5" s="32"/>
      <c r="P5" s="30"/>
      <c r="Q5" s="31"/>
      <c r="R5" s="31"/>
      <c r="S5" s="31"/>
      <c r="T5" s="31"/>
      <c r="U5" s="31"/>
      <c r="V5" s="32"/>
      <c r="W5" s="30"/>
      <c r="X5" s="31"/>
      <c r="Y5" s="31"/>
      <c r="Z5" s="31"/>
      <c r="AA5" s="31"/>
      <c r="AB5" s="31"/>
    </row>
    <row r="6" spans="2:32" ht="30.75" customHeight="1">
      <c r="B6" s="71" t="s">
        <v>398</v>
      </c>
      <c r="C6" s="72">
        <f>COUNTIF('1. All Data'!$H$3:$H$110,"Fully Achieved")</f>
        <v>8</v>
      </c>
      <c r="D6" s="73">
        <f>C6/C20</f>
        <v>7.407407407407407E-2</v>
      </c>
      <c r="E6" s="351">
        <f>D6+D7</f>
        <v>0.7407407407407407</v>
      </c>
      <c r="F6" s="73">
        <f>C6/C21</f>
        <v>9.6385542168674704E-2</v>
      </c>
      <c r="G6" s="366">
        <f>F6+F7</f>
        <v>0.96385542168674698</v>
      </c>
      <c r="I6" s="71" t="s">
        <v>398</v>
      </c>
      <c r="J6" s="72">
        <f>COUNTIF('1. All Data'!$M$3:$M$110,"Fully Achieved")</f>
        <v>0</v>
      </c>
      <c r="K6" s="73">
        <f>J6/J20</f>
        <v>0</v>
      </c>
      <c r="L6" s="351">
        <f>K6+K7</f>
        <v>0</v>
      </c>
      <c r="M6" s="73">
        <f>J6/J21</f>
        <v>0</v>
      </c>
      <c r="N6" s="366">
        <f>M6+M7</f>
        <v>0</v>
      </c>
      <c r="P6" s="71" t="s">
        <v>398</v>
      </c>
      <c r="Q6" s="72">
        <f>COUNTIF('1. All Data'!$R$3:$R$110,"Fully Achieved")</f>
        <v>0</v>
      </c>
      <c r="R6" s="73">
        <f>Q6/Q20</f>
        <v>0</v>
      </c>
      <c r="S6" s="351">
        <f>R6+R7</f>
        <v>0</v>
      </c>
      <c r="T6" s="73">
        <f>Q6/Q21</f>
        <v>0</v>
      </c>
      <c r="U6" s="366">
        <f>T6+T7</f>
        <v>0</v>
      </c>
      <c r="W6" s="71" t="s">
        <v>398</v>
      </c>
      <c r="X6" s="72"/>
      <c r="Y6" s="73"/>
      <c r="Z6" s="351"/>
      <c r="AA6" s="73"/>
      <c r="AB6" s="366">
        <f>AA6+AA7</f>
        <v>0</v>
      </c>
    </row>
    <row r="7" spans="2:32" ht="30.75" customHeight="1">
      <c r="B7" s="71" t="s">
        <v>349</v>
      </c>
      <c r="C7" s="72">
        <f>COUNTIF('1. All Data'!$H$3:$H$110,"On Track to be Achieved")</f>
        <v>72</v>
      </c>
      <c r="D7" s="73">
        <f>C7/C20</f>
        <v>0.66666666666666663</v>
      </c>
      <c r="E7" s="351"/>
      <c r="F7" s="73">
        <f>C7/C21</f>
        <v>0.86746987951807231</v>
      </c>
      <c r="G7" s="366"/>
      <c r="I7" s="71" t="s">
        <v>349</v>
      </c>
      <c r="J7" s="72">
        <f>COUNTIF('1. All Data'!$M$3:$M$110,"On Track to be Achieved")</f>
        <v>0</v>
      </c>
      <c r="K7" s="73">
        <f>J7/J20</f>
        <v>0</v>
      </c>
      <c r="L7" s="351"/>
      <c r="M7" s="73">
        <f>J7/J21</f>
        <v>0</v>
      </c>
      <c r="N7" s="366"/>
      <c r="P7" s="71" t="s">
        <v>349</v>
      </c>
      <c r="Q7" s="72">
        <f>COUNTIF('1. All Data'!$R$3:$R$110,"On Track to be Achieved")</f>
        <v>0</v>
      </c>
      <c r="R7" s="73">
        <f>Q7/Q20</f>
        <v>0</v>
      </c>
      <c r="S7" s="351"/>
      <c r="T7" s="73">
        <f>Q7/Q21</f>
        <v>0</v>
      </c>
      <c r="U7" s="366"/>
      <c r="W7" s="71" t="s">
        <v>349</v>
      </c>
      <c r="X7" s="72"/>
      <c r="Y7" s="73"/>
      <c r="Z7" s="351"/>
      <c r="AA7" s="73"/>
      <c r="AB7" s="366"/>
    </row>
    <row r="8" spans="2:32" s="39" customFormat="1" ht="6" customHeight="1">
      <c r="B8" s="34"/>
      <c r="C8" s="35"/>
      <c r="D8" s="36"/>
      <c r="E8" s="36"/>
      <c r="F8" s="36"/>
      <c r="G8" s="37"/>
      <c r="H8" s="38"/>
      <c r="I8" s="34"/>
      <c r="J8" s="35"/>
      <c r="K8" s="36"/>
      <c r="L8" s="36"/>
      <c r="M8" s="36"/>
      <c r="N8" s="37"/>
      <c r="O8" s="38"/>
      <c r="P8" s="34"/>
      <c r="Q8" s="35"/>
      <c r="R8" s="36"/>
      <c r="S8" s="36"/>
      <c r="T8" s="36"/>
      <c r="U8" s="37"/>
      <c r="V8" s="38"/>
      <c r="W8" s="34"/>
      <c r="X8" s="35"/>
      <c r="Y8" s="36"/>
      <c r="Z8" s="36"/>
      <c r="AA8" s="36"/>
      <c r="AB8" s="37"/>
      <c r="AD8" s="33"/>
      <c r="AE8" s="33"/>
      <c r="AF8" s="33"/>
    </row>
    <row r="9" spans="2:32" ht="18.75" customHeight="1">
      <c r="B9" s="354" t="s">
        <v>350</v>
      </c>
      <c r="C9" s="367">
        <f>COUNTIF('1. All Data'!$H$3:$H$110,"In Danger of Falling Behind Target")</f>
        <v>2</v>
      </c>
      <c r="D9" s="360">
        <f>C9/C20</f>
        <v>1.8518518518518517E-2</v>
      </c>
      <c r="E9" s="360">
        <f>D9</f>
        <v>1.8518518518518517E-2</v>
      </c>
      <c r="F9" s="360">
        <f>C9/C21</f>
        <v>2.4096385542168676E-2</v>
      </c>
      <c r="G9" s="363">
        <f>F9</f>
        <v>2.4096385542168676E-2</v>
      </c>
      <c r="I9" s="354" t="s">
        <v>350</v>
      </c>
      <c r="J9" s="357">
        <f>COUNTIF('1. All Data'!$M$3:$M$110,"In Danger of Falling BeLind Target")</f>
        <v>0</v>
      </c>
      <c r="K9" s="360">
        <f>J9/J20</f>
        <v>0</v>
      </c>
      <c r="L9" s="360">
        <f>K9</f>
        <v>0</v>
      </c>
      <c r="M9" s="360">
        <f>J9/J21</f>
        <v>0</v>
      </c>
      <c r="N9" s="363">
        <f>M9</f>
        <v>0</v>
      </c>
      <c r="P9" s="354" t="s">
        <v>350</v>
      </c>
      <c r="Q9" s="357">
        <f>COUNTIF('1. All Data'!$R$3:$R$110,"In Danger of Falling Behind Target")</f>
        <v>0</v>
      </c>
      <c r="R9" s="360">
        <f>Q9/Q20</f>
        <v>0</v>
      </c>
      <c r="S9" s="360">
        <f>R9</f>
        <v>0</v>
      </c>
      <c r="T9" s="360">
        <f>Q9/Q21</f>
        <v>0</v>
      </c>
      <c r="U9" s="363">
        <f>T9</f>
        <v>0</v>
      </c>
      <c r="W9" s="92" t="s">
        <v>342</v>
      </c>
      <c r="X9" s="93"/>
      <c r="Y9" s="73"/>
      <c r="Z9" s="351"/>
      <c r="AA9" s="73"/>
      <c r="AB9" s="352">
        <f>AA9</f>
        <v>0</v>
      </c>
      <c r="AD9" s="40"/>
    </row>
    <row r="10" spans="2:32" ht="19.5" customHeight="1">
      <c r="B10" s="355"/>
      <c r="C10" s="368"/>
      <c r="D10" s="361"/>
      <c r="E10" s="361"/>
      <c r="F10" s="361"/>
      <c r="G10" s="364"/>
      <c r="I10" s="355"/>
      <c r="J10" s="358">
        <f>COUNTIF('1. All Data'!$H$5:$H$128,"On Track to be Achieved")</f>
        <v>71</v>
      </c>
      <c r="K10" s="361"/>
      <c r="L10" s="361"/>
      <c r="M10" s="361"/>
      <c r="N10" s="364"/>
      <c r="P10" s="355"/>
      <c r="Q10" s="358">
        <f>COUNTIF('1. All Data'!$H$5:$H$128,"On Track to be Achieved")</f>
        <v>71</v>
      </c>
      <c r="R10" s="361"/>
      <c r="S10" s="361"/>
      <c r="T10" s="361"/>
      <c r="U10" s="364"/>
      <c r="W10" s="92" t="s">
        <v>343</v>
      </c>
      <c r="X10" s="93"/>
      <c r="Y10" s="73"/>
      <c r="Z10" s="351"/>
      <c r="AA10" s="73"/>
      <c r="AB10" s="352"/>
      <c r="AD10" s="40"/>
    </row>
    <row r="11" spans="2:32" ht="19.5" customHeight="1">
      <c r="B11" s="356"/>
      <c r="C11" s="369"/>
      <c r="D11" s="362"/>
      <c r="E11" s="362"/>
      <c r="F11" s="362"/>
      <c r="G11" s="365"/>
      <c r="I11" s="356"/>
      <c r="J11" s="359">
        <f>COUNTIF('1. All Data'!$H$5:$H$128,"On Track to be Achieved")</f>
        <v>71</v>
      </c>
      <c r="K11" s="362"/>
      <c r="L11" s="362"/>
      <c r="M11" s="362"/>
      <c r="N11" s="365"/>
      <c r="P11" s="356"/>
      <c r="Q11" s="359">
        <f>COUNTIF('1. All Data'!$H$5:$H$128,"On Track to be Achieved")</f>
        <v>71</v>
      </c>
      <c r="R11" s="362"/>
      <c r="S11" s="362"/>
      <c r="T11" s="362"/>
      <c r="U11" s="365"/>
      <c r="W11" s="92" t="s">
        <v>346</v>
      </c>
      <c r="X11" s="93"/>
      <c r="Y11" s="73"/>
      <c r="Z11" s="351"/>
      <c r="AA11" s="73"/>
      <c r="AB11" s="352"/>
      <c r="AD11" s="40"/>
    </row>
    <row r="12" spans="2:32" s="33" customFormat="1" ht="6" customHeight="1">
      <c r="B12" s="30"/>
      <c r="C12" s="31"/>
      <c r="D12" s="41"/>
      <c r="E12" s="41"/>
      <c r="F12" s="41"/>
      <c r="G12" s="42"/>
      <c r="H12" s="32"/>
      <c r="I12" s="30"/>
      <c r="J12" s="31"/>
      <c r="K12" s="41"/>
      <c r="L12" s="41"/>
      <c r="M12" s="41"/>
      <c r="N12" s="42"/>
      <c r="O12" s="32"/>
      <c r="P12" s="30"/>
      <c r="Q12" s="31"/>
      <c r="R12" s="41"/>
      <c r="S12" s="41"/>
      <c r="T12" s="41"/>
      <c r="U12" s="42"/>
      <c r="V12" s="32"/>
      <c r="W12" s="30"/>
      <c r="X12" s="31"/>
      <c r="Y12" s="41"/>
      <c r="Z12" s="41"/>
      <c r="AA12" s="41"/>
      <c r="AB12" s="42"/>
      <c r="AD12" s="43"/>
    </row>
    <row r="13" spans="2:32" ht="29.25" customHeight="1">
      <c r="B13" s="75" t="s">
        <v>351</v>
      </c>
      <c r="C13" s="72">
        <f>COUNTIF('1. All Data'!H3:H110,"completed behind schedule")</f>
        <v>0</v>
      </c>
      <c r="D13" s="73">
        <f>C13/C20</f>
        <v>0</v>
      </c>
      <c r="E13" s="351">
        <f>D13+D14</f>
        <v>9.2592592592592587E-3</v>
      </c>
      <c r="F13" s="73">
        <f>C13/C21</f>
        <v>0</v>
      </c>
      <c r="G13" s="353">
        <f>F13+F14</f>
        <v>1.2048192771084338E-2</v>
      </c>
      <c r="I13" s="75" t="s">
        <v>351</v>
      </c>
      <c r="J13" s="72">
        <f>COUNTIF('1. All Data'!M3:M110,"Completed Behind Schedule")</f>
        <v>0</v>
      </c>
      <c r="K13" s="73">
        <f>J13/J20</f>
        <v>0</v>
      </c>
      <c r="L13" s="351">
        <f>K13+K14</f>
        <v>0</v>
      </c>
      <c r="M13" s="73">
        <f>J13/J21</f>
        <v>0</v>
      </c>
      <c r="N13" s="353">
        <f>M13+M14</f>
        <v>0</v>
      </c>
      <c r="P13" s="75" t="s">
        <v>351</v>
      </c>
      <c r="Q13" s="72">
        <f>COUNTIF('1. All Data'!R3:R110,"completed behind schedule")</f>
        <v>0</v>
      </c>
      <c r="R13" s="73">
        <f>Q13/Q20</f>
        <v>0</v>
      </c>
      <c r="S13" s="351">
        <f>R13+R14</f>
        <v>0</v>
      </c>
      <c r="T13" s="73">
        <f>Q13/Q21</f>
        <v>0</v>
      </c>
      <c r="U13" s="353">
        <f>T13+T14</f>
        <v>0</v>
      </c>
      <c r="W13" s="75" t="s">
        <v>345</v>
      </c>
      <c r="X13" s="94"/>
      <c r="Y13" s="73"/>
      <c r="Z13" s="351"/>
      <c r="AA13" s="73"/>
      <c r="AB13" s="353">
        <f>AA13+AA14</f>
        <v>0</v>
      </c>
    </row>
    <row r="14" spans="2:32" ht="29.25" customHeight="1">
      <c r="B14" s="75" t="s">
        <v>344</v>
      </c>
      <c r="C14" s="72">
        <f>COUNTIF('1. All Data'!H3:H110,"off target")</f>
        <v>1</v>
      </c>
      <c r="D14" s="73">
        <f>C14/C20</f>
        <v>9.2592592592592587E-3</v>
      </c>
      <c r="E14" s="351"/>
      <c r="F14" s="73">
        <f>C14/C21</f>
        <v>1.2048192771084338E-2</v>
      </c>
      <c r="G14" s="353"/>
      <c r="I14" s="75" t="s">
        <v>344</v>
      </c>
      <c r="J14" s="72">
        <f>COUNTIF('1. All Data'!M3:M110,"Off Target")</f>
        <v>0</v>
      </c>
      <c r="K14" s="73">
        <f>J14/J20</f>
        <v>0</v>
      </c>
      <c r="L14" s="351"/>
      <c r="M14" s="73">
        <f>J14/J21</f>
        <v>0</v>
      </c>
      <c r="N14" s="353"/>
      <c r="P14" s="75" t="s">
        <v>344</v>
      </c>
      <c r="Q14" s="72">
        <f>COUNTIF('1. All Data'!R3:R110,"off target")</f>
        <v>0</v>
      </c>
      <c r="R14" s="73">
        <f>Q14/Q20</f>
        <v>0</v>
      </c>
      <c r="S14" s="351"/>
      <c r="T14" s="73">
        <f>Q14/Q21</f>
        <v>0</v>
      </c>
      <c r="U14" s="353"/>
      <c r="W14" s="75" t="s">
        <v>344</v>
      </c>
      <c r="X14" s="94"/>
      <c r="Y14" s="73"/>
      <c r="Z14" s="351"/>
      <c r="AA14" s="73"/>
      <c r="AB14" s="353"/>
    </row>
    <row r="15" spans="2:32" s="33" customFormat="1" ht="7.5" customHeight="1">
      <c r="B15" s="30"/>
      <c r="C15" s="44"/>
      <c r="D15" s="41"/>
      <c r="E15" s="41"/>
      <c r="F15" s="41"/>
      <c r="G15" s="45"/>
      <c r="H15" s="32"/>
      <c r="I15" s="30"/>
      <c r="J15" s="44"/>
      <c r="K15" s="41"/>
      <c r="L15" s="41"/>
      <c r="M15" s="41"/>
      <c r="N15" s="45"/>
      <c r="O15" s="32"/>
      <c r="P15" s="30"/>
      <c r="Q15" s="44"/>
      <c r="R15" s="41"/>
      <c r="S15" s="41"/>
      <c r="T15" s="41"/>
      <c r="U15" s="45"/>
      <c r="V15" s="32"/>
      <c r="W15" s="30"/>
      <c r="X15" s="44"/>
      <c r="Y15" s="41"/>
      <c r="Z15" s="41"/>
      <c r="AA15" s="41"/>
      <c r="AB15" s="45"/>
    </row>
    <row r="16" spans="2:32" ht="20.25" customHeight="1">
      <c r="B16" s="76" t="s">
        <v>399</v>
      </c>
      <c r="C16" s="72">
        <f>COUNTIF('1. All Data'!H3:H110,"not yet due")</f>
        <v>25</v>
      </c>
      <c r="D16" s="77">
        <f>C16/C20</f>
        <v>0.23148148148148148</v>
      </c>
      <c r="E16" s="77">
        <f>D16</f>
        <v>0.23148148148148148</v>
      </c>
      <c r="F16" s="46"/>
      <c r="G16" s="47"/>
      <c r="I16" s="76" t="s">
        <v>399</v>
      </c>
      <c r="J16" s="72">
        <f>COUNTIF('1. All Data'!M3:M110,"not yet due")</f>
        <v>0</v>
      </c>
      <c r="K16" s="77">
        <f>J16/J20</f>
        <v>0</v>
      </c>
      <c r="L16" s="77">
        <f>K16</f>
        <v>0</v>
      </c>
      <c r="M16" s="46"/>
      <c r="N16" s="47"/>
      <c r="P16" s="76" t="s">
        <v>399</v>
      </c>
      <c r="Q16" s="72">
        <f>COUNTIF('1. All Data'!R3:R110,"not yet due")</f>
        <v>0</v>
      </c>
      <c r="R16" s="77">
        <f>Q16/Q20</f>
        <v>0</v>
      </c>
      <c r="S16" s="77">
        <f>R16</f>
        <v>0</v>
      </c>
      <c r="T16" s="46"/>
      <c r="U16" s="47"/>
      <c r="W16" s="76" t="s">
        <v>399</v>
      </c>
      <c r="X16" s="72"/>
      <c r="Y16" s="77"/>
      <c r="Z16" s="77"/>
      <c r="AA16" s="46"/>
      <c r="AB16" s="47"/>
    </row>
    <row r="17" spans="2:30" ht="20.25" customHeight="1">
      <c r="B17" s="76" t="s">
        <v>339</v>
      </c>
      <c r="C17" s="72">
        <f>COUNTIF('1. All Data'!H3:H110,"update not provided")</f>
        <v>0</v>
      </c>
      <c r="D17" s="77">
        <f>C17/C20</f>
        <v>0</v>
      </c>
      <c r="E17" s="77">
        <f>D17</f>
        <v>0</v>
      </c>
      <c r="F17" s="46"/>
      <c r="G17" s="49"/>
      <c r="I17" s="76" t="s">
        <v>339</v>
      </c>
      <c r="J17" s="72">
        <f>COUNTIF('1. All Data'!M3:M110,"update not provided")</f>
        <v>108</v>
      </c>
      <c r="K17" s="77">
        <f>J17/J20</f>
        <v>0.432</v>
      </c>
      <c r="L17" s="77">
        <f>K17</f>
        <v>0.432</v>
      </c>
      <c r="M17" s="46"/>
      <c r="N17" s="49"/>
      <c r="P17" s="76" t="s">
        <v>339</v>
      </c>
      <c r="Q17" s="72">
        <f>COUNTIF('1. All Data'!R3:R110,"update not provided")</f>
        <v>108</v>
      </c>
      <c r="R17" s="77">
        <f>Q17/Q20</f>
        <v>0.432</v>
      </c>
      <c r="S17" s="77">
        <f>R17</f>
        <v>0.432</v>
      </c>
      <c r="T17" s="46"/>
      <c r="U17" s="49"/>
      <c r="W17" s="76" t="s">
        <v>339</v>
      </c>
      <c r="X17" s="72"/>
      <c r="Y17" s="77"/>
      <c r="Z17" s="77"/>
      <c r="AA17" s="46"/>
      <c r="AB17" s="49"/>
    </row>
    <row r="18" spans="2:30" ht="15.75" customHeight="1">
      <c r="B18" s="78" t="s">
        <v>347</v>
      </c>
      <c r="C18" s="72">
        <f>COUNTIF('1. All Data'!H3:H110,"deferred")</f>
        <v>0</v>
      </c>
      <c r="D18" s="79">
        <f>C18/C20</f>
        <v>0</v>
      </c>
      <c r="E18" s="79">
        <f>D18</f>
        <v>0</v>
      </c>
      <c r="F18" s="51"/>
      <c r="G18" s="47"/>
      <c r="I18" s="78" t="s">
        <v>347</v>
      </c>
      <c r="J18" s="72">
        <f>COUNTIF('1. All Data'!M3:M110,"deferred")</f>
        <v>0</v>
      </c>
      <c r="K18" s="79">
        <f>J18/J20</f>
        <v>0</v>
      </c>
      <c r="L18" s="79">
        <f>K18</f>
        <v>0</v>
      </c>
      <c r="M18" s="51"/>
      <c r="N18" s="47"/>
      <c r="P18" s="78" t="s">
        <v>347</v>
      </c>
      <c r="Q18" s="72">
        <f>COUNTIF('1. All Data'!R3:R110,"deferred")</f>
        <v>0</v>
      </c>
      <c r="R18" s="79">
        <f>Q18/Q20</f>
        <v>0</v>
      </c>
      <c r="S18" s="79">
        <f>R18</f>
        <v>0</v>
      </c>
      <c r="T18" s="51"/>
      <c r="U18" s="47"/>
      <c r="W18" s="78" t="s">
        <v>347</v>
      </c>
      <c r="X18" s="72"/>
      <c r="Y18" s="79"/>
      <c r="Z18" s="79"/>
      <c r="AA18" s="51"/>
      <c r="AB18" s="47"/>
      <c r="AD18" s="40"/>
    </row>
    <row r="19" spans="2:30" ht="15.75" customHeight="1">
      <c r="B19" s="78" t="s">
        <v>348</v>
      </c>
      <c r="C19" s="72">
        <f>COUNTIF('1. All Data'!H3:H110,"deleted")</f>
        <v>0</v>
      </c>
      <c r="D19" s="79">
        <f>C19/C20</f>
        <v>0</v>
      </c>
      <c r="E19" s="79">
        <f>D19</f>
        <v>0</v>
      </c>
      <c r="F19" s="51"/>
      <c r="G19" s="53" t="s">
        <v>400</v>
      </c>
      <c r="I19" s="78" t="s">
        <v>348</v>
      </c>
      <c r="J19" s="72">
        <f>COUNTIF('1. All Data'!M3:M110,"deleted")</f>
        <v>0</v>
      </c>
      <c r="K19" s="79">
        <f>J19/J20</f>
        <v>0</v>
      </c>
      <c r="L19" s="79">
        <f>K19</f>
        <v>0</v>
      </c>
      <c r="M19" s="51"/>
      <c r="N19" s="53" t="s">
        <v>400</v>
      </c>
      <c r="P19" s="78" t="s">
        <v>348</v>
      </c>
      <c r="Q19" s="72">
        <f>COUNTIF('1. All Data'!R3:R110,"deleted")</f>
        <v>0</v>
      </c>
      <c r="R19" s="79">
        <f>Q19/Q20</f>
        <v>0</v>
      </c>
      <c r="S19" s="79">
        <f>R19</f>
        <v>0</v>
      </c>
      <c r="T19" s="51"/>
      <c r="U19" s="53" t="s">
        <v>400</v>
      </c>
      <c r="W19" s="78" t="s">
        <v>348</v>
      </c>
      <c r="X19" s="72"/>
      <c r="Y19" s="79"/>
      <c r="Z19" s="79"/>
      <c r="AA19" s="51"/>
      <c r="AB19" s="53" t="s">
        <v>400</v>
      </c>
    </row>
    <row r="20" spans="2:30" ht="15.75" customHeight="1">
      <c r="B20" s="80" t="s">
        <v>401</v>
      </c>
      <c r="C20" s="81">
        <f>SUM(C6:C19)</f>
        <v>108</v>
      </c>
      <c r="D20" s="51"/>
      <c r="E20" s="51"/>
      <c r="F20" s="47"/>
      <c r="G20" s="47"/>
      <c r="I20" s="80" t="s">
        <v>401</v>
      </c>
      <c r="J20" s="81">
        <f>SUM(J6:J19)</f>
        <v>250</v>
      </c>
      <c r="K20" s="51"/>
      <c r="L20" s="51"/>
      <c r="M20" s="47"/>
      <c r="N20" s="47"/>
      <c r="P20" s="80" t="s">
        <v>401</v>
      </c>
      <c r="Q20" s="81">
        <f>SUM(Q6:Q19)</f>
        <v>250</v>
      </c>
      <c r="R20" s="51"/>
      <c r="S20" s="51"/>
      <c r="T20" s="47"/>
      <c r="U20" s="47"/>
      <c r="W20" s="80" t="s">
        <v>401</v>
      </c>
      <c r="X20" s="81"/>
      <c r="Y20" s="51"/>
      <c r="Z20" s="51"/>
      <c r="AA20" s="47"/>
      <c r="AB20" s="47"/>
    </row>
    <row r="21" spans="2:30" ht="15.75" customHeight="1">
      <c r="B21" s="80" t="s">
        <v>402</v>
      </c>
      <c r="C21" s="81">
        <f>C20-C19-C18-C17-C16</f>
        <v>83</v>
      </c>
      <c r="D21" s="47"/>
      <c r="E21" s="47"/>
      <c r="F21" s="47"/>
      <c r="G21" s="47"/>
      <c r="I21" s="80" t="s">
        <v>402</v>
      </c>
      <c r="J21" s="81">
        <f>J20-J19-J18-J17-J16</f>
        <v>142</v>
      </c>
      <c r="K21" s="47"/>
      <c r="L21" s="47"/>
      <c r="M21" s="47"/>
      <c r="N21" s="47"/>
      <c r="P21" s="80" t="s">
        <v>402</v>
      </c>
      <c r="Q21" s="81">
        <f>Q20-Q19-Q18-Q17-Q16</f>
        <v>142</v>
      </c>
      <c r="R21" s="47"/>
      <c r="S21" s="47"/>
      <c r="T21" s="47"/>
      <c r="U21" s="47"/>
      <c r="W21" s="80" t="s">
        <v>402</v>
      </c>
      <c r="X21" s="81"/>
      <c r="Y21" s="47"/>
      <c r="Z21" s="47"/>
      <c r="AA21" s="47"/>
      <c r="AB21" s="47"/>
      <c r="AD21" s="40"/>
    </row>
    <row r="22" spans="2:30" ht="15.75" customHeight="1">
      <c r="W22" s="54"/>
      <c r="AA22" s="48"/>
      <c r="AD22" s="40"/>
    </row>
    <row r="23" spans="2:30" ht="15.75" customHeight="1">
      <c r="AA23" s="48"/>
    </row>
    <row r="24" spans="2:30" ht="15" customHeight="1">
      <c r="AA24" s="48"/>
    </row>
    <row r="25" spans="2:30" ht="19.5" customHeight="1">
      <c r="B25" s="86" t="s">
        <v>406</v>
      </c>
      <c r="C25" s="87"/>
      <c r="D25" s="87"/>
      <c r="E25" s="87"/>
      <c r="F25" s="83"/>
      <c r="G25" s="88"/>
      <c r="I25" s="86" t="s">
        <v>406</v>
      </c>
      <c r="J25" s="87"/>
      <c r="K25" s="87"/>
      <c r="L25" s="87"/>
      <c r="M25" s="83"/>
      <c r="N25" s="88"/>
      <c r="P25" s="86" t="s">
        <v>406</v>
      </c>
      <c r="Q25" s="87"/>
      <c r="R25" s="87"/>
      <c r="S25" s="87"/>
      <c r="T25" s="83"/>
      <c r="U25" s="88"/>
      <c r="W25" s="58" t="s">
        <v>403</v>
      </c>
      <c r="X25" s="28"/>
      <c r="Y25" s="28"/>
      <c r="Z25" s="28"/>
      <c r="AA25" s="28"/>
      <c r="AB25" s="29"/>
    </row>
    <row r="26" spans="2:30" ht="42" customHeight="1">
      <c r="B26" s="85" t="s">
        <v>392</v>
      </c>
      <c r="C26" s="85" t="s">
        <v>393</v>
      </c>
      <c r="D26" s="85" t="s">
        <v>394</v>
      </c>
      <c r="E26" s="85" t="s">
        <v>395</v>
      </c>
      <c r="F26" s="85" t="s">
        <v>396</v>
      </c>
      <c r="G26" s="85" t="s">
        <v>397</v>
      </c>
      <c r="I26" s="85" t="s">
        <v>392</v>
      </c>
      <c r="J26" s="85" t="s">
        <v>393</v>
      </c>
      <c r="K26" s="85" t="s">
        <v>394</v>
      </c>
      <c r="L26" s="85" t="s">
        <v>395</v>
      </c>
      <c r="M26" s="85" t="s">
        <v>396</v>
      </c>
      <c r="N26" s="85" t="s">
        <v>397</v>
      </c>
      <c r="P26" s="85" t="s">
        <v>392</v>
      </c>
      <c r="Q26" s="85" t="s">
        <v>393</v>
      </c>
      <c r="R26" s="85" t="s">
        <v>394</v>
      </c>
      <c r="S26" s="85" t="s">
        <v>395</v>
      </c>
      <c r="T26" s="85" t="s">
        <v>396</v>
      </c>
      <c r="U26" s="85" t="s">
        <v>397</v>
      </c>
      <c r="W26" s="85" t="s">
        <v>392</v>
      </c>
      <c r="X26" s="85" t="s">
        <v>393</v>
      </c>
      <c r="Y26" s="85" t="s">
        <v>394</v>
      </c>
      <c r="Z26" s="85" t="s">
        <v>395</v>
      </c>
      <c r="AA26" s="85" t="s">
        <v>396</v>
      </c>
      <c r="AB26" s="85" t="s">
        <v>397</v>
      </c>
    </row>
    <row r="27" spans="2:30" s="33" customFormat="1" ht="6" customHeight="1">
      <c r="B27" s="30"/>
      <c r="C27" s="31"/>
      <c r="D27" s="31"/>
      <c r="E27" s="31"/>
      <c r="F27" s="31"/>
      <c r="G27" s="31"/>
      <c r="H27" s="32"/>
      <c r="I27" s="30"/>
      <c r="J27" s="31"/>
      <c r="K27" s="31"/>
      <c r="L27" s="31"/>
      <c r="M27" s="31"/>
      <c r="N27" s="31"/>
      <c r="O27" s="32"/>
      <c r="P27" s="30"/>
      <c r="Q27" s="31"/>
      <c r="R27" s="31"/>
      <c r="S27" s="31"/>
      <c r="T27" s="31"/>
      <c r="U27" s="31"/>
      <c r="V27" s="32"/>
      <c r="W27" s="30"/>
      <c r="X27" s="31"/>
      <c r="Y27" s="31"/>
      <c r="Z27" s="31"/>
      <c r="AA27" s="31"/>
      <c r="AB27" s="31"/>
    </row>
    <row r="28" spans="2:30" ht="21.75" customHeight="1">
      <c r="B28" s="71" t="s">
        <v>398</v>
      </c>
      <c r="C28" s="72">
        <f>COUNTIFS('1. All Data'!$AA$3:$AA$110,"Value For Money Council",'1. All Data'!$H$3:$H$110,"Fully Achieved")</f>
        <v>6</v>
      </c>
      <c r="D28" s="73">
        <f>C28/C42</f>
        <v>9.2307692307692313E-2</v>
      </c>
      <c r="E28" s="351">
        <f>D28+D29</f>
        <v>0.76923076923076927</v>
      </c>
      <c r="F28" s="73">
        <f>C28/C43</f>
        <v>0.11538461538461539</v>
      </c>
      <c r="G28" s="366">
        <f>F28+F29</f>
        <v>0.96153846153846156</v>
      </c>
      <c r="I28" s="71" t="s">
        <v>398</v>
      </c>
      <c r="J28" s="72">
        <f>COUNTIFS('1. All Data'!$AA$3:$AA$110,"Value For Money Council",'1. All Data'!$M$3:$M$110,"Fully Achieved")</f>
        <v>0</v>
      </c>
      <c r="K28" s="73">
        <f>J28/J42</f>
        <v>0</v>
      </c>
      <c r="L28" s="351">
        <f>K28+K29</f>
        <v>0</v>
      </c>
      <c r="M28" s="73">
        <f>J28/J43</f>
        <v>0</v>
      </c>
      <c r="N28" s="366">
        <f>M28+M29</f>
        <v>0</v>
      </c>
      <c r="P28" s="71" t="s">
        <v>398</v>
      </c>
      <c r="Q28" s="72">
        <f>COUNTIFS('1. All Data'!$AA$3:$AA$110,"Value For Money Council",'1. All Data'!$R$3:$R$110,"Fully Achieved")</f>
        <v>0</v>
      </c>
      <c r="R28" s="73">
        <f>Q28/Q42</f>
        <v>0</v>
      </c>
      <c r="S28" s="351">
        <f>R28+R29</f>
        <v>0</v>
      </c>
      <c r="T28" s="73">
        <f>Q28/Q43</f>
        <v>0</v>
      </c>
      <c r="U28" s="366">
        <f>T28+T29</f>
        <v>0</v>
      </c>
      <c r="W28" s="71" t="s">
        <v>398</v>
      </c>
      <c r="X28" s="72"/>
      <c r="Y28" s="73"/>
      <c r="Z28" s="351"/>
      <c r="AA28" s="73"/>
      <c r="AB28" s="366">
        <f>AA28+AA29</f>
        <v>0</v>
      </c>
    </row>
    <row r="29" spans="2:30" ht="18.75" customHeight="1">
      <c r="B29" s="71" t="s">
        <v>349</v>
      </c>
      <c r="C29" s="72">
        <f>COUNTIFS('1. All Data'!$AA$3:$AA$110,"Value For Money Council",'1. All Data'!$H$3:$H$110,"On Track to be achieved")</f>
        <v>44</v>
      </c>
      <c r="D29" s="73">
        <f>C29/C42</f>
        <v>0.67692307692307696</v>
      </c>
      <c r="E29" s="351"/>
      <c r="F29" s="73">
        <f>C29/C43</f>
        <v>0.84615384615384615</v>
      </c>
      <c r="G29" s="366"/>
      <c r="I29" s="71" t="s">
        <v>349</v>
      </c>
      <c r="J29" s="72">
        <f>COUNTIFS('1. All Data'!$AA$3:$AA$110,"Value For Money Council",'1. All Data'!$M$3:$M$110,"On Track to be achieved")</f>
        <v>0</v>
      </c>
      <c r="K29" s="73">
        <f>J29/J42</f>
        <v>0</v>
      </c>
      <c r="L29" s="351"/>
      <c r="M29" s="73">
        <f>J29/J43</f>
        <v>0</v>
      </c>
      <c r="N29" s="366"/>
      <c r="P29" s="71" t="s">
        <v>349</v>
      </c>
      <c r="Q29" s="72">
        <f>COUNTIFS('1. All Data'!$AA$3:$AA$110,"Value For Money Council",'1. All Data'!$R$3:$R$110,"On Track to be achieved")</f>
        <v>0</v>
      </c>
      <c r="R29" s="73">
        <f>Q29/Q42</f>
        <v>0</v>
      </c>
      <c r="S29" s="351"/>
      <c r="T29" s="73">
        <f>Q29/Q43</f>
        <v>0</v>
      </c>
      <c r="U29" s="366"/>
      <c r="W29" s="71" t="s">
        <v>349</v>
      </c>
      <c r="X29" s="72"/>
      <c r="Y29" s="73"/>
      <c r="Z29" s="351"/>
      <c r="AA29" s="73"/>
      <c r="AB29" s="366"/>
    </row>
    <row r="30" spans="2:30" s="33" customFormat="1" ht="6" customHeight="1">
      <c r="B30" s="34"/>
      <c r="C30" s="35"/>
      <c r="D30" s="36"/>
      <c r="E30" s="36"/>
      <c r="F30" s="36"/>
      <c r="G30" s="37"/>
      <c r="H30" s="32"/>
      <c r="I30" s="34"/>
      <c r="J30" s="35"/>
      <c r="K30" s="36"/>
      <c r="L30" s="36"/>
      <c r="M30" s="36"/>
      <c r="N30" s="37"/>
      <c r="O30" s="32"/>
      <c r="P30" s="34"/>
      <c r="Q30" s="35"/>
      <c r="R30" s="36"/>
      <c r="S30" s="36"/>
      <c r="T30" s="36"/>
      <c r="U30" s="37"/>
      <c r="V30" s="32"/>
      <c r="W30" s="34"/>
      <c r="X30" s="35"/>
      <c r="Y30" s="36"/>
      <c r="Z30" s="36"/>
      <c r="AA30" s="36"/>
      <c r="AB30" s="37"/>
    </row>
    <row r="31" spans="2:30" ht="21" customHeight="1">
      <c r="B31" s="354" t="s">
        <v>350</v>
      </c>
      <c r="C31" s="367">
        <f>COUNTIFS('1. All Data'!$AA$3:$AA$110,"Value For Money Council",'1. All Data'!$H$3:$H$110,"In Danger of Falling Behind Target")</f>
        <v>1</v>
      </c>
      <c r="D31" s="360">
        <f>C31/C42</f>
        <v>1.5384615384615385E-2</v>
      </c>
      <c r="E31" s="360">
        <f>D31</f>
        <v>1.5384615384615385E-2</v>
      </c>
      <c r="F31" s="360">
        <f>C31/C43</f>
        <v>1.9230769230769232E-2</v>
      </c>
      <c r="G31" s="363">
        <f>F31</f>
        <v>1.9230769230769232E-2</v>
      </c>
      <c r="I31" s="354" t="s">
        <v>350</v>
      </c>
      <c r="J31" s="357">
        <f>COUNTIFS('1. All Data'!$AA$3:$AA$110,"Value For Money Council",'1. All Data'!$M$3:$M$110,"In Danger of Falling Behind Target")</f>
        <v>0</v>
      </c>
      <c r="K31" s="360">
        <f>J31/J42</f>
        <v>0</v>
      </c>
      <c r="L31" s="360">
        <f>K31</f>
        <v>0</v>
      </c>
      <c r="M31" s="360">
        <f>J31/J43</f>
        <v>0</v>
      </c>
      <c r="N31" s="363">
        <f>M31</f>
        <v>0</v>
      </c>
      <c r="P31" s="354" t="s">
        <v>350</v>
      </c>
      <c r="Q31" s="357">
        <f>COUNTIFS('1. All Data'!$AA$3:$AA$110,"Value For Money Council",'1. All Data'!$R$3:$R$110,"In Danger of Falling Behind Target")</f>
        <v>0</v>
      </c>
      <c r="R31" s="360">
        <f>Q31/Q42</f>
        <v>0</v>
      </c>
      <c r="S31" s="360">
        <f>R31</f>
        <v>0</v>
      </c>
      <c r="T31" s="360">
        <f>Q31/Q43</f>
        <v>0</v>
      </c>
      <c r="U31" s="363">
        <f>T31</f>
        <v>0</v>
      </c>
      <c r="W31" s="92" t="s">
        <v>342</v>
      </c>
      <c r="X31" s="93"/>
      <c r="Y31" s="73"/>
      <c r="Z31" s="351"/>
      <c r="AA31" s="73"/>
      <c r="AB31" s="352">
        <f>AA31</f>
        <v>0</v>
      </c>
    </row>
    <row r="32" spans="2:30" ht="20.25" customHeight="1">
      <c r="B32" s="355"/>
      <c r="C32" s="368"/>
      <c r="D32" s="361"/>
      <c r="E32" s="361"/>
      <c r="F32" s="361"/>
      <c r="G32" s="364"/>
      <c r="I32" s="355"/>
      <c r="J32" s="358">
        <f>COUNTIF('1. All Data'!$H$5:$H$128,"On Track to be Achieved")</f>
        <v>71</v>
      </c>
      <c r="K32" s="361"/>
      <c r="L32" s="361"/>
      <c r="M32" s="361"/>
      <c r="N32" s="364"/>
      <c r="P32" s="355"/>
      <c r="Q32" s="358">
        <f>COUNTIF('1. All Data'!$H$5:$H$128,"On Track to be Achieved")</f>
        <v>71</v>
      </c>
      <c r="R32" s="361"/>
      <c r="S32" s="361"/>
      <c r="T32" s="361"/>
      <c r="U32" s="364"/>
      <c r="W32" s="92" t="s">
        <v>343</v>
      </c>
      <c r="X32" s="93"/>
      <c r="Y32" s="73"/>
      <c r="Z32" s="351"/>
      <c r="AA32" s="73"/>
      <c r="AB32" s="352"/>
    </row>
    <row r="33" spans="2:28" ht="18.75" customHeight="1">
      <c r="B33" s="356"/>
      <c r="C33" s="369"/>
      <c r="D33" s="362"/>
      <c r="E33" s="362"/>
      <c r="F33" s="362"/>
      <c r="G33" s="365"/>
      <c r="I33" s="356"/>
      <c r="J33" s="359">
        <f>COUNTIF('1. All Data'!$H$5:$H$128,"On Track to be Achieved")</f>
        <v>71</v>
      </c>
      <c r="K33" s="362"/>
      <c r="L33" s="362"/>
      <c r="M33" s="362"/>
      <c r="N33" s="365"/>
      <c r="P33" s="356"/>
      <c r="Q33" s="359">
        <f>COUNTIF('1. All Data'!$H$5:$H$128,"On Track to be Achieved")</f>
        <v>71</v>
      </c>
      <c r="R33" s="362"/>
      <c r="S33" s="362"/>
      <c r="T33" s="362"/>
      <c r="U33" s="365"/>
      <c r="W33" s="92" t="s">
        <v>346</v>
      </c>
      <c r="X33" s="93"/>
      <c r="Y33" s="73"/>
      <c r="Z33" s="351"/>
      <c r="AA33" s="73"/>
      <c r="AB33" s="352"/>
    </row>
    <row r="34" spans="2:28" s="33" customFormat="1" ht="6" customHeight="1">
      <c r="B34" s="30"/>
      <c r="C34" s="31"/>
      <c r="D34" s="41"/>
      <c r="E34" s="41"/>
      <c r="F34" s="41"/>
      <c r="G34" s="42"/>
      <c r="H34" s="32"/>
      <c r="I34" s="30"/>
      <c r="J34" s="31"/>
      <c r="K34" s="41"/>
      <c r="L34" s="41"/>
      <c r="M34" s="41"/>
      <c r="N34" s="42"/>
      <c r="O34" s="32"/>
      <c r="P34" s="30"/>
      <c r="Q34" s="31"/>
      <c r="R34" s="41"/>
      <c r="S34" s="41"/>
      <c r="T34" s="41"/>
      <c r="U34" s="42"/>
      <c r="V34" s="32"/>
      <c r="W34" s="30"/>
      <c r="X34" s="31"/>
      <c r="Y34" s="41"/>
      <c r="Z34" s="41"/>
      <c r="AA34" s="41"/>
      <c r="AB34" s="42"/>
    </row>
    <row r="35" spans="2:28" ht="20.25" customHeight="1">
      <c r="B35" s="75" t="s">
        <v>351</v>
      </c>
      <c r="C35" s="72">
        <f>COUNTIFS('1. All Data'!$AA$3:$AA$110,"Value For Money Council",'1. All Data'!$H$3:$H$110,"Completed Behind Schedule")</f>
        <v>0</v>
      </c>
      <c r="D35" s="73">
        <f>C35/C42</f>
        <v>0</v>
      </c>
      <c r="E35" s="351">
        <f>D35+D36</f>
        <v>1.5384615384615385E-2</v>
      </c>
      <c r="F35" s="73">
        <f>C35/C43</f>
        <v>0</v>
      </c>
      <c r="G35" s="353">
        <f>F35+F36</f>
        <v>1.9230769230769232E-2</v>
      </c>
      <c r="I35" s="75" t="s">
        <v>351</v>
      </c>
      <c r="J35" s="72">
        <f>COUNTIFS('1. All Data'!$AA$3:$AA$110,"Value For Money Council",'1. All Data'!$M$3:$M$110,"Completed Behind Schedule")</f>
        <v>0</v>
      </c>
      <c r="K35" s="73">
        <f>J35/J42</f>
        <v>0</v>
      </c>
      <c r="L35" s="351">
        <f>K35+K36</f>
        <v>0</v>
      </c>
      <c r="M35" s="73">
        <f>J35/J43</f>
        <v>0</v>
      </c>
      <c r="N35" s="353">
        <f>M35+M36</f>
        <v>0</v>
      </c>
      <c r="P35" s="75" t="s">
        <v>351</v>
      </c>
      <c r="Q35" s="72">
        <f>COUNTIFS('1. All Data'!$AA$3:$AA$110,"Value For Money Council",'1. All Data'!$R$3:$R$110,"Completed Behind Schedule")</f>
        <v>0</v>
      </c>
      <c r="R35" s="73">
        <f>Q35/Q42</f>
        <v>0</v>
      </c>
      <c r="S35" s="351">
        <f>R35+R36</f>
        <v>0</v>
      </c>
      <c r="T35" s="73">
        <f>Q35/Q43</f>
        <v>0</v>
      </c>
      <c r="U35" s="353">
        <f>T35+T36</f>
        <v>0</v>
      </c>
      <c r="W35" s="75" t="s">
        <v>345</v>
      </c>
      <c r="X35" s="94"/>
      <c r="Y35" s="73"/>
      <c r="Z35" s="351"/>
      <c r="AA35" s="73"/>
      <c r="AB35" s="353">
        <f>AA35+AA36</f>
        <v>0</v>
      </c>
    </row>
    <row r="36" spans="2:28" ht="20.25" customHeight="1">
      <c r="B36" s="75" t="s">
        <v>344</v>
      </c>
      <c r="C36" s="72">
        <f>COUNTIFS('1. All Data'!$AA$3:$AA$110,"Value For Money Council",'1. All Data'!$H$3:$H$110,"Off Target")</f>
        <v>1</v>
      </c>
      <c r="D36" s="73">
        <f>C36/C42</f>
        <v>1.5384615384615385E-2</v>
      </c>
      <c r="E36" s="351"/>
      <c r="F36" s="73">
        <f>C36/C43</f>
        <v>1.9230769230769232E-2</v>
      </c>
      <c r="G36" s="353"/>
      <c r="I36" s="75" t="s">
        <v>344</v>
      </c>
      <c r="J36" s="72">
        <f>COUNTIFS('1. All Data'!$AA$3:$AA$110,"Value For Money Council",'1. All Data'!$M$3:$M$110,"Off Target")</f>
        <v>0</v>
      </c>
      <c r="K36" s="73">
        <f>J36/J42</f>
        <v>0</v>
      </c>
      <c r="L36" s="351"/>
      <c r="M36" s="73">
        <f>J36/J43</f>
        <v>0</v>
      </c>
      <c r="N36" s="353"/>
      <c r="P36" s="75" t="s">
        <v>344</v>
      </c>
      <c r="Q36" s="72">
        <f>COUNTIFS('1. All Data'!$AA$3:$AA$110,"Value For Money Council",'1. All Data'!$R$3:$R$110,"Off Target")</f>
        <v>0</v>
      </c>
      <c r="R36" s="73">
        <f>Q36/Q42</f>
        <v>0</v>
      </c>
      <c r="S36" s="351"/>
      <c r="T36" s="73">
        <f>Q36/Q43</f>
        <v>0</v>
      </c>
      <c r="U36" s="353"/>
      <c r="W36" s="75" t="s">
        <v>344</v>
      </c>
      <c r="X36" s="94"/>
      <c r="Y36" s="73"/>
      <c r="Z36" s="351"/>
      <c r="AA36" s="73"/>
      <c r="AB36" s="353"/>
    </row>
    <row r="37" spans="2:28" s="33" customFormat="1" ht="6.75" customHeight="1">
      <c r="B37" s="30"/>
      <c r="C37" s="44"/>
      <c r="D37" s="41"/>
      <c r="E37" s="41"/>
      <c r="F37" s="41"/>
      <c r="G37" s="45"/>
      <c r="H37" s="32"/>
      <c r="I37" s="30"/>
      <c r="J37" s="44"/>
      <c r="K37" s="41"/>
      <c r="L37" s="41"/>
      <c r="M37" s="41"/>
      <c r="N37" s="45"/>
      <c r="O37" s="32"/>
      <c r="P37" s="30"/>
      <c r="Q37" s="44"/>
      <c r="R37" s="41"/>
      <c r="S37" s="41"/>
      <c r="T37" s="41"/>
      <c r="U37" s="45"/>
      <c r="V37" s="32"/>
      <c r="W37" s="30"/>
      <c r="X37" s="44"/>
      <c r="Y37" s="41"/>
      <c r="Z37" s="41"/>
      <c r="AA37" s="41"/>
      <c r="AB37" s="45"/>
    </row>
    <row r="38" spans="2:28" ht="15" customHeight="1">
      <c r="B38" s="76" t="s">
        <v>399</v>
      </c>
      <c r="C38" s="72">
        <f>COUNTIFS('1. All Data'!$AA$3:$AA$110,"Value For Money Council",'1. All Data'!$H$3:$H$110,"Not yet due")</f>
        <v>13</v>
      </c>
      <c r="D38" s="77">
        <f>C38/C42</f>
        <v>0.2</v>
      </c>
      <c r="E38" s="77">
        <f>D38</f>
        <v>0.2</v>
      </c>
      <c r="F38" s="46"/>
      <c r="G38" s="47"/>
      <c r="I38" s="76" t="s">
        <v>399</v>
      </c>
      <c r="J38" s="72">
        <f>COUNTIFS('1. All Data'!$AA$3:$AA$110,"Value For Money Council",'1. All Data'!$M$3:$M$110,"Not yet due")</f>
        <v>0</v>
      </c>
      <c r="K38" s="77">
        <f>J38/J42</f>
        <v>0</v>
      </c>
      <c r="L38" s="77">
        <f>K38</f>
        <v>0</v>
      </c>
      <c r="M38" s="46"/>
      <c r="N38" s="47"/>
      <c r="P38" s="76" t="s">
        <v>399</v>
      </c>
      <c r="Q38" s="72">
        <f>COUNTIFS('1. All Data'!$AA$3:$AA$110,"Value For Money Council",'1. All Data'!$R$3:$R$110,"Not yet due")</f>
        <v>0</v>
      </c>
      <c r="R38" s="77">
        <f>Q38/Q42</f>
        <v>0</v>
      </c>
      <c r="S38" s="77">
        <f>R38</f>
        <v>0</v>
      </c>
      <c r="T38" s="46"/>
      <c r="U38" s="47"/>
      <c r="W38" s="76" t="s">
        <v>399</v>
      </c>
      <c r="X38" s="72"/>
      <c r="Y38" s="77"/>
      <c r="Z38" s="77"/>
      <c r="AA38" s="46"/>
      <c r="AB38" s="47"/>
    </row>
    <row r="39" spans="2:28" ht="15" customHeight="1">
      <c r="B39" s="76" t="s">
        <v>339</v>
      </c>
      <c r="C39" s="72">
        <f>COUNTIFS('1. All Data'!$AA$3:$AA$110,"Value For Money Council",'1. All Data'!$H$3:$H$110,"update not provided")</f>
        <v>0</v>
      </c>
      <c r="D39" s="77">
        <f>C39/C42</f>
        <v>0</v>
      </c>
      <c r="E39" s="77">
        <f>D39</f>
        <v>0</v>
      </c>
      <c r="F39" s="46"/>
      <c r="G39" s="49"/>
      <c r="I39" s="76" t="s">
        <v>339</v>
      </c>
      <c r="J39" s="72">
        <f>COUNTIFS('1. All Data'!$AA$3:$AA$110,"Value For Money Council",'1. All Data'!$M$3:$M$110,"update not provided")</f>
        <v>65</v>
      </c>
      <c r="K39" s="77">
        <f>J39/J42</f>
        <v>0.3140096618357488</v>
      </c>
      <c r="L39" s="77">
        <f>K39</f>
        <v>0.3140096618357488</v>
      </c>
      <c r="M39" s="46"/>
      <c r="N39" s="49"/>
      <c r="P39" s="76" t="s">
        <v>339</v>
      </c>
      <c r="Q39" s="72">
        <f>COUNTIFS('1. All Data'!$AA$3:$AA$110,"Value For Money Council",'1. All Data'!$R$3:$R$110,"update not provided")</f>
        <v>65</v>
      </c>
      <c r="R39" s="77">
        <f>Q39/Q42</f>
        <v>0.3140096618357488</v>
      </c>
      <c r="S39" s="77">
        <f>R39</f>
        <v>0.3140096618357488</v>
      </c>
      <c r="T39" s="46"/>
      <c r="U39" s="49"/>
      <c r="W39" s="76" t="s">
        <v>339</v>
      </c>
      <c r="X39" s="72"/>
      <c r="Y39" s="77"/>
      <c r="Z39" s="77"/>
      <c r="AA39" s="46"/>
      <c r="AB39" s="49"/>
    </row>
    <row r="40" spans="2:28" ht="15.75" customHeight="1">
      <c r="B40" s="78" t="s">
        <v>347</v>
      </c>
      <c r="C40" s="72">
        <f>COUNTIFS('1. All Data'!$AA$3:$AA$110,"Value For Money Council",'1. All Data'!$H$3:$H$110,"Deferred")</f>
        <v>0</v>
      </c>
      <c r="D40" s="79">
        <f>C40/C42</f>
        <v>0</v>
      </c>
      <c r="E40" s="79">
        <f>D40</f>
        <v>0</v>
      </c>
      <c r="F40" s="51"/>
      <c r="G40" s="47"/>
      <c r="I40" s="78" t="s">
        <v>347</v>
      </c>
      <c r="J40" s="72">
        <f>COUNTIFS('1. All Data'!$AA$3:$AA$110,"Value For Money Council",'1. All Data'!$M$3:$M$110,"Deferred")</f>
        <v>0</v>
      </c>
      <c r="K40" s="79">
        <f>J40/J42</f>
        <v>0</v>
      </c>
      <c r="L40" s="79">
        <f>K40</f>
        <v>0</v>
      </c>
      <c r="M40" s="51"/>
      <c r="N40" s="47"/>
      <c r="P40" s="78" t="s">
        <v>347</v>
      </c>
      <c r="Q40" s="72">
        <f>COUNTIFS('1. All Data'!$AA$3:$AA$110,"Value For Money Council",'1. All Data'!$R$3:$R$110,"Deferred")</f>
        <v>0</v>
      </c>
      <c r="R40" s="79">
        <f>Q40/Q42</f>
        <v>0</v>
      </c>
      <c r="S40" s="79">
        <f>R40</f>
        <v>0</v>
      </c>
      <c r="T40" s="51"/>
      <c r="U40" s="47"/>
      <c r="W40" s="78" t="s">
        <v>347</v>
      </c>
      <c r="X40" s="72"/>
      <c r="Y40" s="79"/>
      <c r="Z40" s="79"/>
      <c r="AA40" s="51"/>
      <c r="AB40" s="47"/>
    </row>
    <row r="41" spans="2:28" ht="15.75" customHeight="1">
      <c r="B41" s="78" t="s">
        <v>348</v>
      </c>
      <c r="C41" s="72">
        <f>COUNTIFS('1. All Data'!$AA$3:$AA$110,"Value For Money Council",'1. All Data'!$H$3:$H$110,"Deleted")</f>
        <v>0</v>
      </c>
      <c r="D41" s="79">
        <f>C41/C42</f>
        <v>0</v>
      </c>
      <c r="E41" s="79">
        <f>D41</f>
        <v>0</v>
      </c>
      <c r="F41" s="51"/>
      <c r="G41" s="53" t="s">
        <v>400</v>
      </c>
      <c r="I41" s="78" t="s">
        <v>348</v>
      </c>
      <c r="J41" s="72">
        <f>COUNTIFS('1. All Data'!$AA$3:$AA$110,"Value For Money Council",'1. All Data'!$M$3:$M$110,"Deleted")</f>
        <v>0</v>
      </c>
      <c r="K41" s="79">
        <f>J41/J42</f>
        <v>0</v>
      </c>
      <c r="L41" s="79">
        <f>K41</f>
        <v>0</v>
      </c>
      <c r="M41" s="51"/>
      <c r="N41" s="53" t="s">
        <v>400</v>
      </c>
      <c r="P41" s="78" t="s">
        <v>348</v>
      </c>
      <c r="Q41" s="72">
        <f>COUNTIFS('1. All Data'!$AA$3:$AA$110,"Value For Money Council",'1. All Data'!$R$3:$R$110,"Deleted")</f>
        <v>0</v>
      </c>
      <c r="R41" s="79">
        <f>Q41/Q42</f>
        <v>0</v>
      </c>
      <c r="S41" s="79">
        <f>R41</f>
        <v>0</v>
      </c>
      <c r="T41" s="51"/>
      <c r="U41" s="53" t="s">
        <v>400</v>
      </c>
      <c r="W41" s="78" t="s">
        <v>348</v>
      </c>
      <c r="X41" s="72"/>
      <c r="Y41" s="79"/>
      <c r="Z41" s="79"/>
      <c r="AA41" s="51"/>
      <c r="AB41" s="53" t="s">
        <v>400</v>
      </c>
    </row>
    <row r="42" spans="2:28" ht="15.75" customHeight="1">
      <c r="B42" s="80" t="s">
        <v>401</v>
      </c>
      <c r="C42" s="81">
        <f>SUM(C28:C41)</f>
        <v>65</v>
      </c>
      <c r="D42" s="51"/>
      <c r="E42" s="51"/>
      <c r="F42" s="47"/>
      <c r="G42" s="47"/>
      <c r="I42" s="80" t="s">
        <v>401</v>
      </c>
      <c r="J42" s="81">
        <f>SUM(J28:J41)</f>
        <v>207</v>
      </c>
      <c r="K42" s="51"/>
      <c r="L42" s="51"/>
      <c r="M42" s="47"/>
      <c r="N42" s="47"/>
      <c r="P42" s="80" t="s">
        <v>401</v>
      </c>
      <c r="Q42" s="81">
        <f>SUM(Q28:Q41)</f>
        <v>207</v>
      </c>
      <c r="R42" s="51"/>
      <c r="S42" s="51"/>
      <c r="T42" s="47"/>
      <c r="U42" s="47"/>
      <c r="W42" s="80" t="s">
        <v>401</v>
      </c>
      <c r="X42" s="81"/>
      <c r="Y42" s="51"/>
      <c r="Z42" s="51"/>
      <c r="AA42" s="47"/>
      <c r="AB42" s="47"/>
    </row>
    <row r="43" spans="2:28" ht="15.75" customHeight="1">
      <c r="B43" s="80" t="s">
        <v>402</v>
      </c>
      <c r="C43" s="81">
        <f>C42-C41-C40-C39-C38</f>
        <v>52</v>
      </c>
      <c r="D43" s="47"/>
      <c r="E43" s="47"/>
      <c r="F43" s="47"/>
      <c r="G43" s="47"/>
      <c r="I43" s="80" t="s">
        <v>402</v>
      </c>
      <c r="J43" s="81">
        <f>J42-J41-J40-J39-J38</f>
        <v>142</v>
      </c>
      <c r="K43" s="47"/>
      <c r="L43" s="47"/>
      <c r="M43" s="47"/>
      <c r="N43" s="47"/>
      <c r="P43" s="80" t="s">
        <v>402</v>
      </c>
      <c r="Q43" s="81">
        <f>Q42-Q41-Q40-Q39-Q38</f>
        <v>142</v>
      </c>
      <c r="R43" s="47"/>
      <c r="S43" s="47"/>
      <c r="T43" s="47"/>
      <c r="U43" s="47"/>
      <c r="W43" s="80" t="s">
        <v>402</v>
      </c>
      <c r="X43" s="81"/>
      <c r="Y43" s="47"/>
      <c r="Z43" s="47"/>
      <c r="AA43" s="47"/>
      <c r="AB43" s="47"/>
    </row>
    <row r="44" spans="2:28" ht="15.75" customHeight="1">
      <c r="W44" s="59"/>
      <c r="X44" s="32"/>
      <c r="Y44" s="32"/>
      <c r="Z44" s="32"/>
      <c r="AA44" s="47"/>
      <c r="AB44" s="52"/>
    </row>
    <row r="45" spans="2:28" ht="15.75" customHeight="1"/>
    <row r="46" spans="2:28" s="33" customFormat="1" ht="15.75" customHeight="1">
      <c r="B46" s="60"/>
      <c r="C46" s="32"/>
      <c r="D46" s="32"/>
      <c r="E46" s="32"/>
      <c r="F46" s="47"/>
      <c r="G46" s="32"/>
      <c r="H46" s="32"/>
      <c r="I46" s="60"/>
      <c r="J46" s="32"/>
      <c r="K46" s="32"/>
      <c r="L46" s="32"/>
      <c r="M46" s="47"/>
      <c r="N46" s="32"/>
      <c r="O46" s="32"/>
      <c r="P46" s="60"/>
      <c r="Q46" s="32"/>
      <c r="R46" s="32"/>
      <c r="S46" s="32"/>
      <c r="T46" s="47"/>
      <c r="U46" s="32"/>
      <c r="V46" s="32"/>
      <c r="W46" s="32"/>
      <c r="X46" s="32"/>
      <c r="Y46" s="32"/>
      <c r="Z46" s="32"/>
      <c r="AA46" s="32"/>
      <c r="AB46" s="52"/>
    </row>
    <row r="47" spans="2:28" ht="15.75" customHeight="1">
      <c r="B47" s="55" t="s">
        <v>407</v>
      </c>
      <c r="C47" s="56"/>
      <c r="D47" s="56"/>
      <c r="E47" s="56"/>
      <c r="F47" s="26"/>
      <c r="G47" s="57"/>
      <c r="I47" s="55" t="s">
        <v>407</v>
      </c>
      <c r="J47" s="56"/>
      <c r="K47" s="56"/>
      <c r="L47" s="56"/>
      <c r="M47" s="26"/>
      <c r="N47" s="57"/>
      <c r="P47" s="55" t="s">
        <v>407</v>
      </c>
      <c r="Q47" s="56"/>
      <c r="R47" s="56"/>
      <c r="S47" s="56"/>
      <c r="T47" s="26"/>
      <c r="U47" s="57"/>
      <c r="W47" s="58" t="s">
        <v>404</v>
      </c>
      <c r="X47" s="28"/>
      <c r="Y47" s="28"/>
      <c r="Z47" s="28"/>
      <c r="AA47" s="28"/>
      <c r="AB47" s="29"/>
    </row>
    <row r="48" spans="2:28" ht="36" customHeight="1">
      <c r="B48" s="85" t="s">
        <v>392</v>
      </c>
      <c r="C48" s="85" t="s">
        <v>393</v>
      </c>
      <c r="D48" s="85" t="s">
        <v>394</v>
      </c>
      <c r="E48" s="85" t="s">
        <v>395</v>
      </c>
      <c r="F48" s="85" t="s">
        <v>396</v>
      </c>
      <c r="G48" s="85" t="s">
        <v>397</v>
      </c>
      <c r="I48" s="85" t="s">
        <v>392</v>
      </c>
      <c r="J48" s="85" t="s">
        <v>393</v>
      </c>
      <c r="K48" s="85" t="s">
        <v>394</v>
      </c>
      <c r="L48" s="85" t="s">
        <v>395</v>
      </c>
      <c r="M48" s="85" t="s">
        <v>396</v>
      </c>
      <c r="N48" s="85" t="s">
        <v>397</v>
      </c>
      <c r="P48" s="85" t="s">
        <v>392</v>
      </c>
      <c r="Q48" s="85" t="s">
        <v>393</v>
      </c>
      <c r="R48" s="85" t="s">
        <v>394</v>
      </c>
      <c r="S48" s="85" t="s">
        <v>395</v>
      </c>
      <c r="T48" s="85" t="s">
        <v>396</v>
      </c>
      <c r="U48" s="85" t="s">
        <v>397</v>
      </c>
      <c r="W48" s="85" t="s">
        <v>392</v>
      </c>
      <c r="X48" s="85" t="s">
        <v>393</v>
      </c>
      <c r="Y48" s="85" t="s">
        <v>394</v>
      </c>
      <c r="Z48" s="85" t="s">
        <v>395</v>
      </c>
      <c r="AA48" s="85" t="s">
        <v>396</v>
      </c>
      <c r="AB48" s="85" t="s">
        <v>397</v>
      </c>
    </row>
    <row r="49" spans="2:32" s="39" customFormat="1" ht="7.5" customHeight="1">
      <c r="B49" s="30"/>
      <c r="C49" s="31"/>
      <c r="D49" s="31"/>
      <c r="E49" s="31"/>
      <c r="F49" s="31"/>
      <c r="G49" s="31"/>
      <c r="H49" s="38"/>
      <c r="I49" s="30"/>
      <c r="J49" s="31"/>
      <c r="K49" s="31"/>
      <c r="L49" s="31"/>
      <c r="M49" s="31"/>
      <c r="N49" s="31"/>
      <c r="O49" s="38"/>
      <c r="P49" s="30"/>
      <c r="Q49" s="31"/>
      <c r="R49" s="31"/>
      <c r="S49" s="31"/>
      <c r="T49" s="31"/>
      <c r="U49" s="31"/>
      <c r="V49" s="38"/>
      <c r="W49" s="30"/>
      <c r="X49" s="31"/>
      <c r="Y49" s="31"/>
      <c r="Z49" s="31"/>
      <c r="AA49" s="31"/>
      <c r="AB49" s="31"/>
      <c r="AD49" s="33"/>
      <c r="AE49" s="33"/>
      <c r="AF49" s="33"/>
    </row>
    <row r="50" spans="2:32" ht="18.75" customHeight="1">
      <c r="B50" s="71" t="s">
        <v>398</v>
      </c>
      <c r="C50" s="72">
        <f>COUNTIFS('1. All Data'!$AA$3:$AA$110,"Environment and Health &amp; Wellbeing",'1. All Data'!$H$3:$H$110,"Fully Achieved")</f>
        <v>2</v>
      </c>
      <c r="D50" s="73">
        <f>C50/C64</f>
        <v>8.6956521739130432E-2</v>
      </c>
      <c r="E50" s="351">
        <f>D50+D51</f>
        <v>0.60869565217391308</v>
      </c>
      <c r="F50" s="73">
        <f>C50/C65</f>
        <v>0.13333333333333333</v>
      </c>
      <c r="G50" s="366">
        <f>F50+F51</f>
        <v>0.93333333333333335</v>
      </c>
      <c r="I50" s="71" t="s">
        <v>398</v>
      </c>
      <c r="J50" s="72">
        <f>COUNTIFS('1. All Data'!$AA$3:$AA$110,"Environment and Health &amp; Wellbeing",'1. All Data'!$M$3:$M$110,"Fully Achieved")</f>
        <v>0</v>
      </c>
      <c r="K50" s="73">
        <f>J50/J64</f>
        <v>0</v>
      </c>
      <c r="L50" s="351">
        <f>K50+K51</f>
        <v>0</v>
      </c>
      <c r="M50" s="73">
        <f>J50/J65</f>
        <v>0</v>
      </c>
      <c r="N50" s="366">
        <f>M50+M51</f>
        <v>0</v>
      </c>
      <c r="P50" s="71" t="s">
        <v>398</v>
      </c>
      <c r="Q50" s="72">
        <f>COUNTIFS('1. All Data'!$AA$3:$AA$110,"Environment and Health &amp; Wellbeing",'1. All Data'!$R$3:$R$110,"Fully Achieved")</f>
        <v>0</v>
      </c>
      <c r="R50" s="73">
        <f>Q50/Q64</f>
        <v>0</v>
      </c>
      <c r="S50" s="351">
        <f>R50+R51</f>
        <v>0</v>
      </c>
      <c r="T50" s="73">
        <f>Q50/Q65</f>
        <v>0</v>
      </c>
      <c r="U50" s="366">
        <f>T50+T51</f>
        <v>0</v>
      </c>
      <c r="W50" s="71" t="s">
        <v>398</v>
      </c>
      <c r="X50" s="72"/>
      <c r="Y50" s="73"/>
      <c r="Z50" s="351"/>
      <c r="AA50" s="73"/>
      <c r="AB50" s="366">
        <f>AA50+AA51</f>
        <v>0</v>
      </c>
    </row>
    <row r="51" spans="2:32" ht="18.75" customHeight="1">
      <c r="B51" s="71" t="s">
        <v>349</v>
      </c>
      <c r="C51" s="72">
        <f>COUNTIFS('1. All Data'!$AA$3:$AA$110,"Environment and Health &amp; Wellbeing",'1. All Data'!$H$3:$H$110,"On Track to be achieved")</f>
        <v>12</v>
      </c>
      <c r="D51" s="73">
        <f>C51/C64</f>
        <v>0.52173913043478259</v>
      </c>
      <c r="E51" s="351"/>
      <c r="F51" s="73">
        <f>C51/C65</f>
        <v>0.8</v>
      </c>
      <c r="G51" s="366"/>
      <c r="I51" s="71" t="s">
        <v>349</v>
      </c>
      <c r="J51" s="72">
        <f>COUNTIFS('1. All Data'!$AA$3:$AA$110,"Environment and Health &amp; Wellbeing",'1. All Data'!$M$3:$M$110,"On Track to be achieved")</f>
        <v>0</v>
      </c>
      <c r="K51" s="73">
        <f>J51/J64</f>
        <v>0</v>
      </c>
      <c r="L51" s="351"/>
      <c r="M51" s="73">
        <f>J51/J65</f>
        <v>0</v>
      </c>
      <c r="N51" s="366"/>
      <c r="P51" s="71" t="s">
        <v>349</v>
      </c>
      <c r="Q51" s="72">
        <f>COUNTIFS('1. All Data'!$AA$3:$AA$110,"Environment and Health &amp; Wellbeing",'1. All Data'!$R$3:$R$110,"On Track to be achieved")</f>
        <v>0</v>
      </c>
      <c r="R51" s="73">
        <f>Q51/Q64</f>
        <v>0</v>
      </c>
      <c r="S51" s="351"/>
      <c r="T51" s="73">
        <f>Q51/Q65</f>
        <v>0</v>
      </c>
      <c r="U51" s="366"/>
      <c r="W51" s="71" t="s">
        <v>349</v>
      </c>
      <c r="X51" s="72"/>
      <c r="Y51" s="73"/>
      <c r="Z51" s="351"/>
      <c r="AA51" s="73"/>
      <c r="AB51" s="366"/>
    </row>
    <row r="52" spans="2:32" s="39" customFormat="1" ht="6.75" customHeight="1">
      <c r="B52" s="34"/>
      <c r="C52" s="35"/>
      <c r="D52" s="36"/>
      <c r="E52" s="36"/>
      <c r="F52" s="36"/>
      <c r="G52" s="37"/>
      <c r="H52" s="38"/>
      <c r="I52" s="34"/>
      <c r="J52" s="35"/>
      <c r="K52" s="36"/>
      <c r="L52" s="36"/>
      <c r="M52" s="36"/>
      <c r="N52" s="37"/>
      <c r="O52" s="38"/>
      <c r="P52" s="34"/>
      <c r="Q52" s="35"/>
      <c r="R52" s="36"/>
      <c r="S52" s="36"/>
      <c r="T52" s="36"/>
      <c r="U52" s="37"/>
      <c r="V52" s="38"/>
      <c r="W52" s="34"/>
      <c r="X52" s="35"/>
      <c r="Y52" s="36"/>
      <c r="Z52" s="36"/>
      <c r="AA52" s="36"/>
      <c r="AB52" s="37"/>
      <c r="AD52" s="33"/>
      <c r="AE52" s="33"/>
      <c r="AF52" s="33"/>
    </row>
    <row r="53" spans="2:32" ht="19.5" customHeight="1">
      <c r="B53" s="354" t="s">
        <v>350</v>
      </c>
      <c r="C53" s="367">
        <f>COUNTIFS('1. All Data'!$AA$3:$AA$110,"Environment and Health &amp; Wellbeing",'1. All Data'!$H$3:$H$110,"In Danger of Falling Behind Target")</f>
        <v>1</v>
      </c>
      <c r="D53" s="360">
        <f>C53/C64</f>
        <v>4.3478260869565216E-2</v>
      </c>
      <c r="E53" s="360">
        <f>D53</f>
        <v>4.3478260869565216E-2</v>
      </c>
      <c r="F53" s="360">
        <f>C53/C65</f>
        <v>6.6666666666666666E-2</v>
      </c>
      <c r="G53" s="363">
        <f>F53</f>
        <v>6.6666666666666666E-2</v>
      </c>
      <c r="I53" s="354" t="s">
        <v>350</v>
      </c>
      <c r="J53" s="357">
        <f>COUNTIFS('1. All Data'!$AA$3:$AA$110,"Environment and Health &amp; Wellbeing",'1. All Data'!$M$3:$M$110,"In Danger of Falling Behind Target")</f>
        <v>0</v>
      </c>
      <c r="K53" s="360">
        <f>J53/J64</f>
        <v>0</v>
      </c>
      <c r="L53" s="360">
        <f>K53</f>
        <v>0</v>
      </c>
      <c r="M53" s="360">
        <f>J53/J65</f>
        <v>0</v>
      </c>
      <c r="N53" s="363">
        <f>M53</f>
        <v>0</v>
      </c>
      <c r="P53" s="354" t="s">
        <v>350</v>
      </c>
      <c r="Q53" s="357">
        <f>COUNTIFS('1. All Data'!$AA$3:$AA$110,"Environment and Health &amp; Wellbeing",'1. All Data'!$R$3:$R$110,"In Danger of Falling Behind Target")</f>
        <v>0</v>
      </c>
      <c r="R53" s="360">
        <f>Q53/Q64</f>
        <v>0</v>
      </c>
      <c r="S53" s="360">
        <f>R53</f>
        <v>0</v>
      </c>
      <c r="T53" s="360">
        <f>Q53/Q65</f>
        <v>0</v>
      </c>
      <c r="U53" s="363">
        <f>T53</f>
        <v>0</v>
      </c>
      <c r="W53" s="92" t="s">
        <v>342</v>
      </c>
      <c r="X53" s="93"/>
      <c r="Y53" s="73"/>
      <c r="Z53" s="351"/>
      <c r="AA53" s="73"/>
      <c r="AB53" s="352">
        <f>AA53</f>
        <v>0</v>
      </c>
    </row>
    <row r="54" spans="2:32" ht="19.5" customHeight="1">
      <c r="B54" s="355"/>
      <c r="C54" s="368"/>
      <c r="D54" s="361"/>
      <c r="E54" s="361"/>
      <c r="F54" s="361"/>
      <c r="G54" s="364"/>
      <c r="I54" s="355"/>
      <c r="J54" s="358">
        <f>COUNTIF('1. All Data'!$H$5:$H$128,"On Track to be Achieved")</f>
        <v>71</v>
      </c>
      <c r="K54" s="361"/>
      <c r="L54" s="361"/>
      <c r="M54" s="361"/>
      <c r="N54" s="364"/>
      <c r="P54" s="355"/>
      <c r="Q54" s="358">
        <f>COUNTIF('1. All Data'!$H$5:$H$128,"On Track to be Achieved")</f>
        <v>71</v>
      </c>
      <c r="R54" s="361"/>
      <c r="S54" s="361"/>
      <c r="T54" s="361"/>
      <c r="U54" s="364"/>
      <c r="W54" s="92" t="s">
        <v>343</v>
      </c>
      <c r="X54" s="93"/>
      <c r="Y54" s="73"/>
      <c r="Z54" s="351"/>
      <c r="AA54" s="73"/>
      <c r="AB54" s="352"/>
    </row>
    <row r="55" spans="2:32" ht="19.5" customHeight="1">
      <c r="B55" s="356"/>
      <c r="C55" s="369"/>
      <c r="D55" s="362"/>
      <c r="E55" s="362"/>
      <c r="F55" s="362"/>
      <c r="G55" s="365"/>
      <c r="I55" s="356"/>
      <c r="J55" s="359">
        <f>COUNTIF('1. All Data'!$H$5:$H$128,"On Track to be Achieved")</f>
        <v>71</v>
      </c>
      <c r="K55" s="362"/>
      <c r="L55" s="362"/>
      <c r="M55" s="362"/>
      <c r="N55" s="365"/>
      <c r="P55" s="356"/>
      <c r="Q55" s="359">
        <f>COUNTIF('1. All Data'!$H$5:$H$128,"On Track to be Achieved")</f>
        <v>71</v>
      </c>
      <c r="R55" s="362"/>
      <c r="S55" s="362"/>
      <c r="T55" s="362"/>
      <c r="U55" s="365"/>
      <c r="W55" s="92" t="s">
        <v>346</v>
      </c>
      <c r="X55" s="93"/>
      <c r="Y55" s="73"/>
      <c r="Z55" s="351"/>
      <c r="AA55" s="73"/>
      <c r="AB55" s="352"/>
    </row>
    <row r="56" spans="2:32" s="39" customFormat="1" ht="6" customHeight="1">
      <c r="B56" s="30"/>
      <c r="C56" s="31"/>
      <c r="D56" s="41"/>
      <c r="E56" s="41"/>
      <c r="F56" s="41"/>
      <c r="G56" s="42"/>
      <c r="H56" s="38"/>
      <c r="I56" s="30"/>
      <c r="J56" s="31"/>
      <c r="K56" s="41"/>
      <c r="L56" s="41"/>
      <c r="M56" s="41"/>
      <c r="N56" s="42"/>
      <c r="O56" s="38"/>
      <c r="P56" s="30"/>
      <c r="Q56" s="31"/>
      <c r="R56" s="41"/>
      <c r="S56" s="41"/>
      <c r="T56" s="41"/>
      <c r="U56" s="42"/>
      <c r="V56" s="38"/>
      <c r="W56" s="30"/>
      <c r="X56" s="31"/>
      <c r="Y56" s="41"/>
      <c r="Z56" s="41"/>
      <c r="AA56" s="41"/>
      <c r="AB56" s="42"/>
      <c r="AD56" s="33"/>
      <c r="AE56" s="33"/>
      <c r="AF56" s="33"/>
    </row>
    <row r="57" spans="2:32" ht="22.5" customHeight="1">
      <c r="B57" s="75" t="s">
        <v>351</v>
      </c>
      <c r="C57" s="72">
        <f>COUNTIFS('1. All Data'!$AA$3:$AA$110,"Environment and Health &amp; Wellbeing",'1. All Data'!$H$3:$H$110,"Completed Behind Schedule")</f>
        <v>0</v>
      </c>
      <c r="D57" s="73">
        <f>C57/C64</f>
        <v>0</v>
      </c>
      <c r="E57" s="351">
        <f>D57+D58</f>
        <v>0</v>
      </c>
      <c r="F57" s="73">
        <f>C57/C65</f>
        <v>0</v>
      </c>
      <c r="G57" s="353">
        <f>F57+F58</f>
        <v>0</v>
      </c>
      <c r="I57" s="75" t="s">
        <v>351</v>
      </c>
      <c r="J57" s="72">
        <f>COUNTIFS('1. All Data'!$AA$3:$AA$110,"Environment and Health &amp; Wellbeing",'1. All Data'!$M$3:$M$110,"Completed Behind Schedule")</f>
        <v>0</v>
      </c>
      <c r="K57" s="73">
        <f>J57/J64</f>
        <v>0</v>
      </c>
      <c r="L57" s="351">
        <f>K57+K58</f>
        <v>0</v>
      </c>
      <c r="M57" s="73">
        <f>J57/J65</f>
        <v>0</v>
      </c>
      <c r="N57" s="353">
        <f>M57+M58</f>
        <v>0</v>
      </c>
      <c r="P57" s="75" t="s">
        <v>351</v>
      </c>
      <c r="Q57" s="72">
        <f>COUNTIFS('1. All Data'!$AA$3:$AA$110,"Environment and Health &amp; Wellbeing",'1. All Data'!$R$3:$R$110,"Completed Behind Schedule")</f>
        <v>0</v>
      </c>
      <c r="R57" s="73">
        <f>Q57/Q64</f>
        <v>0</v>
      </c>
      <c r="S57" s="351">
        <f>R57+R58</f>
        <v>0</v>
      </c>
      <c r="T57" s="73">
        <f>Q57/Q65</f>
        <v>0</v>
      </c>
      <c r="U57" s="353">
        <f>T57+T58</f>
        <v>0</v>
      </c>
      <c r="W57" s="75" t="s">
        <v>345</v>
      </c>
      <c r="X57" s="94"/>
      <c r="Y57" s="73"/>
      <c r="Z57" s="351"/>
      <c r="AA57" s="73"/>
      <c r="AB57" s="353">
        <f>AA57+AA58</f>
        <v>0</v>
      </c>
    </row>
    <row r="58" spans="2:32" ht="22.5" customHeight="1">
      <c r="B58" s="75" t="s">
        <v>344</v>
      </c>
      <c r="C58" s="72">
        <f>COUNTIFS('1. All Data'!$AA$3:$AA$110,"Environment and Health &amp; Wellbeing",'1. All Data'!$H$3:$H$110,"Off Target")</f>
        <v>0</v>
      </c>
      <c r="D58" s="73">
        <f>C58/C64</f>
        <v>0</v>
      </c>
      <c r="E58" s="351"/>
      <c r="F58" s="73">
        <f>C58/C65</f>
        <v>0</v>
      </c>
      <c r="G58" s="353"/>
      <c r="I58" s="75" t="s">
        <v>344</v>
      </c>
      <c r="J58" s="72">
        <f>COUNTIFS('1. All Data'!$AA$3:$AA$110,"Environment and Health &amp; Wellbeing",'1. All Data'!$M$3:$M$110,"Off Target")</f>
        <v>0</v>
      </c>
      <c r="K58" s="73">
        <f>J58/J64</f>
        <v>0</v>
      </c>
      <c r="L58" s="351"/>
      <c r="M58" s="73">
        <f>J58/J65</f>
        <v>0</v>
      </c>
      <c r="N58" s="353"/>
      <c r="P58" s="75" t="s">
        <v>344</v>
      </c>
      <c r="Q58" s="72">
        <f>COUNTIFS('1. All Data'!$AA$3:$AA$110,"Environment and Health &amp; Wellbeing",'1. All Data'!$R$3:$R$110,"Off Target")</f>
        <v>0</v>
      </c>
      <c r="R58" s="73">
        <f>Q58/Q64</f>
        <v>0</v>
      </c>
      <c r="S58" s="351"/>
      <c r="T58" s="73">
        <f>Q58/Q65</f>
        <v>0</v>
      </c>
      <c r="U58" s="353"/>
      <c r="W58" s="75" t="s">
        <v>344</v>
      </c>
      <c r="X58" s="94"/>
      <c r="Y58" s="73"/>
      <c r="Z58" s="351"/>
      <c r="AA58" s="73"/>
      <c r="AB58" s="353"/>
    </row>
    <row r="59" spans="2:32" s="39" customFormat="1" ht="6.75" customHeight="1">
      <c r="B59" s="30"/>
      <c r="C59" s="44"/>
      <c r="D59" s="41"/>
      <c r="E59" s="41"/>
      <c r="F59" s="41"/>
      <c r="G59" s="45"/>
      <c r="H59" s="38"/>
      <c r="I59" s="30"/>
      <c r="J59" s="44"/>
      <c r="K59" s="41"/>
      <c r="L59" s="41"/>
      <c r="M59" s="41"/>
      <c r="N59" s="45"/>
      <c r="O59" s="38"/>
      <c r="P59" s="30"/>
      <c r="Q59" s="44"/>
      <c r="R59" s="41"/>
      <c r="S59" s="41"/>
      <c r="T59" s="41"/>
      <c r="U59" s="45"/>
      <c r="V59" s="38"/>
      <c r="W59" s="30"/>
      <c r="X59" s="44"/>
      <c r="Y59" s="41"/>
      <c r="Z59" s="41"/>
      <c r="AA59" s="41"/>
      <c r="AB59" s="45"/>
      <c r="AD59" s="33"/>
      <c r="AE59" s="33"/>
      <c r="AF59" s="33"/>
    </row>
    <row r="60" spans="2:32" ht="15.75" customHeight="1">
      <c r="B60" s="76" t="s">
        <v>399</v>
      </c>
      <c r="C60" s="72">
        <f>COUNTIFS('1. All Data'!$AA$3:$AA$110,"Environment and Health &amp; Wellbeing",'1. All Data'!$H$3:$H$110,"Not yet due")</f>
        <v>8</v>
      </c>
      <c r="D60" s="77">
        <f>C60/C64</f>
        <v>0.34782608695652173</v>
      </c>
      <c r="E60" s="77">
        <f>D60</f>
        <v>0.34782608695652173</v>
      </c>
      <c r="F60" s="46"/>
      <c r="G60" s="47"/>
      <c r="I60" s="76" t="s">
        <v>399</v>
      </c>
      <c r="J60" s="72">
        <f>COUNTIFS('1. All Data'!$AA$3:$AA$110,"Environment and Health &amp; Wellbeing",'1. All Data'!$M$3:$M$110,"Not yet due")</f>
        <v>0</v>
      </c>
      <c r="K60" s="77">
        <f>J60/J64</f>
        <v>0</v>
      </c>
      <c r="L60" s="77">
        <f>K60</f>
        <v>0</v>
      </c>
      <c r="M60" s="46"/>
      <c r="N60" s="47"/>
      <c r="P60" s="76" t="s">
        <v>399</v>
      </c>
      <c r="Q60" s="72">
        <f>COUNTIFS('1. All Data'!$AA$3:$AA$110,"Environment and Health &amp; Wellbeing",'1. All Data'!$R$3:$R$110,"Not yet due")</f>
        <v>0</v>
      </c>
      <c r="R60" s="77">
        <f>Q60/Q64</f>
        <v>0</v>
      </c>
      <c r="S60" s="77">
        <f>R60</f>
        <v>0</v>
      </c>
      <c r="T60" s="46"/>
      <c r="U60" s="47"/>
      <c r="W60" s="76" t="s">
        <v>399</v>
      </c>
      <c r="X60" s="72"/>
      <c r="Y60" s="77"/>
      <c r="Z60" s="77"/>
      <c r="AA60" s="46"/>
      <c r="AB60" s="47"/>
    </row>
    <row r="61" spans="2:32" ht="15.75" customHeight="1">
      <c r="B61" s="76" t="s">
        <v>339</v>
      </c>
      <c r="C61" s="72">
        <f>COUNTIFS('1. All Data'!$AA$3:$AA$110,"Environment and Health &amp; Wellbeing",'1. All Data'!$H$3:$H$110,"update not provided")</f>
        <v>0</v>
      </c>
      <c r="D61" s="77">
        <f>C61/C64</f>
        <v>0</v>
      </c>
      <c r="E61" s="77">
        <f>D61</f>
        <v>0</v>
      </c>
      <c r="F61" s="46"/>
      <c r="G61" s="49"/>
      <c r="I61" s="76" t="s">
        <v>339</v>
      </c>
      <c r="J61" s="72">
        <f>COUNTIFS('1. All Data'!$AA$3:$AA$110,"Environment and Health &amp; Wellbeing",'1. All Data'!$M$3:$M$110,"update not provided")</f>
        <v>23</v>
      </c>
      <c r="K61" s="77">
        <f>J61/J64</f>
        <v>0.1393939393939394</v>
      </c>
      <c r="L61" s="77">
        <f>K61</f>
        <v>0.1393939393939394</v>
      </c>
      <c r="M61" s="46"/>
      <c r="N61" s="49"/>
      <c r="P61" s="76" t="s">
        <v>339</v>
      </c>
      <c r="Q61" s="72">
        <f>COUNTIFS('1. All Data'!$AA$3:$AA$110,"Environment and Health &amp; Wellbeing",'1. All Data'!$R$3:$R$110,"update not provided")</f>
        <v>23</v>
      </c>
      <c r="R61" s="77">
        <f>Q61/Q64</f>
        <v>0.1393939393939394</v>
      </c>
      <c r="S61" s="77">
        <f>R61</f>
        <v>0.1393939393939394</v>
      </c>
      <c r="T61" s="46"/>
      <c r="U61" s="49"/>
      <c r="W61" s="76" t="s">
        <v>339</v>
      </c>
      <c r="X61" s="72"/>
      <c r="Y61" s="77"/>
      <c r="Z61" s="77"/>
      <c r="AA61" s="46"/>
      <c r="AB61" s="49"/>
    </row>
    <row r="62" spans="2:32" ht="15.75" customHeight="1">
      <c r="B62" s="78" t="s">
        <v>347</v>
      </c>
      <c r="C62" s="72">
        <f>COUNTIFS('1. All Data'!$AA$3:$AA$110,"Environment and Health &amp; Wellbeing",'1. All Data'!$H$3:$H$110,"Deferred")</f>
        <v>0</v>
      </c>
      <c r="D62" s="79">
        <f>C62/C64</f>
        <v>0</v>
      </c>
      <c r="E62" s="79">
        <f>D62</f>
        <v>0</v>
      </c>
      <c r="F62" s="51"/>
      <c r="G62" s="47"/>
      <c r="I62" s="78" t="s">
        <v>347</v>
      </c>
      <c r="J62" s="72">
        <f>COUNTIFS('1. All Data'!$AA$3:$AA$110,"Environment and Health &amp; Wellbeing",'1. All Data'!$M$3:$M$110,"Deferred")</f>
        <v>0</v>
      </c>
      <c r="K62" s="79">
        <f>J62/J64</f>
        <v>0</v>
      </c>
      <c r="L62" s="79">
        <f>K62</f>
        <v>0</v>
      </c>
      <c r="M62" s="51"/>
      <c r="N62" s="47"/>
      <c r="P62" s="78" t="s">
        <v>347</v>
      </c>
      <c r="Q62" s="72">
        <f>COUNTIFS('1. All Data'!$AA$3:$AA$110,"Environment and Health &amp; Wellbeing",'1. All Data'!$R$3:$R$110,"Deferred")</f>
        <v>0</v>
      </c>
      <c r="R62" s="79">
        <f>Q62/Q64</f>
        <v>0</v>
      </c>
      <c r="S62" s="79">
        <f>R62</f>
        <v>0</v>
      </c>
      <c r="T62" s="51"/>
      <c r="U62" s="47"/>
      <c r="W62" s="78" t="s">
        <v>347</v>
      </c>
      <c r="X62" s="72"/>
      <c r="Y62" s="79"/>
      <c r="Z62" s="79"/>
      <c r="AA62" s="51"/>
      <c r="AB62" s="47"/>
    </row>
    <row r="63" spans="2:32" ht="15.75" customHeight="1">
      <c r="B63" s="78" t="s">
        <v>348</v>
      </c>
      <c r="C63" s="89">
        <f>COUNTIFS('1. All Data'!$AA$3:$AA$110,"Environment and Health &amp; Wellbeing",'1. All Data'!$H$3:$H$110,"Deleted")</f>
        <v>0</v>
      </c>
      <c r="D63" s="79">
        <f>C63/C64</f>
        <v>0</v>
      </c>
      <c r="E63" s="79">
        <f>D63</f>
        <v>0</v>
      </c>
      <c r="F63" s="51"/>
      <c r="G63" s="53" t="s">
        <v>400</v>
      </c>
      <c r="I63" s="78" t="s">
        <v>348</v>
      </c>
      <c r="J63" s="89">
        <f>COUNTIFS('1. All Data'!$AA$3:$AA$110,"Environment and Health &amp; Wellbeing",'1. All Data'!$M$3:$M$110,"Deleted")</f>
        <v>0</v>
      </c>
      <c r="K63" s="79">
        <f>J63/J64</f>
        <v>0</v>
      </c>
      <c r="L63" s="79">
        <f>K63</f>
        <v>0</v>
      </c>
      <c r="M63" s="51"/>
      <c r="N63" s="53" t="s">
        <v>400</v>
      </c>
      <c r="P63" s="78" t="s">
        <v>348</v>
      </c>
      <c r="Q63" s="89">
        <f>COUNTIFS('1. All Data'!$AA$3:$AA$110,"Environment and Health &amp; Wellbeing",'1. All Data'!$R$3:$R$110,"Deleted")</f>
        <v>0</v>
      </c>
      <c r="R63" s="79">
        <f>Q63/Q64</f>
        <v>0</v>
      </c>
      <c r="S63" s="79">
        <f>R63</f>
        <v>0</v>
      </c>
      <c r="T63" s="51"/>
      <c r="U63" s="53" t="s">
        <v>400</v>
      </c>
      <c r="W63" s="78" t="s">
        <v>348</v>
      </c>
      <c r="X63" s="72"/>
      <c r="Y63" s="79"/>
      <c r="Z63" s="79"/>
      <c r="AA63" s="51"/>
      <c r="AB63" s="53" t="s">
        <v>400</v>
      </c>
    </row>
    <row r="64" spans="2:32" ht="15.75" customHeight="1">
      <c r="B64" s="90" t="s">
        <v>401</v>
      </c>
      <c r="C64" s="81">
        <f>SUM(C50:C63)</f>
        <v>23</v>
      </c>
      <c r="D64" s="51"/>
      <c r="E64" s="51"/>
      <c r="F64" s="47"/>
      <c r="G64" s="47"/>
      <c r="I64" s="90" t="s">
        <v>401</v>
      </c>
      <c r="J64" s="81">
        <f>SUM(J50:J63)</f>
        <v>165</v>
      </c>
      <c r="K64" s="51"/>
      <c r="L64" s="51"/>
      <c r="M64" s="47"/>
      <c r="N64" s="47"/>
      <c r="P64" s="90" t="s">
        <v>401</v>
      </c>
      <c r="Q64" s="81">
        <f>SUM(Q50:Q63)</f>
        <v>165</v>
      </c>
      <c r="R64" s="51"/>
      <c r="S64" s="51"/>
      <c r="T64" s="47"/>
      <c r="U64" s="47"/>
      <c r="W64" s="80" t="s">
        <v>401</v>
      </c>
      <c r="X64" s="81"/>
      <c r="Y64" s="51"/>
      <c r="Z64" s="51"/>
      <c r="AA64" s="47"/>
      <c r="AB64" s="47"/>
    </row>
    <row r="65" spans="2:28" ht="15.75" customHeight="1">
      <c r="B65" s="90" t="s">
        <v>402</v>
      </c>
      <c r="C65" s="81">
        <f>C64-C63-C62-C61-C60</f>
        <v>15</v>
      </c>
      <c r="D65" s="47"/>
      <c r="E65" s="47"/>
      <c r="F65" s="47"/>
      <c r="G65" s="47"/>
      <c r="I65" s="90" t="s">
        <v>402</v>
      </c>
      <c r="J65" s="81">
        <f>J64-J63-J62-J61-J60</f>
        <v>142</v>
      </c>
      <c r="K65" s="47"/>
      <c r="L65" s="47"/>
      <c r="M65" s="47"/>
      <c r="N65" s="47"/>
      <c r="P65" s="90" t="s">
        <v>402</v>
      </c>
      <c r="Q65" s="81">
        <f>Q64-Q63-Q62-Q61-Q60</f>
        <v>142</v>
      </c>
      <c r="R65" s="47"/>
      <c r="S65" s="47"/>
      <c r="T65" s="47"/>
      <c r="U65" s="47"/>
      <c r="W65" s="80" t="s">
        <v>402</v>
      </c>
      <c r="X65" s="81"/>
      <c r="Y65" s="47"/>
      <c r="Z65" s="47"/>
      <c r="AA65" s="47"/>
      <c r="AB65" s="47"/>
    </row>
    <row r="66" spans="2:28" ht="15.75" customHeight="1">
      <c r="X66" s="61"/>
    </row>
    <row r="67" spans="2:28" ht="15.75" customHeight="1">
      <c r="X67" s="61"/>
    </row>
    <row r="68" spans="2:28" ht="15.75" customHeight="1">
      <c r="X68" s="61"/>
    </row>
    <row r="69" spans="2:28" ht="15.75" customHeight="1">
      <c r="B69" s="55" t="s">
        <v>408</v>
      </c>
      <c r="C69" s="56"/>
      <c r="D69" s="56"/>
      <c r="E69" s="56"/>
      <c r="F69" s="26"/>
      <c r="G69" s="57"/>
      <c r="I69" s="55" t="s">
        <v>408</v>
      </c>
      <c r="J69" s="56"/>
      <c r="K69" s="56"/>
      <c r="L69" s="56"/>
      <c r="M69" s="26"/>
      <c r="N69" s="57"/>
      <c r="P69" s="55" t="s">
        <v>408</v>
      </c>
      <c r="Q69" s="56"/>
      <c r="R69" s="56"/>
      <c r="S69" s="56"/>
      <c r="T69" s="26"/>
      <c r="U69" s="57"/>
      <c r="W69" s="62" t="s">
        <v>405</v>
      </c>
      <c r="X69" s="63"/>
      <c r="Y69" s="28"/>
      <c r="Z69" s="28"/>
      <c r="AA69" s="28"/>
      <c r="AB69" s="29"/>
    </row>
    <row r="70" spans="2:28" ht="41.25" customHeight="1">
      <c r="B70" s="85" t="s">
        <v>392</v>
      </c>
      <c r="C70" s="85" t="s">
        <v>393</v>
      </c>
      <c r="D70" s="85" t="s">
        <v>394</v>
      </c>
      <c r="E70" s="85" t="s">
        <v>395</v>
      </c>
      <c r="F70" s="85" t="s">
        <v>396</v>
      </c>
      <c r="G70" s="85" t="s">
        <v>397</v>
      </c>
      <c r="I70" s="85" t="s">
        <v>392</v>
      </c>
      <c r="J70" s="85" t="s">
        <v>393</v>
      </c>
      <c r="K70" s="85" t="s">
        <v>394</v>
      </c>
      <c r="L70" s="85" t="s">
        <v>395</v>
      </c>
      <c r="M70" s="85" t="s">
        <v>396</v>
      </c>
      <c r="N70" s="85" t="s">
        <v>397</v>
      </c>
      <c r="P70" s="85" t="s">
        <v>392</v>
      </c>
      <c r="Q70" s="85" t="s">
        <v>393</v>
      </c>
      <c r="R70" s="85" t="s">
        <v>394</v>
      </c>
      <c r="S70" s="85" t="s">
        <v>395</v>
      </c>
      <c r="T70" s="85" t="s">
        <v>396</v>
      </c>
      <c r="U70" s="85" t="s">
        <v>397</v>
      </c>
      <c r="W70" s="85" t="s">
        <v>392</v>
      </c>
      <c r="X70" s="85" t="s">
        <v>393</v>
      </c>
      <c r="Y70" s="85" t="s">
        <v>394</v>
      </c>
      <c r="Z70" s="85" t="s">
        <v>395</v>
      </c>
      <c r="AA70" s="85" t="s">
        <v>396</v>
      </c>
      <c r="AB70" s="85" t="s">
        <v>397</v>
      </c>
    </row>
    <row r="71" spans="2:28" ht="6.75" customHeight="1">
      <c r="B71" s="30"/>
      <c r="C71" s="31"/>
      <c r="D71" s="31"/>
      <c r="E71" s="31"/>
      <c r="F71" s="31"/>
      <c r="G71" s="31"/>
      <c r="I71" s="30"/>
      <c r="J71" s="31"/>
      <c r="K71" s="31"/>
      <c r="L71" s="31"/>
      <c r="M71" s="31"/>
      <c r="N71" s="31"/>
      <c r="P71" s="30"/>
      <c r="Q71" s="31"/>
      <c r="R71" s="31"/>
      <c r="S71" s="31"/>
      <c r="T71" s="31"/>
      <c r="U71" s="31"/>
      <c r="W71" s="30"/>
      <c r="X71" s="31"/>
      <c r="Y71" s="31"/>
      <c r="Z71" s="31"/>
      <c r="AA71" s="31"/>
      <c r="AB71" s="31"/>
    </row>
    <row r="72" spans="2:28" ht="27.75" customHeight="1">
      <c r="B72" s="71" t="s">
        <v>398</v>
      </c>
      <c r="C72" s="72">
        <f>COUNTIFS('1. All Data'!$AA$3:$AA$110,"Community Regeneration",'1. All Data'!$H$3:$H$110,"Fully Achieved")</f>
        <v>0</v>
      </c>
      <c r="D72" s="73">
        <f>C72/C86</f>
        <v>0</v>
      </c>
      <c r="E72" s="351">
        <f>D72+D73</f>
        <v>0.8</v>
      </c>
      <c r="F72" s="73">
        <f>C72/C87</f>
        <v>0</v>
      </c>
      <c r="G72" s="366">
        <f>F72+F73</f>
        <v>1</v>
      </c>
      <c r="I72" s="71" t="s">
        <v>398</v>
      </c>
      <c r="J72" s="72">
        <f>COUNTIFS('1. All Data'!$AA$3:$AA$110,"Community Regeneration",'1. All Data'!$M$3:$M$110,"Fully Achieved")</f>
        <v>0</v>
      </c>
      <c r="K72" s="73">
        <f>J72/J86</f>
        <v>0</v>
      </c>
      <c r="L72" s="351">
        <f>K72+K73</f>
        <v>0</v>
      </c>
      <c r="M72" s="73">
        <f>J72/J87</f>
        <v>0</v>
      </c>
      <c r="N72" s="366">
        <f>M72+M73</f>
        <v>0</v>
      </c>
      <c r="P72" s="71" t="s">
        <v>398</v>
      </c>
      <c r="Q72" s="72">
        <f>COUNTIFS('1. All Data'!$AA$3:$AA$110,"Community Regeneration",'1. All Data'!$R$3:$R$110,"Fully Achieved")</f>
        <v>0</v>
      </c>
      <c r="R72" s="73">
        <f>Q72/Q86</f>
        <v>0</v>
      </c>
      <c r="S72" s="351">
        <f>R72+R73</f>
        <v>0</v>
      </c>
      <c r="T72" s="73">
        <f>Q72/Q87</f>
        <v>0</v>
      </c>
      <c r="U72" s="366">
        <f>T72+T73</f>
        <v>0</v>
      </c>
      <c r="W72" s="71" t="s">
        <v>398</v>
      </c>
      <c r="X72" s="72"/>
      <c r="Y72" s="73"/>
      <c r="Z72" s="351"/>
      <c r="AA72" s="73"/>
      <c r="AB72" s="366">
        <f>AA72+AA73</f>
        <v>0</v>
      </c>
    </row>
    <row r="73" spans="2:28" ht="27.75" customHeight="1">
      <c r="B73" s="71" t="s">
        <v>349</v>
      </c>
      <c r="C73" s="72">
        <f>COUNTIFS('1. All Data'!$AA$3:$AA$110,"Community Regeneration",'1. All Data'!$H$3:$H$110,"On Track to be achieved")</f>
        <v>16</v>
      </c>
      <c r="D73" s="73">
        <f>C73/C86</f>
        <v>0.8</v>
      </c>
      <c r="E73" s="351"/>
      <c r="F73" s="73">
        <f>C73/C87</f>
        <v>1</v>
      </c>
      <c r="G73" s="366"/>
      <c r="I73" s="71" t="s">
        <v>349</v>
      </c>
      <c r="J73" s="72">
        <f>COUNTIFS('1. All Data'!$AA$3:$AA$110,"Community Regeneration",'1. All Data'!$M$3:$M$110,"On Track to be achieved")</f>
        <v>0</v>
      </c>
      <c r="K73" s="73">
        <f>J73/J86</f>
        <v>0</v>
      </c>
      <c r="L73" s="351"/>
      <c r="M73" s="73">
        <f>J73/J87</f>
        <v>0</v>
      </c>
      <c r="N73" s="366"/>
      <c r="P73" s="71" t="s">
        <v>349</v>
      </c>
      <c r="Q73" s="72">
        <f>COUNTIFS('1. All Data'!$AA$3:$AA$110,"Community Regeneration",'1. All Data'!$R$3:$R$110,"On Track to be achieved")</f>
        <v>0</v>
      </c>
      <c r="R73" s="73">
        <f>Q73/Q86</f>
        <v>0</v>
      </c>
      <c r="S73" s="351"/>
      <c r="T73" s="73">
        <f>Q73/Q87</f>
        <v>0</v>
      </c>
      <c r="U73" s="366"/>
      <c r="W73" s="71" t="s">
        <v>349</v>
      </c>
      <c r="X73" s="72"/>
      <c r="Y73" s="73"/>
      <c r="Z73" s="351"/>
      <c r="AA73" s="73"/>
      <c r="AB73" s="366"/>
    </row>
    <row r="74" spans="2:28" ht="7.5" customHeight="1">
      <c r="B74" s="34"/>
      <c r="C74" s="35"/>
      <c r="D74" s="36"/>
      <c r="E74" s="36"/>
      <c r="F74" s="36"/>
      <c r="G74" s="37"/>
      <c r="I74" s="34"/>
      <c r="J74" s="35"/>
      <c r="K74" s="36"/>
      <c r="L74" s="36"/>
      <c r="M74" s="36"/>
      <c r="N74" s="37"/>
      <c r="P74" s="34"/>
      <c r="Q74" s="35"/>
      <c r="R74" s="36"/>
      <c r="S74" s="36"/>
      <c r="T74" s="36"/>
      <c r="U74" s="37"/>
      <c r="W74" s="34"/>
      <c r="X74" s="35"/>
      <c r="Y74" s="36"/>
      <c r="Z74" s="36"/>
      <c r="AA74" s="36"/>
      <c r="AB74" s="37"/>
    </row>
    <row r="75" spans="2:28" ht="18.75" customHeight="1">
      <c r="B75" s="354" t="s">
        <v>350</v>
      </c>
      <c r="C75" s="367">
        <f>COUNTIFS('1. All Data'!$AA$3:$AA$110,"Community Regeneration",'1. All Data'!$H$3:$H$110,"In Danger of Falling Behind Target")</f>
        <v>0</v>
      </c>
      <c r="D75" s="360">
        <f>C75/C86</f>
        <v>0</v>
      </c>
      <c r="E75" s="360">
        <f>D75</f>
        <v>0</v>
      </c>
      <c r="F75" s="360">
        <f>C75/C87</f>
        <v>0</v>
      </c>
      <c r="G75" s="363">
        <f>F75</f>
        <v>0</v>
      </c>
      <c r="I75" s="354" t="s">
        <v>350</v>
      </c>
      <c r="J75" s="357">
        <f>COUNTIFS('1. All Data'!$AA$3:$AA$110,"Community Regeneration",'1. All Data'!$M$3:$M$110,"In Danger of Falling Behind Target")</f>
        <v>0</v>
      </c>
      <c r="K75" s="360">
        <f>J75/J86</f>
        <v>0</v>
      </c>
      <c r="L75" s="360">
        <f>K75</f>
        <v>0</v>
      </c>
      <c r="M75" s="360">
        <f>J75/J87</f>
        <v>0</v>
      </c>
      <c r="N75" s="363">
        <f>M75</f>
        <v>0</v>
      </c>
      <c r="P75" s="354" t="s">
        <v>350</v>
      </c>
      <c r="Q75" s="357">
        <f>COUNTIFS('1. All Data'!$AA$3:$AA$110,"Community Regeneration",'1. All Data'!$R$3:$R$110,"In Danger of Falling Behind Target")</f>
        <v>0</v>
      </c>
      <c r="R75" s="360">
        <f>Q75/Q86</f>
        <v>0</v>
      </c>
      <c r="S75" s="360">
        <f>R75</f>
        <v>0</v>
      </c>
      <c r="T75" s="360">
        <f>Q75/Q87</f>
        <v>0</v>
      </c>
      <c r="U75" s="363">
        <f>T75</f>
        <v>0</v>
      </c>
      <c r="W75" s="92" t="s">
        <v>342</v>
      </c>
      <c r="X75" s="93"/>
      <c r="Y75" s="73"/>
      <c r="Z75" s="351"/>
      <c r="AA75" s="73"/>
      <c r="AB75" s="352">
        <f>AA75</f>
        <v>0</v>
      </c>
    </row>
    <row r="76" spans="2:28" ht="18.75" customHeight="1">
      <c r="B76" s="355"/>
      <c r="C76" s="368"/>
      <c r="D76" s="361"/>
      <c r="E76" s="361"/>
      <c r="F76" s="361"/>
      <c r="G76" s="364"/>
      <c r="I76" s="355"/>
      <c r="J76" s="358">
        <f>COUNTIF('1. All Data'!$H$5:$H$128,"On Track to be Achieved")</f>
        <v>71</v>
      </c>
      <c r="K76" s="361"/>
      <c r="L76" s="361"/>
      <c r="M76" s="361"/>
      <c r="N76" s="364"/>
      <c r="P76" s="355"/>
      <c r="Q76" s="358">
        <f>COUNTIF('1. All Data'!$H$5:$H$128,"On Track to be Achieved")</f>
        <v>71</v>
      </c>
      <c r="R76" s="361"/>
      <c r="S76" s="361"/>
      <c r="T76" s="361"/>
      <c r="U76" s="364"/>
      <c r="W76" s="92" t="s">
        <v>343</v>
      </c>
      <c r="X76" s="93"/>
      <c r="Y76" s="73"/>
      <c r="Z76" s="351"/>
      <c r="AA76" s="73"/>
      <c r="AB76" s="352"/>
    </row>
    <row r="77" spans="2:28" ht="18.75" customHeight="1">
      <c r="B77" s="356"/>
      <c r="C77" s="369"/>
      <c r="D77" s="362"/>
      <c r="E77" s="362"/>
      <c r="F77" s="362"/>
      <c r="G77" s="365"/>
      <c r="I77" s="356"/>
      <c r="J77" s="359">
        <f>COUNTIF('1. All Data'!$H$5:$H$128,"On Track to be Achieved")</f>
        <v>71</v>
      </c>
      <c r="K77" s="362"/>
      <c r="L77" s="362"/>
      <c r="M77" s="362"/>
      <c r="N77" s="365"/>
      <c r="P77" s="356"/>
      <c r="Q77" s="359">
        <f>COUNTIF('1. All Data'!$H$5:$H$128,"On Track to be Achieved")</f>
        <v>71</v>
      </c>
      <c r="R77" s="362"/>
      <c r="S77" s="362"/>
      <c r="T77" s="362"/>
      <c r="U77" s="365"/>
      <c r="W77" s="92" t="s">
        <v>346</v>
      </c>
      <c r="X77" s="93"/>
      <c r="Y77" s="73"/>
      <c r="Z77" s="351"/>
      <c r="AA77" s="73"/>
      <c r="AB77" s="352"/>
    </row>
    <row r="78" spans="2:28" ht="6" customHeight="1">
      <c r="B78" s="30"/>
      <c r="C78" s="31"/>
      <c r="D78" s="41"/>
      <c r="E78" s="41"/>
      <c r="F78" s="41"/>
      <c r="G78" s="42"/>
      <c r="I78" s="30"/>
      <c r="J78" s="31"/>
      <c r="K78" s="41"/>
      <c r="L78" s="41"/>
      <c r="M78" s="41"/>
      <c r="N78" s="42"/>
      <c r="P78" s="30"/>
      <c r="Q78" s="31"/>
      <c r="R78" s="41"/>
      <c r="S78" s="41"/>
      <c r="T78" s="41"/>
      <c r="U78" s="42"/>
      <c r="W78" s="30"/>
      <c r="X78" s="31"/>
      <c r="Y78" s="41"/>
      <c r="Z78" s="41"/>
      <c r="AA78" s="41"/>
      <c r="AB78" s="42"/>
    </row>
    <row r="79" spans="2:28" ht="30" customHeight="1">
      <c r="B79" s="75" t="s">
        <v>351</v>
      </c>
      <c r="C79" s="72">
        <f>COUNTIFS('1. All Data'!$AA$3:$AA$110,"Community Regeneration",'1. All Data'!$H$3:$H$110,"Completed Behind Schedule")</f>
        <v>0</v>
      </c>
      <c r="D79" s="73">
        <f>C79/C86</f>
        <v>0</v>
      </c>
      <c r="E79" s="351">
        <f>D79+D80</f>
        <v>0</v>
      </c>
      <c r="F79" s="73">
        <f>C79/C87</f>
        <v>0</v>
      </c>
      <c r="G79" s="353">
        <f>F79+F80</f>
        <v>0</v>
      </c>
      <c r="I79" s="75" t="s">
        <v>351</v>
      </c>
      <c r="J79" s="72">
        <f>COUNTIFS('1. All Data'!$AA$3:$AA$110,"Community Regeneration",'1. All Data'!$M$3:$M$110,"Completed Behind Schedule")</f>
        <v>0</v>
      </c>
      <c r="K79" s="73">
        <f>J79/J86</f>
        <v>0</v>
      </c>
      <c r="L79" s="351">
        <f>K79+K80</f>
        <v>0</v>
      </c>
      <c r="M79" s="73">
        <f>J79/J87</f>
        <v>0</v>
      </c>
      <c r="N79" s="353">
        <f>M79+M80</f>
        <v>0</v>
      </c>
      <c r="P79" s="75" t="s">
        <v>351</v>
      </c>
      <c r="Q79" s="72">
        <f>COUNTIFS('1. All Data'!$AA$3:$AA$110,"Community Regeneration",'1. All Data'!$R$3:$R$110,"Completed Behind Schedule")</f>
        <v>0</v>
      </c>
      <c r="R79" s="73">
        <f>Q79/Q86</f>
        <v>0</v>
      </c>
      <c r="S79" s="351">
        <f>R79+R80</f>
        <v>0</v>
      </c>
      <c r="T79" s="73">
        <f>Q79/Q87</f>
        <v>0</v>
      </c>
      <c r="U79" s="353">
        <f>T79+T80</f>
        <v>0</v>
      </c>
      <c r="W79" s="75" t="s">
        <v>345</v>
      </c>
      <c r="X79" s="94"/>
      <c r="Y79" s="73"/>
      <c r="Z79" s="351"/>
      <c r="AA79" s="73"/>
      <c r="AB79" s="353">
        <f>AA79+AA80</f>
        <v>0</v>
      </c>
    </row>
    <row r="80" spans="2:28" ht="30" customHeight="1">
      <c r="B80" s="75" t="s">
        <v>344</v>
      </c>
      <c r="C80" s="72">
        <f>COUNTIFS('1. All Data'!$AA$3:$AA$110,"Community Regeneration",'1. All Data'!$H$3:$H$110,"Off Target")</f>
        <v>0</v>
      </c>
      <c r="D80" s="73">
        <f>C80/C86</f>
        <v>0</v>
      </c>
      <c r="E80" s="351"/>
      <c r="F80" s="73">
        <f>C80/C87</f>
        <v>0</v>
      </c>
      <c r="G80" s="353"/>
      <c r="I80" s="75" t="s">
        <v>344</v>
      </c>
      <c r="J80" s="72">
        <f>COUNTIFS('1. All Data'!$AA$3:$AA$110,"Community Regeneration",'1. All Data'!$M$3:$M$110,"Off Target")</f>
        <v>0</v>
      </c>
      <c r="K80" s="73">
        <f>J80/J86</f>
        <v>0</v>
      </c>
      <c r="L80" s="351"/>
      <c r="M80" s="73">
        <f>J80/J87</f>
        <v>0</v>
      </c>
      <c r="N80" s="353"/>
      <c r="P80" s="75" t="s">
        <v>344</v>
      </c>
      <c r="Q80" s="72">
        <f>COUNTIFS('1. All Data'!$AA$3:$AA$110,"Community Regeneration",'1. All Data'!$R$3:$R$110,"Off Target")</f>
        <v>0</v>
      </c>
      <c r="R80" s="73">
        <f>Q80/Q86</f>
        <v>0</v>
      </c>
      <c r="S80" s="351"/>
      <c r="T80" s="73">
        <f>Q80/Q87</f>
        <v>0</v>
      </c>
      <c r="U80" s="353"/>
      <c r="W80" s="75" t="s">
        <v>344</v>
      </c>
      <c r="X80" s="94"/>
      <c r="Y80" s="73"/>
      <c r="Z80" s="351"/>
      <c r="AA80" s="73"/>
      <c r="AB80" s="353"/>
    </row>
    <row r="81" spans="2:28" ht="5.25" customHeight="1">
      <c r="B81" s="30"/>
      <c r="C81" s="44"/>
      <c r="D81" s="41"/>
      <c r="E81" s="41"/>
      <c r="F81" s="41"/>
      <c r="G81" s="45"/>
      <c r="I81" s="30"/>
      <c r="J81" s="44"/>
      <c r="K81" s="41"/>
      <c r="L81" s="41"/>
      <c r="M81" s="41"/>
      <c r="N81" s="45"/>
      <c r="P81" s="30"/>
      <c r="Q81" s="44"/>
      <c r="R81" s="41"/>
      <c r="S81" s="41"/>
      <c r="T81" s="41"/>
      <c r="U81" s="45"/>
      <c r="W81" s="30"/>
      <c r="X81" s="44"/>
      <c r="Y81" s="41"/>
      <c r="Z81" s="41"/>
      <c r="AA81" s="41"/>
      <c r="AB81" s="45"/>
    </row>
    <row r="82" spans="2:28" ht="15.75" customHeight="1">
      <c r="B82" s="76" t="s">
        <v>399</v>
      </c>
      <c r="C82" s="72">
        <f>COUNTIFS('1. All Data'!$AA$3:$AA$110,"Community Regeneration",'1. All Data'!$H$3:$H$110,"Not yet due")</f>
        <v>4</v>
      </c>
      <c r="D82" s="77">
        <f>C82/C86</f>
        <v>0.2</v>
      </c>
      <c r="E82" s="77">
        <f>D82</f>
        <v>0.2</v>
      </c>
      <c r="F82" s="46"/>
      <c r="G82" s="47"/>
      <c r="I82" s="76" t="s">
        <v>399</v>
      </c>
      <c r="J82" s="72">
        <f>COUNTIFS('1. All Data'!$AA$3:$AA$110,"Community Regeneration",'1. All Data'!$M$3:$M$110,"Not yet due")</f>
        <v>0</v>
      </c>
      <c r="K82" s="77">
        <f>J82/J86</f>
        <v>0</v>
      </c>
      <c r="L82" s="77">
        <f>K82</f>
        <v>0</v>
      </c>
      <c r="M82" s="46"/>
      <c r="N82" s="47"/>
      <c r="P82" s="76" t="s">
        <v>399</v>
      </c>
      <c r="Q82" s="72">
        <f>COUNTIFS('1. All Data'!$AA$3:$AA$110,"Community Regeneration",'1. All Data'!$R$3:$R$110,"Not yet due")</f>
        <v>0</v>
      </c>
      <c r="R82" s="77">
        <f>Q82/Q86</f>
        <v>0</v>
      </c>
      <c r="S82" s="77">
        <f>R82</f>
        <v>0</v>
      </c>
      <c r="T82" s="46"/>
      <c r="U82" s="47"/>
      <c r="W82" s="76" t="s">
        <v>399</v>
      </c>
      <c r="X82" s="72"/>
      <c r="Y82" s="77"/>
      <c r="Z82" s="77"/>
      <c r="AA82" s="46"/>
      <c r="AB82" s="47"/>
    </row>
    <row r="83" spans="2:28" ht="15.75" customHeight="1">
      <c r="B83" s="76" t="s">
        <v>339</v>
      </c>
      <c r="C83" s="72">
        <f>COUNTIFS('1. All Data'!$AA$3:$AA$110,"Community Regeneration",'1. All Data'!$H$3:$H$110,"update not provided")</f>
        <v>0</v>
      </c>
      <c r="D83" s="77">
        <f>C83/C86</f>
        <v>0</v>
      </c>
      <c r="E83" s="77">
        <f>D83</f>
        <v>0</v>
      </c>
      <c r="F83" s="46"/>
      <c r="G83" s="49"/>
      <c r="I83" s="76" t="s">
        <v>339</v>
      </c>
      <c r="J83" s="72">
        <f>COUNTIFS('1. All Data'!$AA$3:$AA$110,"Community Regeneration",'1. All Data'!$M$3:$M$110,"update not provided")</f>
        <v>20</v>
      </c>
      <c r="K83" s="77">
        <f>J83/J86</f>
        <v>0.12345679012345678</v>
      </c>
      <c r="L83" s="77">
        <f>K83</f>
        <v>0.12345679012345678</v>
      </c>
      <c r="M83" s="46"/>
      <c r="N83" s="49"/>
      <c r="P83" s="76" t="s">
        <v>339</v>
      </c>
      <c r="Q83" s="72">
        <f>COUNTIFS('1. All Data'!$AA$3:$AA$110,"Community Regeneration",'1. All Data'!$R$3:$R$110,"update not provided")</f>
        <v>20</v>
      </c>
      <c r="R83" s="77">
        <f>Q83/Q86</f>
        <v>0.12345679012345678</v>
      </c>
      <c r="S83" s="77">
        <f>R83</f>
        <v>0.12345679012345678</v>
      </c>
      <c r="T83" s="46"/>
      <c r="U83" s="49"/>
      <c r="W83" s="76" t="s">
        <v>339</v>
      </c>
      <c r="X83" s="72"/>
      <c r="Y83" s="77"/>
      <c r="Z83" s="77"/>
      <c r="AA83" s="46"/>
      <c r="AB83" s="49"/>
    </row>
    <row r="84" spans="2:28" ht="15.75" customHeight="1">
      <c r="B84" s="78" t="s">
        <v>347</v>
      </c>
      <c r="C84" s="72">
        <f>COUNTIFS('1. All Data'!$AA$3:$AA$110,"Community Regeneration",'1. All Data'!$H$3:$H$110,"Deferred")</f>
        <v>0</v>
      </c>
      <c r="D84" s="79">
        <f>C84/C86</f>
        <v>0</v>
      </c>
      <c r="E84" s="79">
        <f>D84</f>
        <v>0</v>
      </c>
      <c r="F84" s="51"/>
      <c r="G84" s="47"/>
      <c r="I84" s="78" t="s">
        <v>347</v>
      </c>
      <c r="J84" s="72">
        <f>COUNTIFS('1. All Data'!$AA$3:$AA$110,"Community Regeneration",'1. All Data'!$M$3:$M$110,"Deferred")</f>
        <v>0</v>
      </c>
      <c r="K84" s="79">
        <f>J84/J86</f>
        <v>0</v>
      </c>
      <c r="L84" s="79">
        <f>K84</f>
        <v>0</v>
      </c>
      <c r="M84" s="51"/>
      <c r="N84" s="47"/>
      <c r="P84" s="78" t="s">
        <v>347</v>
      </c>
      <c r="Q84" s="72">
        <f>COUNTIFS('1. All Data'!$AA$3:$AA$110,"Community Regeneration",'1. All Data'!$R$3:$R$110,"Deferred")</f>
        <v>0</v>
      </c>
      <c r="R84" s="79">
        <f>Q84/Q86</f>
        <v>0</v>
      </c>
      <c r="S84" s="79">
        <f>R84</f>
        <v>0</v>
      </c>
      <c r="T84" s="51"/>
      <c r="U84" s="47"/>
      <c r="W84" s="78" t="s">
        <v>347</v>
      </c>
      <c r="X84" s="72"/>
      <c r="Y84" s="79"/>
      <c r="Z84" s="79"/>
      <c r="AA84" s="51"/>
      <c r="AB84" s="47"/>
    </row>
    <row r="85" spans="2:28" ht="15.75" customHeight="1">
      <c r="B85" s="78" t="s">
        <v>348</v>
      </c>
      <c r="C85" s="72">
        <f>COUNTIFS('1. All Data'!$AA$3:$AA$110,"Community Regeneration",'1. All Data'!$H$3:$H$110,"Deleted")</f>
        <v>0</v>
      </c>
      <c r="D85" s="79">
        <f>C85/C86</f>
        <v>0</v>
      </c>
      <c r="E85" s="79">
        <f>D85</f>
        <v>0</v>
      </c>
      <c r="F85" s="51"/>
      <c r="G85" s="53" t="s">
        <v>400</v>
      </c>
      <c r="I85" s="78" t="s">
        <v>348</v>
      </c>
      <c r="J85" s="72">
        <f>COUNTIFS('1. All Data'!$AA$3:$AA$110,"Community Regeneration",'1. All Data'!$M$3:$M$110,"Deleted")</f>
        <v>0</v>
      </c>
      <c r="K85" s="79">
        <f>J85/J86</f>
        <v>0</v>
      </c>
      <c r="L85" s="79">
        <f>K85</f>
        <v>0</v>
      </c>
      <c r="M85" s="51"/>
      <c r="N85" s="53" t="s">
        <v>400</v>
      </c>
      <c r="P85" s="78" t="s">
        <v>348</v>
      </c>
      <c r="Q85" s="72">
        <f>COUNTIFS('1. All Data'!$AA$3:$AA$110,"Community Regeneration",'1. All Data'!$R$3:$R$110,"Deleted")</f>
        <v>0</v>
      </c>
      <c r="R85" s="79">
        <f>Q85/Q86</f>
        <v>0</v>
      </c>
      <c r="S85" s="79">
        <f>R85</f>
        <v>0</v>
      </c>
      <c r="T85" s="51"/>
      <c r="U85" s="53" t="s">
        <v>400</v>
      </c>
      <c r="W85" s="78" t="s">
        <v>348</v>
      </c>
      <c r="X85" s="72"/>
      <c r="Y85" s="79"/>
      <c r="Z85" s="79"/>
      <c r="AA85" s="51"/>
      <c r="AB85" s="53" t="s">
        <v>400</v>
      </c>
    </row>
    <row r="86" spans="2:28" ht="15.75" customHeight="1">
      <c r="B86" s="90" t="s">
        <v>401</v>
      </c>
      <c r="C86" s="81">
        <f>SUM(C72:C85)</f>
        <v>20</v>
      </c>
      <c r="D86" s="51"/>
      <c r="E86" s="51"/>
      <c r="F86" s="47"/>
      <c r="G86" s="47"/>
      <c r="I86" s="90" t="s">
        <v>401</v>
      </c>
      <c r="J86" s="81">
        <f>SUM(J72:J85)</f>
        <v>162</v>
      </c>
      <c r="K86" s="51"/>
      <c r="L86" s="51"/>
      <c r="M86" s="47"/>
      <c r="N86" s="47"/>
      <c r="P86" s="90" t="s">
        <v>401</v>
      </c>
      <c r="Q86" s="81">
        <f>SUM(Q72:Q85)</f>
        <v>162</v>
      </c>
      <c r="R86" s="51"/>
      <c r="S86" s="51"/>
      <c r="T86" s="47"/>
      <c r="U86" s="47"/>
      <c r="W86" s="80" t="s">
        <v>401</v>
      </c>
      <c r="X86" s="81"/>
      <c r="Y86" s="51"/>
      <c r="Z86" s="51"/>
      <c r="AA86" s="47"/>
      <c r="AB86" s="47"/>
    </row>
    <row r="87" spans="2:28" ht="15.75" customHeight="1">
      <c r="B87" s="90" t="s">
        <v>402</v>
      </c>
      <c r="C87" s="81">
        <f>C86-C85-C84-C83-C82</f>
        <v>16</v>
      </c>
      <c r="D87" s="47"/>
      <c r="E87" s="47"/>
      <c r="F87" s="47"/>
      <c r="G87" s="47"/>
      <c r="I87" s="90" t="s">
        <v>402</v>
      </c>
      <c r="J87" s="81">
        <f>J86-J85-J84-J83-J82</f>
        <v>142</v>
      </c>
      <c r="K87" s="47"/>
      <c r="L87" s="47"/>
      <c r="M87" s="47"/>
      <c r="N87" s="47"/>
      <c r="P87" s="90" t="s">
        <v>402</v>
      </c>
      <c r="Q87" s="81">
        <f>Q86-Q85-Q84-Q83-Q82</f>
        <v>142</v>
      </c>
      <c r="R87" s="47"/>
      <c r="S87" s="47"/>
      <c r="T87" s="47"/>
      <c r="U87" s="47"/>
      <c r="W87" s="80" t="s">
        <v>402</v>
      </c>
      <c r="X87" s="81"/>
      <c r="Y87" s="47"/>
      <c r="Z87" s="47"/>
      <c r="AA87" s="47"/>
      <c r="AB87" s="47"/>
    </row>
    <row r="88" spans="2:28" ht="15.75" customHeight="1">
      <c r="AB88" s="52"/>
    </row>
    <row r="89" spans="2:28" ht="15.75" customHeight="1">
      <c r="AB89" s="52"/>
    </row>
  </sheetData>
  <mergeCells count="14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1:B33"/>
    <mergeCell ref="C31:C33"/>
    <mergeCell ref="D31:D33"/>
    <mergeCell ref="E31:E33"/>
    <mergeCell ref="F31:F33"/>
    <mergeCell ref="G31:G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M53:M55"/>
    <mergeCell ref="N53:N55"/>
    <mergeCell ref="P53:P55"/>
    <mergeCell ref="Q53:Q55"/>
    <mergeCell ref="B75:B77"/>
    <mergeCell ref="C75:C77"/>
    <mergeCell ref="D75:D77"/>
    <mergeCell ref="E75:E77"/>
    <mergeCell ref="F75:F77"/>
    <mergeCell ref="G75:G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M75:M77"/>
    <mergeCell ref="N75:N77"/>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B41" location="INDEX!A1" display="Back to index"/>
    <hyperlink ref="AB63" location="INDEX!A1" display="Back to index"/>
    <hyperlink ref="AB85" location="INDEX!A1" display="Back to index"/>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zoomScale="50" zoomScaleNormal="50" workbookViewId="0">
      <selection activeCell="AZ7" sqref="AZ7"/>
    </sheetView>
  </sheetViews>
  <sheetFormatPr defaultColWidth="9.140625" defaultRowHeight="15"/>
  <cols>
    <col min="1" max="1" width="3.42578125" style="99" customWidth="1"/>
    <col min="2" max="9" width="9.140625" style="99"/>
    <col min="10" max="10" width="3.42578125" style="99" customWidth="1"/>
    <col min="11" max="11" width="9.140625" style="100"/>
    <col min="12" max="18" width="9.140625" style="99"/>
    <col min="19" max="19" width="3.42578125" style="99" customWidth="1"/>
    <col min="20" max="27" width="9.140625" style="99" customWidth="1"/>
    <col min="28" max="28" width="3.42578125" style="99" customWidth="1"/>
    <col min="29" max="36" width="9.140625" style="99" customWidth="1"/>
    <col min="37" max="37" width="3.42578125" style="99" customWidth="1"/>
    <col min="38" max="47" width="9.140625" style="99" customWidth="1"/>
    <col min="48" max="50" width="0" style="99" hidden="1" customWidth="1"/>
    <col min="51" max="51" width="9.140625" style="99"/>
    <col min="52" max="55" width="10" style="102" customWidth="1"/>
    <col min="56" max="16384" width="9.140625" style="99"/>
  </cols>
  <sheetData>
    <row r="1" spans="2:56" s="96" customFormat="1" ht="36" thickTop="1">
      <c r="B1" s="95" t="s">
        <v>413</v>
      </c>
      <c r="M1" s="370" t="s">
        <v>414</v>
      </c>
      <c r="N1" s="371"/>
      <c r="O1" s="371"/>
      <c r="P1" s="371"/>
      <c r="Q1" s="371"/>
      <c r="R1" s="371"/>
      <c r="S1" s="371"/>
      <c r="T1" s="371"/>
      <c r="U1" s="371"/>
      <c r="V1" s="371"/>
      <c r="W1" s="371"/>
      <c r="X1" s="371"/>
      <c r="Y1" s="371"/>
      <c r="Z1" s="372"/>
      <c r="AZ1" s="97"/>
      <c r="BA1" s="97"/>
      <c r="BB1" s="97"/>
      <c r="BC1" s="97"/>
    </row>
    <row r="2" spans="2:56" s="96" customFormat="1" ht="35.25">
      <c r="B2" s="98" t="s">
        <v>400</v>
      </c>
      <c r="M2" s="373"/>
      <c r="N2" s="374"/>
      <c r="O2" s="374"/>
      <c r="P2" s="374"/>
      <c r="Q2" s="374"/>
      <c r="R2" s="374"/>
      <c r="S2" s="374"/>
      <c r="T2" s="374"/>
      <c r="U2" s="374"/>
      <c r="V2" s="374"/>
      <c r="W2" s="374"/>
      <c r="X2" s="374"/>
      <c r="Y2" s="374"/>
      <c r="Z2" s="375"/>
      <c r="AZ2" s="97"/>
      <c r="BA2" s="97"/>
      <c r="BB2" s="97"/>
      <c r="BC2" s="97"/>
    </row>
    <row r="3" spans="2:56" s="96" customFormat="1" ht="36" thickBot="1">
      <c r="M3" s="376"/>
      <c r="N3" s="377"/>
      <c r="O3" s="377"/>
      <c r="P3" s="377"/>
      <c r="Q3" s="377"/>
      <c r="R3" s="377"/>
      <c r="S3" s="377"/>
      <c r="T3" s="377"/>
      <c r="U3" s="377"/>
      <c r="V3" s="377"/>
      <c r="W3" s="377"/>
      <c r="X3" s="377"/>
      <c r="Y3" s="377"/>
      <c r="Z3" s="378"/>
      <c r="AZ3" s="97"/>
      <c r="BA3" s="97"/>
      <c r="BB3" s="97"/>
      <c r="BC3" s="97"/>
    </row>
    <row r="4" spans="2:56" ht="15.75" thickTop="1">
      <c r="N4" s="101" t="s">
        <v>400</v>
      </c>
      <c r="W4" s="101" t="s">
        <v>400</v>
      </c>
      <c r="AF4" s="101" t="s">
        <v>400</v>
      </c>
      <c r="AO4" s="101" t="s">
        <v>400</v>
      </c>
    </row>
    <row r="5" spans="2:56">
      <c r="AY5" s="107" t="s">
        <v>415</v>
      </c>
      <c r="AZ5" s="108"/>
      <c r="BA5" s="108"/>
      <c r="BB5" s="108"/>
      <c r="BC5" s="108"/>
      <c r="BD5" s="100"/>
    </row>
    <row r="6" spans="2:56">
      <c r="AY6" s="109"/>
      <c r="AZ6" s="110" t="s">
        <v>284</v>
      </c>
      <c r="BA6" s="110" t="s">
        <v>285</v>
      </c>
      <c r="BB6" s="110" t="s">
        <v>286</v>
      </c>
      <c r="BC6" s="110" t="s">
        <v>283</v>
      </c>
      <c r="BD6" s="100"/>
    </row>
    <row r="7" spans="2:56">
      <c r="AY7" s="111" t="s">
        <v>416</v>
      </c>
      <c r="AZ7" s="112">
        <f>'2a. % By Priority'!G6</f>
        <v>0.96385542168674698</v>
      </c>
      <c r="BA7" s="112">
        <f>'2a. % By Priority'!N6</f>
        <v>0</v>
      </c>
      <c r="BB7" s="112">
        <f>'2a. % By Priority'!U6</f>
        <v>0</v>
      </c>
      <c r="BC7" s="112">
        <f>'2a. % By Priority'!AB6</f>
        <v>0</v>
      </c>
      <c r="BD7" s="100"/>
    </row>
    <row r="8" spans="2:56">
      <c r="L8" s="104"/>
      <c r="M8" s="104"/>
      <c r="AY8" s="111" t="s">
        <v>417</v>
      </c>
      <c r="AZ8" s="112">
        <f>'2a. % By Priority'!G9</f>
        <v>2.4096385542168676E-2</v>
      </c>
      <c r="BA8" s="112">
        <f>'2a. % By Priority'!N9</f>
        <v>0</v>
      </c>
      <c r="BB8" s="112">
        <f>'2a. % By Priority'!U9</f>
        <v>0</v>
      </c>
      <c r="BC8" s="112">
        <f>'2a. % By Priority'!AB9</f>
        <v>0</v>
      </c>
      <c r="BD8" s="100"/>
    </row>
    <row r="9" spans="2:56">
      <c r="L9" s="104"/>
      <c r="M9" s="104"/>
      <c r="AY9" s="111" t="s">
        <v>418</v>
      </c>
      <c r="AZ9" s="112">
        <f>'2a. % By Priority'!G13</f>
        <v>1.2048192771084338E-2</v>
      </c>
      <c r="BA9" s="112">
        <f>'2a. % By Priority'!N13</f>
        <v>0</v>
      </c>
      <c r="BB9" s="112">
        <f>'2a. % By Priority'!U13</f>
        <v>0</v>
      </c>
      <c r="BC9" s="112">
        <f>'2a. % By Priority'!AB13</f>
        <v>0</v>
      </c>
      <c r="BD9" s="100"/>
    </row>
    <row r="10" spans="2:56">
      <c r="L10" s="104"/>
      <c r="M10" s="104"/>
      <c r="AY10" s="109"/>
      <c r="AZ10" s="113"/>
      <c r="BA10" s="113"/>
      <c r="BB10" s="113"/>
      <c r="BC10" s="113"/>
      <c r="BD10" s="100"/>
    </row>
    <row r="11" spans="2:56">
      <c r="AY11" s="114"/>
      <c r="AZ11" s="115"/>
      <c r="BA11" s="115"/>
      <c r="BB11" s="116"/>
      <c r="BC11" s="116"/>
      <c r="BD11" s="100"/>
    </row>
    <row r="12" spans="2:56">
      <c r="AY12" s="114"/>
      <c r="AZ12" s="115"/>
      <c r="BA12" s="115"/>
      <c r="BB12" s="116"/>
      <c r="BC12" s="116"/>
      <c r="BD12" s="100"/>
    </row>
    <row r="13" spans="2:56">
      <c r="AY13" s="114"/>
      <c r="AZ13" s="115"/>
      <c r="BA13" s="115"/>
      <c r="BB13" s="116"/>
      <c r="BC13" s="116"/>
      <c r="BD13" s="100"/>
    </row>
    <row r="14" spans="2:56">
      <c r="AY14" s="117"/>
      <c r="AZ14" s="108"/>
      <c r="BA14" s="108"/>
      <c r="BB14" s="108"/>
      <c r="BC14" s="108"/>
      <c r="BD14" s="100"/>
    </row>
    <row r="15" spans="2:56">
      <c r="AY15" s="117"/>
      <c r="AZ15" s="108"/>
      <c r="BA15" s="108"/>
      <c r="BB15" s="108"/>
      <c r="BC15" s="108"/>
      <c r="BD15" s="100"/>
    </row>
    <row r="16" spans="2:56">
      <c r="AY16" s="117"/>
      <c r="AZ16" s="108"/>
      <c r="BA16" s="108"/>
      <c r="BB16" s="108"/>
      <c r="BC16" s="108"/>
      <c r="BD16" s="100"/>
    </row>
    <row r="17" spans="12:56">
      <c r="AY17" s="117"/>
      <c r="AZ17" s="108"/>
      <c r="BA17" s="108"/>
      <c r="BB17" s="108"/>
      <c r="BC17" s="108"/>
      <c r="BD17" s="100"/>
    </row>
    <row r="18" spans="12:56">
      <c r="AY18" s="117"/>
      <c r="AZ18" s="108"/>
      <c r="BA18" s="108"/>
      <c r="BB18" s="108"/>
      <c r="BC18" s="108"/>
      <c r="BD18" s="100"/>
    </row>
    <row r="19" spans="12:56">
      <c r="AY19" s="117"/>
      <c r="AZ19" s="108"/>
      <c r="BA19" s="108"/>
      <c r="BB19" s="108"/>
      <c r="BC19" s="108"/>
      <c r="BD19" s="100"/>
    </row>
    <row r="20" spans="12:56">
      <c r="N20" s="101" t="s">
        <v>400</v>
      </c>
      <c r="W20" s="101" t="s">
        <v>400</v>
      </c>
      <c r="AF20" s="101" t="s">
        <v>400</v>
      </c>
      <c r="AO20" s="101" t="s">
        <v>400</v>
      </c>
      <c r="AY20" s="117"/>
      <c r="AZ20" s="108"/>
      <c r="BA20" s="108"/>
      <c r="BB20" s="108"/>
      <c r="BC20" s="108"/>
      <c r="BD20" s="100"/>
    </row>
    <row r="21" spans="12:56">
      <c r="AY21" s="107" t="s">
        <v>406</v>
      </c>
      <c r="AZ21" s="108"/>
      <c r="BA21" s="108"/>
      <c r="BB21" s="108"/>
      <c r="BC21" s="108"/>
      <c r="BD21" s="100"/>
    </row>
    <row r="22" spans="12:56">
      <c r="AY22" s="109"/>
      <c r="AZ22" s="110" t="s">
        <v>284</v>
      </c>
      <c r="BA22" s="110" t="s">
        <v>285</v>
      </c>
      <c r="BB22" s="110" t="s">
        <v>286</v>
      </c>
      <c r="BC22" s="110" t="s">
        <v>283</v>
      </c>
      <c r="BD22" s="100"/>
    </row>
    <row r="23" spans="12:56">
      <c r="AY23" s="111" t="s">
        <v>416</v>
      </c>
      <c r="AZ23" s="112">
        <f>'2a. % By Priority'!G28</f>
        <v>0.96153846153846156</v>
      </c>
      <c r="BA23" s="112">
        <f>'2a. % By Priority'!N28</f>
        <v>0</v>
      </c>
      <c r="BB23" s="112">
        <f>'2a. % By Priority'!U28</f>
        <v>0</v>
      </c>
      <c r="BC23" s="112">
        <f>'2a. % By Priority'!AB28</f>
        <v>0</v>
      </c>
      <c r="BD23" s="100"/>
    </row>
    <row r="24" spans="12:56">
      <c r="L24" s="104"/>
      <c r="M24" s="104"/>
      <c r="AY24" s="111" t="s">
        <v>417</v>
      </c>
      <c r="AZ24" s="112">
        <f>'2a. % By Priority'!G31</f>
        <v>1.9230769230769232E-2</v>
      </c>
      <c r="BA24" s="112">
        <f>'2a. % By Priority'!N31</f>
        <v>0</v>
      </c>
      <c r="BB24" s="112">
        <f>'2a. % By Priority'!U31</f>
        <v>0</v>
      </c>
      <c r="BC24" s="112">
        <f>'2a. % By Priority'!AB31</f>
        <v>0</v>
      </c>
      <c r="BD24" s="100"/>
    </row>
    <row r="25" spans="12:56">
      <c r="L25" s="104"/>
      <c r="M25" s="104"/>
      <c r="AY25" s="111" t="s">
        <v>418</v>
      </c>
      <c r="AZ25" s="112">
        <f>'2a. % By Priority'!G35</f>
        <v>1.9230769230769232E-2</v>
      </c>
      <c r="BA25" s="112">
        <f>'2a. % By Priority'!N35</f>
        <v>0</v>
      </c>
      <c r="BB25" s="112">
        <f>'2a. % By Priority'!U35</f>
        <v>0</v>
      </c>
      <c r="BC25" s="112">
        <f>'2a. % By Priority'!AB35</f>
        <v>0</v>
      </c>
      <c r="BD25" s="100"/>
    </row>
    <row r="26" spans="12:56">
      <c r="L26" s="104"/>
      <c r="M26" s="104"/>
      <c r="AY26" s="117"/>
      <c r="AZ26" s="108"/>
      <c r="BA26" s="108"/>
      <c r="BB26" s="108"/>
      <c r="BC26" s="108"/>
      <c r="BD26" s="100"/>
    </row>
    <row r="27" spans="12:56">
      <c r="AY27" s="114"/>
      <c r="AZ27" s="108"/>
      <c r="BA27" s="108"/>
      <c r="BB27" s="108"/>
      <c r="BC27" s="108"/>
      <c r="BD27" s="100"/>
    </row>
    <row r="28" spans="12:56">
      <c r="AY28" s="114"/>
      <c r="AZ28" s="108"/>
      <c r="BA28" s="108"/>
      <c r="BB28" s="108"/>
      <c r="BC28" s="108"/>
      <c r="BD28" s="100"/>
    </row>
    <row r="29" spans="12:56">
      <c r="AY29" s="114"/>
      <c r="AZ29" s="108"/>
      <c r="BA29" s="108"/>
      <c r="BB29" s="108"/>
      <c r="BC29" s="108"/>
      <c r="BD29" s="100"/>
    </row>
    <row r="30" spans="12:56">
      <c r="AY30" s="117"/>
      <c r="AZ30" s="108"/>
      <c r="BA30" s="108"/>
      <c r="BB30" s="108"/>
      <c r="BC30" s="108"/>
      <c r="BD30" s="100"/>
    </row>
    <row r="31" spans="12:56">
      <c r="AY31" s="117"/>
      <c r="AZ31" s="108"/>
      <c r="BA31" s="108"/>
      <c r="BB31" s="108"/>
      <c r="BC31" s="108"/>
      <c r="BD31" s="100"/>
    </row>
    <row r="32" spans="12:56">
      <c r="AY32" s="117"/>
      <c r="AZ32" s="108"/>
      <c r="BA32" s="108"/>
      <c r="BB32" s="108"/>
      <c r="BC32" s="108"/>
      <c r="BD32" s="100"/>
    </row>
    <row r="33" spans="11:56">
      <c r="AY33" s="117"/>
      <c r="AZ33" s="108"/>
      <c r="BA33" s="108"/>
      <c r="BB33" s="108"/>
      <c r="BC33" s="108"/>
      <c r="BD33" s="100"/>
    </row>
    <row r="34" spans="11:56">
      <c r="AY34" s="117"/>
      <c r="AZ34" s="108"/>
      <c r="BA34" s="108"/>
      <c r="BB34" s="108"/>
      <c r="BC34" s="108"/>
      <c r="BD34" s="100"/>
    </row>
    <row r="35" spans="11:56">
      <c r="AY35" s="117"/>
      <c r="AZ35" s="108"/>
      <c r="BA35" s="108"/>
      <c r="BB35" s="108"/>
      <c r="BC35" s="108"/>
      <c r="BD35" s="100"/>
    </row>
    <row r="36" spans="11:56">
      <c r="N36" s="101" t="s">
        <v>400</v>
      </c>
      <c r="W36" s="101" t="s">
        <v>400</v>
      </c>
      <c r="AF36" s="101" t="s">
        <v>400</v>
      </c>
      <c r="AO36" s="101" t="s">
        <v>400</v>
      </c>
      <c r="AY36" s="117"/>
      <c r="AZ36" s="108"/>
      <c r="BA36" s="108"/>
      <c r="BB36" s="108"/>
      <c r="BC36" s="108"/>
      <c r="BD36" s="100"/>
    </row>
    <row r="37" spans="11:56">
      <c r="AY37" s="107" t="s">
        <v>407</v>
      </c>
      <c r="AZ37" s="118"/>
      <c r="BA37" s="118"/>
      <c r="BB37" s="118"/>
      <c r="BC37" s="118"/>
      <c r="BD37" s="106"/>
    </row>
    <row r="38" spans="11:56">
      <c r="AY38" s="119"/>
      <c r="AZ38" s="110" t="s">
        <v>284</v>
      </c>
      <c r="BA38" s="110" t="s">
        <v>285</v>
      </c>
      <c r="BB38" s="110" t="s">
        <v>286</v>
      </c>
      <c r="BC38" s="110" t="s">
        <v>283</v>
      </c>
      <c r="BD38" s="106"/>
    </row>
    <row r="39" spans="11:56">
      <c r="AY39" s="111" t="s">
        <v>416</v>
      </c>
      <c r="AZ39" s="112">
        <f>'2a. % By Priority'!G50</f>
        <v>0.93333333333333335</v>
      </c>
      <c r="BA39" s="112">
        <f>'2a. % By Priority'!N50</f>
        <v>0</v>
      </c>
      <c r="BB39" s="112">
        <f>'2a. % By Priority'!U50</f>
        <v>0</v>
      </c>
      <c r="BC39" s="112">
        <f>'2a. % By Priority'!AB50</f>
        <v>0</v>
      </c>
      <c r="BD39" s="106"/>
    </row>
    <row r="40" spans="11:56">
      <c r="K40" s="104"/>
      <c r="L40" s="104"/>
      <c r="AY40" s="111" t="s">
        <v>417</v>
      </c>
      <c r="AZ40" s="112">
        <f>'2a. % By Priority'!G53</f>
        <v>6.6666666666666666E-2</v>
      </c>
      <c r="BA40" s="112">
        <f>'2a. % By Priority'!N53</f>
        <v>0</v>
      </c>
      <c r="BB40" s="112">
        <f>'2a. % By Priority'!U53</f>
        <v>0</v>
      </c>
      <c r="BC40" s="112">
        <f>'2a. % By Priority'!AB53</f>
        <v>0</v>
      </c>
      <c r="BD40" s="106"/>
    </row>
    <row r="41" spans="11:56">
      <c r="K41" s="104"/>
      <c r="L41" s="104"/>
      <c r="AY41" s="111" t="s">
        <v>418</v>
      </c>
      <c r="AZ41" s="112">
        <f>'2a. % By Priority'!G57</f>
        <v>0</v>
      </c>
      <c r="BA41" s="112">
        <f>'2a. % By Priority'!N57</f>
        <v>0</v>
      </c>
      <c r="BB41" s="112">
        <f>'2a. % By Priority'!U57</f>
        <v>0</v>
      </c>
      <c r="BC41" s="112">
        <f>'2a. % By Priority'!AB57</f>
        <v>0</v>
      </c>
      <c r="BD41" s="106"/>
    </row>
    <row r="42" spans="11:56">
      <c r="K42" s="104"/>
      <c r="L42" s="104"/>
      <c r="AY42" s="117"/>
      <c r="AZ42" s="108"/>
      <c r="BA42" s="108"/>
      <c r="BB42" s="108"/>
      <c r="BC42" s="108"/>
      <c r="BD42" s="100"/>
    </row>
    <row r="43" spans="11:56">
      <c r="AY43" s="114"/>
      <c r="AZ43" s="108"/>
      <c r="BA43" s="108"/>
      <c r="BB43" s="108"/>
      <c r="BC43" s="108"/>
      <c r="BD43" s="100"/>
    </row>
    <row r="44" spans="11:56">
      <c r="AY44" s="114"/>
      <c r="AZ44" s="108"/>
      <c r="BA44" s="108"/>
      <c r="BB44" s="108"/>
      <c r="BC44" s="108"/>
      <c r="BD44" s="100"/>
    </row>
    <row r="45" spans="11:56">
      <c r="AY45" s="114"/>
      <c r="AZ45" s="108"/>
      <c r="BA45" s="108"/>
      <c r="BB45" s="108"/>
      <c r="BC45" s="108"/>
      <c r="BD45" s="100"/>
    </row>
    <row r="46" spans="11:56">
      <c r="AY46" s="117"/>
      <c r="AZ46" s="108"/>
      <c r="BA46" s="108"/>
      <c r="BB46" s="108"/>
      <c r="BC46" s="108"/>
      <c r="BD46" s="100"/>
    </row>
    <row r="47" spans="11:56">
      <c r="AY47" s="117"/>
      <c r="AZ47" s="108"/>
      <c r="BA47" s="108"/>
      <c r="BB47" s="108"/>
      <c r="BC47" s="108"/>
      <c r="BD47" s="100"/>
    </row>
    <row r="48" spans="11:56">
      <c r="AY48" s="117"/>
      <c r="AZ48" s="108"/>
      <c r="BA48" s="108"/>
      <c r="BB48" s="108"/>
      <c r="BC48" s="108"/>
      <c r="BD48" s="100"/>
    </row>
    <row r="49" spans="12:56">
      <c r="AY49" s="117"/>
      <c r="AZ49" s="108"/>
      <c r="BA49" s="108"/>
      <c r="BB49" s="108"/>
      <c r="BC49" s="108"/>
      <c r="BD49" s="100"/>
    </row>
    <row r="50" spans="12:56">
      <c r="AY50" s="117"/>
      <c r="AZ50" s="108"/>
      <c r="BA50" s="108"/>
      <c r="BB50" s="108"/>
      <c r="BC50" s="108"/>
      <c r="BD50" s="100"/>
    </row>
    <row r="51" spans="12:56">
      <c r="AY51" s="117"/>
      <c r="AZ51" s="108"/>
      <c r="BA51" s="108"/>
      <c r="BB51" s="108"/>
      <c r="BC51" s="108"/>
      <c r="BD51" s="100"/>
    </row>
    <row r="52" spans="12:56">
      <c r="N52" s="101" t="s">
        <v>400</v>
      </c>
      <c r="W52" s="101" t="s">
        <v>400</v>
      </c>
      <c r="AF52" s="101" t="s">
        <v>400</v>
      </c>
      <c r="AP52" s="101" t="s">
        <v>400</v>
      </c>
      <c r="AY52" s="117"/>
      <c r="AZ52" s="108"/>
      <c r="BA52" s="108"/>
      <c r="BB52" s="108"/>
      <c r="BC52" s="108"/>
      <c r="BD52" s="100"/>
    </row>
    <row r="53" spans="12:56">
      <c r="AY53" s="107" t="s">
        <v>408</v>
      </c>
      <c r="AZ53" s="118"/>
      <c r="BA53" s="118"/>
      <c r="BB53" s="118"/>
      <c r="BC53" s="118"/>
      <c r="BD53" s="100"/>
    </row>
    <row r="54" spans="12:56">
      <c r="AY54" s="119"/>
      <c r="AZ54" s="110" t="s">
        <v>284</v>
      </c>
      <c r="BA54" s="110" t="s">
        <v>285</v>
      </c>
      <c r="BB54" s="110" t="s">
        <v>286</v>
      </c>
      <c r="BC54" s="110" t="s">
        <v>283</v>
      </c>
      <c r="BD54" s="100"/>
    </row>
    <row r="55" spans="12:56">
      <c r="AY55" s="111" t="s">
        <v>416</v>
      </c>
      <c r="AZ55" s="112">
        <f>'2a. % By Priority'!G72</f>
        <v>1</v>
      </c>
      <c r="BA55" s="112">
        <f>'2a. % By Priority'!N72</f>
        <v>0</v>
      </c>
      <c r="BB55" s="112">
        <f>'2a. % By Priority'!U72</f>
        <v>0</v>
      </c>
      <c r="BC55" s="112">
        <f>'2a. % By Priority'!AB72</f>
        <v>0</v>
      </c>
      <c r="BD55" s="100"/>
    </row>
    <row r="56" spans="12:56">
      <c r="L56" s="104"/>
      <c r="M56" s="104"/>
      <c r="AY56" s="111" t="s">
        <v>417</v>
      </c>
      <c r="AZ56" s="112">
        <f>'2a. % By Priority'!G75</f>
        <v>0</v>
      </c>
      <c r="BA56" s="112">
        <f>'2a. % By Priority'!N75</f>
        <v>0</v>
      </c>
      <c r="BB56" s="112">
        <f>'2a. % By Priority'!U75</f>
        <v>0</v>
      </c>
      <c r="BC56" s="112">
        <f>'2a. % By Priority'!AB75</f>
        <v>0</v>
      </c>
      <c r="BD56" s="100"/>
    </row>
    <row r="57" spans="12:56">
      <c r="L57" s="104"/>
      <c r="M57" s="104"/>
      <c r="AY57" s="111" t="s">
        <v>418</v>
      </c>
      <c r="AZ57" s="112">
        <f>'2a. % By Priority'!G79</f>
        <v>0</v>
      </c>
      <c r="BA57" s="112">
        <f>'2a. % By Priority'!N79</f>
        <v>0</v>
      </c>
      <c r="BB57" s="112">
        <f>'2a. % By Priority'!U79</f>
        <v>0</v>
      </c>
      <c r="BC57" s="112">
        <f>'2a. % By Priority'!AB79</f>
        <v>0</v>
      </c>
      <c r="BD57" s="100"/>
    </row>
    <row r="58" spans="12:56">
      <c r="L58" s="104"/>
      <c r="M58" s="104"/>
      <c r="AY58" s="100"/>
      <c r="AZ58" s="103"/>
      <c r="BA58" s="103"/>
      <c r="BB58" s="103"/>
      <c r="BC58" s="103"/>
      <c r="BD58" s="100"/>
    </row>
    <row r="59" spans="12:56">
      <c r="AY59" s="105"/>
      <c r="AZ59" s="103"/>
      <c r="BA59" s="103"/>
      <c r="BB59" s="103"/>
      <c r="BC59" s="103"/>
      <c r="BD59" s="100"/>
    </row>
    <row r="60" spans="12:56">
      <c r="AY60" s="105"/>
      <c r="AZ60" s="103"/>
      <c r="BA60" s="103"/>
      <c r="BB60" s="103"/>
      <c r="BC60" s="103"/>
      <c r="BD60" s="100"/>
    </row>
    <row r="61" spans="12:56">
      <c r="AY61" s="105"/>
      <c r="AZ61" s="103"/>
      <c r="BA61" s="103"/>
      <c r="BB61" s="103"/>
      <c r="BC61" s="103"/>
      <c r="BD61" s="100"/>
    </row>
    <row r="62" spans="12:56">
      <c r="AY62" s="100"/>
      <c r="AZ62" s="103"/>
      <c r="BA62" s="103"/>
      <c r="BB62" s="103"/>
      <c r="BC62" s="103"/>
      <c r="BD62" s="100"/>
    </row>
    <row r="63" spans="12:56">
      <c r="AY63" s="100"/>
      <c r="AZ63" s="103"/>
      <c r="BA63" s="103"/>
      <c r="BB63" s="103"/>
      <c r="BC63" s="103"/>
      <c r="BD63" s="100"/>
    </row>
    <row r="64" spans="12:56">
      <c r="AY64" s="100"/>
      <c r="AZ64" s="103"/>
      <c r="BA64" s="103"/>
      <c r="BB64" s="103"/>
      <c r="BC64" s="103"/>
      <c r="BD64" s="100"/>
    </row>
    <row r="65" spans="51:56">
      <c r="AY65" s="100"/>
      <c r="AZ65" s="103"/>
      <c r="BA65" s="103"/>
      <c r="BB65" s="103"/>
      <c r="BC65" s="103"/>
      <c r="BD65" s="100"/>
    </row>
    <row r="66" spans="51:56">
      <c r="AY66" s="100"/>
      <c r="AZ66" s="103"/>
      <c r="BA66" s="103"/>
      <c r="BB66" s="103"/>
      <c r="BC66" s="103"/>
      <c r="BD66" s="100"/>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217"/>
  <sheetViews>
    <sheetView zoomScale="80" zoomScaleNormal="80" workbookViewId="0">
      <pane ySplit="1" topLeftCell="A2" activePane="bottomLeft" state="frozen"/>
      <selection pane="bottomLeft" activeCell="C98" sqref="C98:C100"/>
    </sheetView>
  </sheetViews>
  <sheetFormatPr defaultColWidth="9.140625" defaultRowHeight="14.25"/>
  <cols>
    <col min="1" max="1" width="3.42578125" style="25" customWidth="1"/>
    <col min="2" max="2" width="38.85546875" style="25" customWidth="1"/>
    <col min="3" max="3" width="13.7109375" style="22" customWidth="1"/>
    <col min="4" max="4" width="13.85546875" style="22" customWidth="1"/>
    <col min="5" max="5" width="16.28515625" style="22" customWidth="1"/>
    <col min="6" max="6" width="14.140625" style="25" customWidth="1"/>
    <col min="7" max="7" width="17.140625" style="22" customWidth="1"/>
    <col min="8" max="8" width="4.7109375" style="25" customWidth="1"/>
    <col min="9" max="9" width="38.85546875" style="25" hidden="1" customWidth="1"/>
    <col min="10" max="10" width="13.7109375" style="22" hidden="1" customWidth="1"/>
    <col min="11" max="11" width="13.85546875" style="22" hidden="1" customWidth="1"/>
    <col min="12" max="12" width="16.28515625" style="22" hidden="1" customWidth="1"/>
    <col min="13" max="13" width="14.140625" style="25" hidden="1" customWidth="1"/>
    <col min="14" max="14" width="17.140625" style="22" hidden="1" customWidth="1"/>
    <col min="15" max="15" width="4.7109375" style="25" hidden="1" customWidth="1"/>
    <col min="16" max="16" width="38.85546875" style="25" hidden="1" customWidth="1"/>
    <col min="17" max="17" width="13.7109375" style="22" hidden="1" customWidth="1"/>
    <col min="18" max="18" width="13.85546875" style="22" hidden="1" customWidth="1"/>
    <col min="19" max="19" width="16.28515625" style="22" hidden="1" customWidth="1"/>
    <col min="20" max="20" width="14.140625" style="25" hidden="1" customWidth="1"/>
    <col min="21" max="21" width="17.140625" style="22" hidden="1" customWidth="1"/>
    <col min="22" max="22" width="4.7109375" style="25" hidden="1" customWidth="1"/>
    <col min="23" max="23" width="55.28515625" style="22" hidden="1" customWidth="1"/>
    <col min="24" max="24" width="14.5703125" style="22" hidden="1" customWidth="1"/>
    <col min="25" max="27" width="17.140625" style="22" hidden="1" customWidth="1"/>
    <col min="28" max="28" width="17.140625" style="50" hidden="1" customWidth="1"/>
    <col min="29" max="16384" width="9.140625" style="25"/>
  </cols>
  <sheetData>
    <row r="1" spans="2:28" s="19" customFormat="1" ht="20.25">
      <c r="B1" s="169" t="s">
        <v>409</v>
      </c>
      <c r="C1" s="170"/>
      <c r="D1" s="171"/>
      <c r="E1" s="171"/>
      <c r="F1" s="172"/>
      <c r="G1" s="171"/>
      <c r="I1" s="169" t="s">
        <v>410</v>
      </c>
      <c r="J1" s="170"/>
      <c r="K1" s="171"/>
      <c r="L1" s="171"/>
      <c r="M1" s="172"/>
      <c r="N1" s="171"/>
      <c r="P1" s="169" t="s">
        <v>411</v>
      </c>
      <c r="Q1" s="170"/>
      <c r="R1" s="171"/>
      <c r="S1" s="171"/>
      <c r="T1" s="172"/>
      <c r="U1" s="171"/>
      <c r="W1" s="179" t="s">
        <v>412</v>
      </c>
      <c r="X1" s="180"/>
      <c r="Y1" s="180"/>
      <c r="Z1" s="180"/>
      <c r="AA1" s="180"/>
      <c r="AB1" s="181"/>
    </row>
    <row r="2" spans="2:28" ht="15.75">
      <c r="B2" s="20"/>
      <c r="C2" s="21"/>
      <c r="D2" s="21"/>
      <c r="E2" s="21"/>
      <c r="F2" s="20"/>
      <c r="G2" s="21"/>
      <c r="I2" s="20"/>
      <c r="J2" s="21"/>
      <c r="K2" s="21"/>
      <c r="L2" s="21"/>
      <c r="M2" s="20"/>
      <c r="N2" s="21"/>
      <c r="P2" s="20"/>
      <c r="Q2" s="21"/>
      <c r="R2" s="21"/>
      <c r="S2" s="21"/>
      <c r="T2" s="20"/>
      <c r="U2" s="21"/>
      <c r="W2" s="23"/>
      <c r="X2" s="23"/>
      <c r="Y2" s="23"/>
      <c r="Z2" s="23"/>
      <c r="AA2" s="23"/>
      <c r="AB2" s="24"/>
    </row>
    <row r="3" spans="2:28" s="33" customFormat="1" ht="15.75">
      <c r="B3" s="164" t="s">
        <v>430</v>
      </c>
      <c r="C3" s="165"/>
      <c r="D3" s="165"/>
      <c r="E3" s="165"/>
      <c r="F3" s="166"/>
      <c r="G3" s="165"/>
      <c r="I3" s="164" t="s">
        <v>430</v>
      </c>
      <c r="J3" s="165"/>
      <c r="K3" s="165"/>
      <c r="L3" s="165"/>
      <c r="M3" s="166"/>
      <c r="N3" s="165"/>
      <c r="P3" s="164" t="s">
        <v>430</v>
      </c>
      <c r="Q3" s="165"/>
      <c r="R3" s="165"/>
      <c r="S3" s="165"/>
      <c r="T3" s="166"/>
      <c r="U3" s="165"/>
      <c r="W3" s="164" t="s">
        <v>430</v>
      </c>
      <c r="X3" s="165"/>
      <c r="Y3" s="165"/>
      <c r="Z3" s="165"/>
      <c r="AA3" s="166"/>
      <c r="AB3" s="165"/>
    </row>
    <row r="4" spans="2:28" ht="42" customHeight="1">
      <c r="B4" s="167" t="s">
        <v>392</v>
      </c>
      <c r="C4" s="168" t="s">
        <v>393</v>
      </c>
      <c r="D4" s="168" t="s">
        <v>394</v>
      </c>
      <c r="E4" s="168" t="s">
        <v>395</v>
      </c>
      <c r="F4" s="167" t="s">
        <v>396</v>
      </c>
      <c r="G4" s="168" t="s">
        <v>397</v>
      </c>
      <c r="I4" s="167" t="s">
        <v>392</v>
      </c>
      <c r="J4" s="168" t="s">
        <v>393</v>
      </c>
      <c r="K4" s="168" t="s">
        <v>394</v>
      </c>
      <c r="L4" s="168" t="s">
        <v>395</v>
      </c>
      <c r="M4" s="167" t="s">
        <v>396</v>
      </c>
      <c r="N4" s="168" t="s">
        <v>397</v>
      </c>
      <c r="P4" s="167" t="s">
        <v>392</v>
      </c>
      <c r="Q4" s="168" t="s">
        <v>393</v>
      </c>
      <c r="R4" s="168" t="s">
        <v>394</v>
      </c>
      <c r="S4" s="168" t="s">
        <v>395</v>
      </c>
      <c r="T4" s="167" t="s">
        <v>396</v>
      </c>
      <c r="U4" s="168" t="s">
        <v>397</v>
      </c>
      <c r="W4" s="85" t="s">
        <v>392</v>
      </c>
      <c r="X4" s="85" t="s">
        <v>393</v>
      </c>
      <c r="Y4" s="85" t="s">
        <v>394</v>
      </c>
      <c r="Z4" s="85" t="s">
        <v>395</v>
      </c>
      <c r="AA4" s="85" t="s">
        <v>396</v>
      </c>
      <c r="AB4" s="85" t="s">
        <v>397</v>
      </c>
    </row>
    <row r="5" spans="2:28" s="33" customFormat="1" ht="6" customHeight="1">
      <c r="B5" s="30"/>
      <c r="C5" s="31"/>
      <c r="D5" s="31"/>
      <c r="E5" s="31"/>
      <c r="F5" s="30"/>
      <c r="G5" s="31"/>
      <c r="I5" s="30"/>
      <c r="J5" s="31"/>
      <c r="K5" s="31"/>
      <c r="L5" s="31"/>
      <c r="M5" s="30"/>
      <c r="N5" s="31"/>
      <c r="P5" s="30"/>
      <c r="Q5" s="31"/>
      <c r="R5" s="31"/>
      <c r="S5" s="31"/>
      <c r="T5" s="30"/>
      <c r="U5" s="31"/>
      <c r="W5" s="30"/>
      <c r="X5" s="31"/>
      <c r="Y5" s="31"/>
      <c r="Z5" s="31"/>
      <c r="AA5" s="31"/>
      <c r="AB5" s="31"/>
    </row>
    <row r="6" spans="2:28" ht="21.75" customHeight="1">
      <c r="B6" s="153" t="s">
        <v>398</v>
      </c>
      <c r="C6" s="154">
        <f>COUNTIFS('1. All Data'!$AC$3:$AC$128,"LEADER",'1. All Data'!$H$3:$H$128,"Fully Achieved")</f>
        <v>1</v>
      </c>
      <c r="D6" s="155">
        <f>C6/C20</f>
        <v>5.8823529411764705E-2</v>
      </c>
      <c r="E6" s="391">
        <f>D6+D7</f>
        <v>0.6470588235294118</v>
      </c>
      <c r="F6" s="156">
        <f>C6/C21</f>
        <v>9.0909090909090912E-2</v>
      </c>
      <c r="G6" s="399">
        <f>F6+F7</f>
        <v>1</v>
      </c>
      <c r="I6" s="153" t="s">
        <v>398</v>
      </c>
      <c r="J6" s="154">
        <f>COUNTIFS('1. All Data'!$AC$3:$AC$128,"LEADER",'1. All Data'!$M$3:$M$128,"Fully Achieved")</f>
        <v>0</v>
      </c>
      <c r="K6" s="155">
        <f>J6/J20</f>
        <v>0</v>
      </c>
      <c r="L6" s="391">
        <f>K6+K7</f>
        <v>0</v>
      </c>
      <c r="M6" s="156">
        <f>J6/J21</f>
        <v>0</v>
      </c>
      <c r="N6" s="399">
        <f>M6+M7</f>
        <v>0</v>
      </c>
      <c r="P6" s="153" t="s">
        <v>398</v>
      </c>
      <c r="Q6" s="154">
        <f>COUNTIFS('1. All Data'!$AC$3:$AC$128,"LEADER",'1. All Data'!$R$3:$R$128,"Fully Achieved")</f>
        <v>0</v>
      </c>
      <c r="R6" s="155">
        <f>Q6/Q20</f>
        <v>0</v>
      </c>
      <c r="S6" s="391">
        <f>R6+R7</f>
        <v>0</v>
      </c>
      <c r="T6" s="156">
        <f>Q6/Q21</f>
        <v>0</v>
      </c>
      <c r="U6" s="399">
        <f>T6+T7</f>
        <v>0</v>
      </c>
      <c r="W6" s="71" t="s">
        <v>398</v>
      </c>
      <c r="X6" s="72"/>
      <c r="Y6" s="74"/>
      <c r="Z6" s="351"/>
      <c r="AA6" s="74"/>
      <c r="AB6" s="366">
        <f>AA6+AA7</f>
        <v>0</v>
      </c>
    </row>
    <row r="7" spans="2:28" ht="18.75" customHeight="1">
      <c r="B7" s="153" t="s">
        <v>349</v>
      </c>
      <c r="C7" s="154">
        <f>COUNTIFS('1. All Data'!$AC$3:$AC$128,"LEADER",'1. All Data'!$H$3:$H$128,"On Track to be Achieved")</f>
        <v>10</v>
      </c>
      <c r="D7" s="155">
        <f>C7/C20</f>
        <v>0.58823529411764708</v>
      </c>
      <c r="E7" s="391"/>
      <c r="F7" s="156">
        <f>C7/C21</f>
        <v>0.90909090909090906</v>
      </c>
      <c r="G7" s="399"/>
      <c r="I7" s="153" t="s">
        <v>349</v>
      </c>
      <c r="J7" s="154">
        <f>COUNTIFS('1. All Data'!$AC$3:$AC$128,"LEADER",'1. All Data'!$M$3:$M$128,"On Track to be Achieved")</f>
        <v>0</v>
      </c>
      <c r="K7" s="155">
        <f>J7/J20</f>
        <v>0</v>
      </c>
      <c r="L7" s="391"/>
      <c r="M7" s="156">
        <f>J7/J21</f>
        <v>0</v>
      </c>
      <c r="N7" s="399"/>
      <c r="P7" s="153" t="s">
        <v>349</v>
      </c>
      <c r="Q7" s="154">
        <f>COUNTIFS('1. All Data'!$AC$3:$AC$128,"LEADER",'1. All Data'!$R$3:$R$128,"On Track to be Achieved")</f>
        <v>0</v>
      </c>
      <c r="R7" s="155">
        <f>Q7/Q20</f>
        <v>0</v>
      </c>
      <c r="S7" s="391"/>
      <c r="T7" s="156">
        <f>Q7/Q21</f>
        <v>0</v>
      </c>
      <c r="U7" s="399"/>
      <c r="W7" s="71" t="s">
        <v>349</v>
      </c>
      <c r="X7" s="72"/>
      <c r="Y7" s="74"/>
      <c r="Z7" s="351"/>
      <c r="AA7" s="74"/>
      <c r="AB7" s="366"/>
    </row>
    <row r="8" spans="2:28" s="33" customFormat="1" ht="6" customHeight="1">
      <c r="B8" s="30"/>
      <c r="C8" s="44"/>
      <c r="D8" s="41"/>
      <c r="E8" s="41"/>
      <c r="F8" s="120"/>
      <c r="G8" s="42"/>
      <c r="I8" s="30"/>
      <c r="J8" s="44"/>
      <c r="K8" s="41"/>
      <c r="L8" s="41"/>
      <c r="M8" s="120"/>
      <c r="N8" s="42"/>
      <c r="P8" s="30"/>
      <c r="Q8" s="44"/>
      <c r="R8" s="41"/>
      <c r="S8" s="41"/>
      <c r="T8" s="120"/>
      <c r="U8" s="42"/>
      <c r="W8" s="34"/>
      <c r="X8" s="35"/>
      <c r="Y8" s="36"/>
      <c r="Z8" s="36"/>
      <c r="AA8" s="36"/>
      <c r="AB8" s="37"/>
    </row>
    <row r="9" spans="2:28" ht="21" customHeight="1">
      <c r="B9" s="385" t="s">
        <v>350</v>
      </c>
      <c r="C9" s="393">
        <f>COUNTIFS('1. All Data'!$AC$3:$AC$128,"LEADER",'1. All Data'!$H$3:$H$128,"In Danger of Falling Behind Target")</f>
        <v>0</v>
      </c>
      <c r="D9" s="396">
        <f>C9/C20</f>
        <v>0</v>
      </c>
      <c r="E9" s="396">
        <f>D9</f>
        <v>0</v>
      </c>
      <c r="F9" s="379">
        <f>C9/C21</f>
        <v>0</v>
      </c>
      <c r="G9" s="382">
        <f>F9</f>
        <v>0</v>
      </c>
      <c r="I9" s="385" t="s">
        <v>350</v>
      </c>
      <c r="J9" s="388">
        <f>COUNTIFS('1. All Data'!$AC$3:$AC$128,"LEADER",'1. All Data'!$M$3:$M$128,"In Danger of Falling Behind Target")</f>
        <v>0</v>
      </c>
      <c r="K9" s="396">
        <f>J9/J20</f>
        <v>0</v>
      </c>
      <c r="L9" s="396">
        <f>K9</f>
        <v>0</v>
      </c>
      <c r="M9" s="379">
        <f>J9/J21</f>
        <v>0</v>
      </c>
      <c r="N9" s="382">
        <f>M9</f>
        <v>0</v>
      </c>
      <c r="P9" s="385" t="s">
        <v>350</v>
      </c>
      <c r="Q9" s="388">
        <f>COUNTIFS('1. All Data'!$AC$3:$AC$128,"LEADER",'1. All Data'!$R$3:$R$128,"In Danger of Falling Behind Target")</f>
        <v>0</v>
      </c>
      <c r="R9" s="396">
        <f>Q9/Q20</f>
        <v>0</v>
      </c>
      <c r="S9" s="396">
        <f>R9</f>
        <v>0</v>
      </c>
      <c r="T9" s="379">
        <f>Q9/Q21</f>
        <v>0</v>
      </c>
      <c r="U9" s="382">
        <f>T9</f>
        <v>0</v>
      </c>
      <c r="W9" s="92" t="s">
        <v>342</v>
      </c>
      <c r="X9" s="93"/>
      <c r="Y9" s="74"/>
      <c r="Z9" s="351"/>
      <c r="AA9" s="74"/>
      <c r="AB9" s="352">
        <f>AA9</f>
        <v>0</v>
      </c>
    </row>
    <row r="10" spans="2:28" ht="20.25" customHeight="1">
      <c r="B10" s="386"/>
      <c r="C10" s="394"/>
      <c r="D10" s="397"/>
      <c r="E10" s="397"/>
      <c r="F10" s="380"/>
      <c r="G10" s="383"/>
      <c r="I10" s="386"/>
      <c r="J10" s="389">
        <f>COUNTIFS('1. All Data'!$AC$3:$AC$128,"LEADER",'1. All Data'!$H$3:$H$128,"On Track to be Achieved")</f>
        <v>10</v>
      </c>
      <c r="K10" s="397"/>
      <c r="L10" s="397"/>
      <c r="M10" s="380"/>
      <c r="N10" s="383"/>
      <c r="P10" s="386"/>
      <c r="Q10" s="389">
        <f>COUNTIFS('1. All Data'!$AC$3:$AC$128,"LEADER",'1. All Data'!$H$3:$H$128,"On Track to be Achieved")</f>
        <v>10</v>
      </c>
      <c r="R10" s="397"/>
      <c r="S10" s="397"/>
      <c r="T10" s="380"/>
      <c r="U10" s="383"/>
      <c r="W10" s="92" t="s">
        <v>343</v>
      </c>
      <c r="X10" s="93"/>
      <c r="Y10" s="74"/>
      <c r="Z10" s="351"/>
      <c r="AA10" s="74"/>
      <c r="AB10" s="352"/>
    </row>
    <row r="11" spans="2:28" ht="15.75" customHeight="1">
      <c r="B11" s="387"/>
      <c r="C11" s="395"/>
      <c r="D11" s="398"/>
      <c r="E11" s="398"/>
      <c r="F11" s="381"/>
      <c r="G11" s="384"/>
      <c r="I11" s="387"/>
      <c r="J11" s="390">
        <f>COUNTIFS('1. All Data'!$AC$3:$AC$128,"LEADER",'1. All Data'!$H$3:$H$128,"On Track to be Achieved")</f>
        <v>10</v>
      </c>
      <c r="K11" s="398"/>
      <c r="L11" s="398"/>
      <c r="M11" s="381"/>
      <c r="N11" s="384"/>
      <c r="P11" s="387"/>
      <c r="Q11" s="390">
        <f>COUNTIFS('1. All Data'!$AC$3:$AC$128,"LEADER",'1. All Data'!$H$3:$H$128,"On Track to be Achieved")</f>
        <v>10</v>
      </c>
      <c r="R11" s="398"/>
      <c r="S11" s="398"/>
      <c r="T11" s="381"/>
      <c r="U11" s="384"/>
      <c r="W11" s="92" t="s">
        <v>346</v>
      </c>
      <c r="X11" s="93"/>
      <c r="Y11" s="74"/>
      <c r="Z11" s="351"/>
      <c r="AA11" s="74"/>
      <c r="AB11" s="352"/>
    </row>
    <row r="12" spans="2:28" s="33" customFormat="1" ht="6" customHeight="1">
      <c r="B12" s="30"/>
      <c r="C12" s="31"/>
      <c r="D12" s="41"/>
      <c r="E12" s="41"/>
      <c r="F12" s="120"/>
      <c r="G12" s="42"/>
      <c r="I12" s="30"/>
      <c r="J12" s="31"/>
      <c r="K12" s="41"/>
      <c r="L12" s="41"/>
      <c r="M12" s="120"/>
      <c r="N12" s="42"/>
      <c r="P12" s="30"/>
      <c r="Q12" s="31"/>
      <c r="R12" s="41"/>
      <c r="S12" s="41"/>
      <c r="T12" s="120"/>
      <c r="U12" s="42"/>
      <c r="W12" s="30"/>
      <c r="X12" s="31"/>
      <c r="Y12" s="41"/>
      <c r="Z12" s="41"/>
      <c r="AA12" s="41"/>
      <c r="AB12" s="42"/>
    </row>
    <row r="13" spans="2:28" ht="20.25" customHeight="1">
      <c r="B13" s="157" t="s">
        <v>351</v>
      </c>
      <c r="C13" s="154">
        <f>COUNTIFS('1. All Data'!$AC$3:$AC$128,"LEADER",'1. All Data'!$H$3:$H$128,"Completed Behind Schedule")</f>
        <v>0</v>
      </c>
      <c r="D13" s="155">
        <f>C13/C20</f>
        <v>0</v>
      </c>
      <c r="E13" s="391">
        <f>D13+D14</f>
        <v>0</v>
      </c>
      <c r="F13" s="156">
        <f>C13/C21</f>
        <v>0</v>
      </c>
      <c r="G13" s="392">
        <f>F13+F14</f>
        <v>0</v>
      </c>
      <c r="I13" s="157" t="s">
        <v>351</v>
      </c>
      <c r="J13" s="154">
        <f>COUNTIFS('1. All Data'!$AC$3:$AC$128,"LEADER",'1. All Data'!$M$3:$M$128,"Completed Behind Schedule")</f>
        <v>0</v>
      </c>
      <c r="K13" s="155">
        <f>J13/J20</f>
        <v>0</v>
      </c>
      <c r="L13" s="391">
        <f>K13+K14</f>
        <v>0</v>
      </c>
      <c r="M13" s="156">
        <f>J13/J21</f>
        <v>0</v>
      </c>
      <c r="N13" s="392">
        <f>M13+M14</f>
        <v>0</v>
      </c>
      <c r="P13" s="157" t="s">
        <v>351</v>
      </c>
      <c r="Q13" s="154">
        <f>COUNTIFS('1. All Data'!$AC$3:$AC$128,"LEADER",'1. All Data'!$R$3:$R$128,"Completed Behind Schedule")</f>
        <v>0</v>
      </c>
      <c r="R13" s="155">
        <f>Q13/Q20</f>
        <v>0</v>
      </c>
      <c r="S13" s="391">
        <f>R13+R14</f>
        <v>0</v>
      </c>
      <c r="T13" s="156">
        <f>Q13/Q21</f>
        <v>0</v>
      </c>
      <c r="U13" s="392">
        <f>T13+T14</f>
        <v>0</v>
      </c>
      <c r="W13" s="75" t="s">
        <v>345</v>
      </c>
      <c r="X13" s="94"/>
      <c r="Y13" s="74"/>
      <c r="Z13" s="351"/>
      <c r="AA13" s="74"/>
      <c r="AB13" s="353">
        <f>AA13+AA14</f>
        <v>0</v>
      </c>
    </row>
    <row r="14" spans="2:28" ht="20.25" customHeight="1">
      <c r="B14" s="157" t="s">
        <v>344</v>
      </c>
      <c r="C14" s="154">
        <f>COUNTIFS('1. All Data'!$AC$3:$AC$128,"LEADER",'1. All Data'!$H$3:$H$128,"Off Target")</f>
        <v>0</v>
      </c>
      <c r="D14" s="155">
        <f>C14/C20</f>
        <v>0</v>
      </c>
      <c r="E14" s="391"/>
      <c r="F14" s="156">
        <f>C14/C21</f>
        <v>0</v>
      </c>
      <c r="G14" s="392"/>
      <c r="I14" s="157" t="s">
        <v>344</v>
      </c>
      <c r="J14" s="154">
        <f>COUNTIFS('1. All Data'!$AC$3:$AC$128,"LEADER",'1. All Data'!$M$3:$M$128,"Off Target")</f>
        <v>0</v>
      </c>
      <c r="K14" s="155">
        <f>J14/J20</f>
        <v>0</v>
      </c>
      <c r="L14" s="391"/>
      <c r="M14" s="156">
        <f>J14/J21</f>
        <v>0</v>
      </c>
      <c r="N14" s="392"/>
      <c r="P14" s="157" t="s">
        <v>344</v>
      </c>
      <c r="Q14" s="154">
        <f>COUNTIFS('1. All Data'!$AC$3:$AC$128,"LEADER",'1. All Data'!$R$3:$R$128,"Off Target")</f>
        <v>0</v>
      </c>
      <c r="R14" s="155">
        <f>Q14/Q20</f>
        <v>0</v>
      </c>
      <c r="S14" s="391"/>
      <c r="T14" s="156">
        <f>Q14/Q21</f>
        <v>0</v>
      </c>
      <c r="U14" s="392"/>
      <c r="W14" s="75" t="s">
        <v>344</v>
      </c>
      <c r="X14" s="94"/>
      <c r="Y14" s="74"/>
      <c r="Z14" s="351"/>
      <c r="AA14" s="74"/>
      <c r="AB14" s="353"/>
    </row>
    <row r="15" spans="2:28" s="33" customFormat="1" ht="6.75" customHeight="1">
      <c r="B15" s="30"/>
      <c r="C15" s="44"/>
      <c r="D15" s="41"/>
      <c r="E15" s="41"/>
      <c r="F15" s="120"/>
      <c r="G15" s="45"/>
      <c r="I15" s="30"/>
      <c r="J15" s="44"/>
      <c r="K15" s="41"/>
      <c r="L15" s="41"/>
      <c r="M15" s="120"/>
      <c r="N15" s="45"/>
      <c r="P15" s="30"/>
      <c r="Q15" s="44"/>
      <c r="R15" s="41"/>
      <c r="S15" s="41"/>
      <c r="T15" s="120"/>
      <c r="U15" s="45"/>
      <c r="W15" s="30"/>
      <c r="X15" s="44"/>
      <c r="Y15" s="41"/>
      <c r="Z15" s="41"/>
      <c r="AA15" s="41"/>
      <c r="AB15" s="45"/>
    </row>
    <row r="16" spans="2:28" ht="15" customHeight="1">
      <c r="B16" s="160" t="s">
        <v>399</v>
      </c>
      <c r="C16" s="154">
        <f>COUNTIFS('1. All Data'!$AC$3:$AC$128,"LEADER",'1. All Data'!$H$3:$H$128,"Not yet due")</f>
        <v>6</v>
      </c>
      <c r="D16" s="158">
        <f>C16/C20</f>
        <v>0.35294117647058826</v>
      </c>
      <c r="E16" s="158">
        <f>D16</f>
        <v>0.35294117647058826</v>
      </c>
      <c r="F16" s="121"/>
      <c r="G16" s="47"/>
      <c r="I16" s="160" t="s">
        <v>399</v>
      </c>
      <c r="J16" s="154">
        <f>COUNTIFS('1. All Data'!$AC$3:$AC$128,"LEADER",'1. All Data'!$M$3:$M$128,"Not yet due")</f>
        <v>0</v>
      </c>
      <c r="K16" s="158">
        <f>J16/J20</f>
        <v>0</v>
      </c>
      <c r="L16" s="158">
        <f>K16</f>
        <v>0</v>
      </c>
      <c r="M16" s="121"/>
      <c r="N16" s="47"/>
      <c r="P16" s="160" t="s">
        <v>399</v>
      </c>
      <c r="Q16" s="154">
        <f>COUNTIFS('1. All Data'!$AC$3:$AC$128,"LEADER",'1. All Data'!$R$3:$R$128,"Not yet due")</f>
        <v>0</v>
      </c>
      <c r="R16" s="158">
        <f>Q16/Q20</f>
        <v>0</v>
      </c>
      <c r="S16" s="158">
        <f>R16</f>
        <v>0</v>
      </c>
      <c r="T16" s="121"/>
      <c r="U16" s="47"/>
      <c r="W16" s="76" t="s">
        <v>399</v>
      </c>
      <c r="X16" s="72"/>
      <c r="Y16" s="77"/>
      <c r="Z16" s="77"/>
      <c r="AA16" s="46"/>
      <c r="AB16" s="47"/>
    </row>
    <row r="17" spans="2:29" ht="15" customHeight="1">
      <c r="B17" s="160" t="s">
        <v>339</v>
      </c>
      <c r="C17" s="154">
        <f>COUNTIFS('1. All Data'!$AC$3:$AC$128,"LEADER",'1. All Data'!$H$3:$H$128,"Update not provided")</f>
        <v>0</v>
      </c>
      <c r="D17" s="158">
        <f>C17/C20</f>
        <v>0</v>
      </c>
      <c r="E17" s="158">
        <f>D17</f>
        <v>0</v>
      </c>
      <c r="F17" s="121"/>
      <c r="G17" s="49"/>
      <c r="I17" s="160" t="s">
        <v>339</v>
      </c>
      <c r="J17" s="154">
        <f>COUNTIFS('1. All Data'!$AC$3:$AC$128,"LEADER",'1. All Data'!$M$3:$M$128,"Update not provided")</f>
        <v>17</v>
      </c>
      <c r="K17" s="158">
        <f>J17/J20</f>
        <v>0.45945945945945948</v>
      </c>
      <c r="L17" s="158">
        <f>K17</f>
        <v>0.45945945945945948</v>
      </c>
      <c r="M17" s="121"/>
      <c r="N17" s="49"/>
      <c r="P17" s="160" t="s">
        <v>339</v>
      </c>
      <c r="Q17" s="154">
        <f>COUNTIFS('1. All Data'!$AC$3:$AC$128,"LEADER",'1. All Data'!$R$3:$R$128,"Update not provided")</f>
        <v>17</v>
      </c>
      <c r="R17" s="158">
        <f>Q17/Q20</f>
        <v>0.45945945945945948</v>
      </c>
      <c r="S17" s="158">
        <f>R17</f>
        <v>0.45945945945945948</v>
      </c>
      <c r="T17" s="121"/>
      <c r="U17" s="49"/>
      <c r="W17" s="76" t="s">
        <v>339</v>
      </c>
      <c r="X17" s="72"/>
      <c r="Y17" s="77"/>
      <c r="Z17" s="77"/>
      <c r="AA17" s="46"/>
      <c r="AB17" s="49"/>
    </row>
    <row r="18" spans="2:29" ht="15.75" customHeight="1">
      <c r="B18" s="161" t="s">
        <v>347</v>
      </c>
      <c r="C18" s="154">
        <f>COUNTIFS('1. All Data'!$AC$3:$AC$128,"LEADER",'1. All Data'!$H$3:$H$128,"Deferred")</f>
        <v>0</v>
      </c>
      <c r="D18" s="159">
        <f>C18/C20</f>
        <v>0</v>
      </c>
      <c r="E18" s="159">
        <f>D18</f>
        <v>0</v>
      </c>
      <c r="F18" s="122"/>
      <c r="G18" s="47"/>
      <c r="I18" s="161" t="s">
        <v>347</v>
      </c>
      <c r="J18" s="154">
        <f>COUNTIFS('1. All Data'!$AC$3:$AC$128,"LEADER",'1. All Data'!$M$3:$M$128,"Deferred")</f>
        <v>0</v>
      </c>
      <c r="K18" s="159">
        <f>J18/J20</f>
        <v>0</v>
      </c>
      <c r="L18" s="159">
        <f>K18</f>
        <v>0</v>
      </c>
      <c r="M18" s="122"/>
      <c r="N18" s="47"/>
      <c r="P18" s="161" t="s">
        <v>347</v>
      </c>
      <c r="Q18" s="154">
        <f>COUNTIFS('1. All Data'!$AC$3:$AC$128,"LEADER",'1. All Data'!$R$3:$R$128,"Deferred")</f>
        <v>0</v>
      </c>
      <c r="R18" s="159">
        <f>Q18/Q20</f>
        <v>0</v>
      </c>
      <c r="S18" s="159">
        <f>R18</f>
        <v>0</v>
      </c>
      <c r="T18" s="122"/>
      <c r="U18" s="47"/>
      <c r="W18" s="78" t="s">
        <v>347</v>
      </c>
      <c r="X18" s="72"/>
      <c r="Y18" s="79"/>
      <c r="Z18" s="79"/>
      <c r="AA18" s="51"/>
      <c r="AB18" s="47"/>
    </row>
    <row r="19" spans="2:29" ht="15.75" customHeight="1">
      <c r="B19" s="161" t="s">
        <v>348</v>
      </c>
      <c r="C19" s="154">
        <f>COUNTIFS('1. All Data'!$AC$3:$AC$128,"LEADER",'1. All Data'!$H$3:$H$128,"Deleted")</f>
        <v>0</v>
      </c>
      <c r="D19" s="159">
        <f>C19/C20</f>
        <v>0</v>
      </c>
      <c r="E19" s="159">
        <f>D19</f>
        <v>0</v>
      </c>
      <c r="F19" s="122"/>
      <c r="G19" s="123" t="s">
        <v>400</v>
      </c>
      <c r="I19" s="161" t="s">
        <v>348</v>
      </c>
      <c r="J19" s="154">
        <f>COUNTIFS('1. All Data'!$AC$3:$AC$128,"LEADER",'1. All Data'!$M$3:$M$128,"Deleted")</f>
        <v>0</v>
      </c>
      <c r="K19" s="159">
        <f>J19/J20</f>
        <v>0</v>
      </c>
      <c r="L19" s="159">
        <f>K19</f>
        <v>0</v>
      </c>
      <c r="M19" s="122"/>
      <c r="N19" s="123" t="s">
        <v>400</v>
      </c>
      <c r="P19" s="161" t="s">
        <v>348</v>
      </c>
      <c r="Q19" s="154">
        <f>COUNTIFS('1. All Data'!$AC$3:$AC$128,"LEADER",'1. All Data'!$R$3:$R$128,"Deleted")</f>
        <v>0</v>
      </c>
      <c r="R19" s="159">
        <f>Q19/Q20</f>
        <v>0</v>
      </c>
      <c r="S19" s="159">
        <f>R19</f>
        <v>0</v>
      </c>
      <c r="T19" s="122"/>
      <c r="U19" s="123" t="s">
        <v>400</v>
      </c>
      <c r="W19" s="78" t="s">
        <v>348</v>
      </c>
      <c r="X19" s="72"/>
      <c r="Y19" s="79"/>
      <c r="Z19" s="79"/>
      <c r="AA19" s="51"/>
      <c r="AB19" s="53" t="s">
        <v>400</v>
      </c>
    </row>
    <row r="20" spans="2:29" ht="15.75" customHeight="1">
      <c r="B20" s="162" t="s">
        <v>401</v>
      </c>
      <c r="C20" s="163">
        <f>SUM(C6:C19)</f>
        <v>17</v>
      </c>
      <c r="D20" s="51"/>
      <c r="E20" s="51"/>
      <c r="F20" s="124"/>
      <c r="G20" s="47"/>
      <c r="I20" s="162" t="s">
        <v>401</v>
      </c>
      <c r="J20" s="163">
        <f>SUM(J6:J19)</f>
        <v>37</v>
      </c>
      <c r="K20" s="51"/>
      <c r="L20" s="51"/>
      <c r="M20" s="124"/>
      <c r="N20" s="47"/>
      <c r="P20" s="162" t="s">
        <v>401</v>
      </c>
      <c r="Q20" s="163">
        <f>SUM(Q6:Q19)</f>
        <v>37</v>
      </c>
      <c r="R20" s="51"/>
      <c r="S20" s="51"/>
      <c r="T20" s="124"/>
      <c r="U20" s="47"/>
      <c r="W20" s="80" t="s">
        <v>401</v>
      </c>
      <c r="X20" s="81"/>
      <c r="Y20" s="51"/>
      <c r="Z20" s="51"/>
      <c r="AA20" s="47"/>
      <c r="AB20" s="47"/>
    </row>
    <row r="21" spans="2:29" ht="15.75" customHeight="1">
      <c r="B21" s="162" t="s">
        <v>402</v>
      </c>
      <c r="C21" s="163">
        <f>C20-C19-C18-C17-C16</f>
        <v>11</v>
      </c>
      <c r="D21" s="47"/>
      <c r="E21" s="47"/>
      <c r="F21" s="124"/>
      <c r="G21" s="47"/>
      <c r="I21" s="162" t="s">
        <v>402</v>
      </c>
      <c r="J21" s="163">
        <f>J20-J19-J18-J17-J16</f>
        <v>20</v>
      </c>
      <c r="K21" s="47"/>
      <c r="L21" s="47"/>
      <c r="M21" s="124"/>
      <c r="N21" s="47"/>
      <c r="P21" s="162" t="s">
        <v>402</v>
      </c>
      <c r="Q21" s="163">
        <f>Q20-Q19-Q18-Q17-Q16</f>
        <v>20</v>
      </c>
      <c r="R21" s="47"/>
      <c r="S21" s="47"/>
      <c r="T21" s="124"/>
      <c r="U21" s="47"/>
      <c r="W21" s="80" t="s">
        <v>402</v>
      </c>
      <c r="X21" s="81"/>
      <c r="Y21" s="47"/>
      <c r="Z21" s="47"/>
      <c r="AA21" s="47"/>
      <c r="AB21" s="47"/>
    </row>
    <row r="22" spans="2:29" ht="15.75" customHeight="1">
      <c r="W22" s="54"/>
      <c r="AA22" s="48"/>
    </row>
    <row r="23" spans="2:29" ht="15.75" customHeight="1">
      <c r="AA23" s="48"/>
    </row>
    <row r="24" spans="2:29" s="33" customFormat="1" ht="15.75" customHeight="1">
      <c r="B24" s="60"/>
      <c r="C24" s="32"/>
      <c r="D24" s="32"/>
      <c r="E24" s="32"/>
      <c r="F24" s="124"/>
      <c r="G24" s="32"/>
      <c r="I24" s="60"/>
      <c r="J24" s="32"/>
      <c r="K24" s="32"/>
      <c r="L24" s="32"/>
      <c r="M24" s="124"/>
      <c r="N24" s="32"/>
      <c r="P24" s="60"/>
      <c r="Q24" s="32"/>
      <c r="R24" s="32"/>
      <c r="S24" s="32"/>
      <c r="T24" s="124"/>
      <c r="U24" s="32"/>
      <c r="W24" s="32"/>
      <c r="X24" s="32"/>
      <c r="Y24" s="32"/>
      <c r="Z24" s="32"/>
      <c r="AA24" s="174"/>
      <c r="AB24" s="52"/>
    </row>
    <row r="25" spans="2:29" ht="15" customHeight="1">
      <c r="W25" s="176"/>
      <c r="X25" s="47"/>
      <c r="Y25" s="47"/>
      <c r="Z25" s="47"/>
      <c r="AA25" s="47"/>
      <c r="AB25" s="51"/>
      <c r="AC25" s="33"/>
    </row>
    <row r="26" spans="2:29" s="33" customFormat="1" ht="15.75">
      <c r="B26" s="164" t="s">
        <v>431</v>
      </c>
      <c r="C26" s="165"/>
      <c r="D26" s="165"/>
      <c r="E26" s="165"/>
      <c r="F26" s="166"/>
      <c r="G26" s="165"/>
      <c r="I26" s="164" t="s">
        <v>431</v>
      </c>
      <c r="J26" s="165"/>
      <c r="K26" s="165"/>
      <c r="L26" s="165"/>
      <c r="M26" s="166"/>
      <c r="N26" s="165"/>
      <c r="P26" s="164" t="s">
        <v>431</v>
      </c>
      <c r="Q26" s="165"/>
      <c r="R26" s="165"/>
      <c r="S26" s="165"/>
      <c r="T26" s="166"/>
      <c r="U26" s="165"/>
      <c r="W26" s="164" t="s">
        <v>430</v>
      </c>
      <c r="X26" s="165"/>
      <c r="Y26" s="165"/>
      <c r="Z26" s="165"/>
      <c r="AA26" s="166"/>
      <c r="AB26" s="165"/>
    </row>
    <row r="27" spans="2:29" ht="42" customHeight="1">
      <c r="B27" s="167" t="s">
        <v>392</v>
      </c>
      <c r="C27" s="168" t="s">
        <v>393</v>
      </c>
      <c r="D27" s="168" t="s">
        <v>394</v>
      </c>
      <c r="E27" s="168" t="s">
        <v>395</v>
      </c>
      <c r="F27" s="167" t="s">
        <v>396</v>
      </c>
      <c r="G27" s="168" t="s">
        <v>397</v>
      </c>
      <c r="I27" s="167" t="s">
        <v>392</v>
      </c>
      <c r="J27" s="168" t="s">
        <v>393</v>
      </c>
      <c r="K27" s="168" t="s">
        <v>394</v>
      </c>
      <c r="L27" s="168" t="s">
        <v>395</v>
      </c>
      <c r="M27" s="167" t="s">
        <v>396</v>
      </c>
      <c r="N27" s="168" t="s">
        <v>397</v>
      </c>
      <c r="P27" s="167" t="s">
        <v>392</v>
      </c>
      <c r="Q27" s="168" t="s">
        <v>393</v>
      </c>
      <c r="R27" s="168" t="s">
        <v>394</v>
      </c>
      <c r="S27" s="168" t="s">
        <v>395</v>
      </c>
      <c r="T27" s="167" t="s">
        <v>396</v>
      </c>
      <c r="U27" s="168" t="s">
        <v>397</v>
      </c>
      <c r="W27" s="85" t="s">
        <v>392</v>
      </c>
      <c r="X27" s="85" t="s">
        <v>393</v>
      </c>
      <c r="Y27" s="85" t="s">
        <v>394</v>
      </c>
      <c r="Z27" s="85" t="s">
        <v>395</v>
      </c>
      <c r="AA27" s="85" t="s">
        <v>396</v>
      </c>
      <c r="AB27" s="85" t="s">
        <v>397</v>
      </c>
      <c r="AC27" s="33"/>
    </row>
    <row r="28" spans="2:29" s="33" customFormat="1" ht="6" customHeight="1">
      <c r="B28" s="30"/>
      <c r="C28" s="31"/>
      <c r="D28" s="31"/>
      <c r="E28" s="31"/>
      <c r="F28" s="30"/>
      <c r="G28" s="31"/>
      <c r="I28" s="30"/>
      <c r="J28" s="31"/>
      <c r="K28" s="31"/>
      <c r="L28" s="31"/>
      <c r="M28" s="30"/>
      <c r="N28" s="31"/>
      <c r="P28" s="30"/>
      <c r="Q28" s="31"/>
      <c r="R28" s="31"/>
      <c r="S28" s="31"/>
      <c r="T28" s="30"/>
      <c r="U28" s="31"/>
      <c r="W28" s="30"/>
      <c r="X28" s="31"/>
      <c r="Y28" s="31"/>
      <c r="Z28" s="31"/>
      <c r="AA28" s="31"/>
      <c r="AB28" s="31"/>
    </row>
    <row r="29" spans="2:29" ht="21.75" customHeight="1">
      <c r="B29" s="153" t="s">
        <v>398</v>
      </c>
      <c r="C29" s="154">
        <f>COUNTIFS('1. All Data'!$AC$3:$AC$128,"Environment &amp; Housing",'1. All Data'!$H$3:$H$128,"Fully Achieved")</f>
        <v>3</v>
      </c>
      <c r="D29" s="155">
        <f>C29/C43</f>
        <v>9.375E-2</v>
      </c>
      <c r="E29" s="391">
        <f>D29+D30</f>
        <v>0.625</v>
      </c>
      <c r="F29" s="156">
        <f>C29/C44</f>
        <v>0.13636363636363635</v>
      </c>
      <c r="G29" s="399">
        <f>F29+F30</f>
        <v>0.90909090909090906</v>
      </c>
      <c r="I29" s="153" t="s">
        <v>398</v>
      </c>
      <c r="J29" s="154">
        <f>COUNTIFS('1. All Data'!$AC$3:$AC$128,"Environment &amp; Housing",'1. All Data'!$M$3:$M$128,"Fully Achieved")</f>
        <v>0</v>
      </c>
      <c r="K29" s="155">
        <f>J29/J43</f>
        <v>0</v>
      </c>
      <c r="L29" s="391">
        <f>K29+K30</f>
        <v>0</v>
      </c>
      <c r="M29" s="156">
        <f>J29/J44</f>
        <v>0</v>
      </c>
      <c r="N29" s="399">
        <f>M29+M30</f>
        <v>0</v>
      </c>
      <c r="P29" s="153" t="s">
        <v>398</v>
      </c>
      <c r="Q29" s="154">
        <f>COUNTIFS('1. All Data'!$AC$3:$AC$128,"Environment &amp; Housing",'1. All Data'!$R$3:$R$128,"Fully Achieved")</f>
        <v>0</v>
      </c>
      <c r="R29" s="155">
        <f>Q29/Q43</f>
        <v>0</v>
      </c>
      <c r="S29" s="391">
        <f>R29+R30</f>
        <v>0</v>
      </c>
      <c r="T29" s="156">
        <f>Q29/Q44</f>
        <v>0</v>
      </c>
      <c r="U29" s="399">
        <f>T29+T30</f>
        <v>0</v>
      </c>
      <c r="W29" s="71" t="s">
        <v>398</v>
      </c>
      <c r="X29" s="72"/>
      <c r="Y29" s="74"/>
      <c r="Z29" s="351"/>
      <c r="AA29" s="74"/>
      <c r="AB29" s="366">
        <f>AA29+AA30</f>
        <v>0</v>
      </c>
      <c r="AC29" s="33"/>
    </row>
    <row r="30" spans="2:29" ht="18.75" customHeight="1">
      <c r="B30" s="153" t="s">
        <v>349</v>
      </c>
      <c r="C30" s="154">
        <f>COUNTIFS('1. All Data'!$AC$3:$AC$128,"Environment &amp; Housing",'1. All Data'!$H$3:$H$128,"On Track to be Achieved")</f>
        <v>17</v>
      </c>
      <c r="D30" s="155">
        <f>C30/C43</f>
        <v>0.53125</v>
      </c>
      <c r="E30" s="391"/>
      <c r="F30" s="156">
        <f>C30/C44</f>
        <v>0.77272727272727271</v>
      </c>
      <c r="G30" s="399"/>
      <c r="I30" s="153" t="s">
        <v>349</v>
      </c>
      <c r="J30" s="154">
        <f>COUNTIFS('1. All Data'!$AC$3:$AC$128,"Environment &amp; Housing",'1. All Data'!$M$3:$M$128,"On Track to be Achieved")</f>
        <v>0</v>
      </c>
      <c r="K30" s="155">
        <f>J30/J43</f>
        <v>0</v>
      </c>
      <c r="L30" s="391"/>
      <c r="M30" s="156">
        <f>J30/J44</f>
        <v>0</v>
      </c>
      <c r="N30" s="399"/>
      <c r="P30" s="153" t="s">
        <v>349</v>
      </c>
      <c r="Q30" s="154">
        <f>COUNTIFS('1. All Data'!$AC$3:$AC$128,"Environment &amp; Housing",'1. All Data'!$R$3:$R$128,"On Track to be Achieved")</f>
        <v>0</v>
      </c>
      <c r="R30" s="155">
        <f>Q30/Q43</f>
        <v>0</v>
      </c>
      <c r="S30" s="391"/>
      <c r="T30" s="156">
        <f>Q30/Q44</f>
        <v>0</v>
      </c>
      <c r="U30" s="399"/>
      <c r="W30" s="71" t="s">
        <v>349</v>
      </c>
      <c r="X30" s="72"/>
      <c r="Y30" s="74"/>
      <c r="Z30" s="351"/>
      <c r="AA30" s="74"/>
      <c r="AB30" s="366"/>
      <c r="AC30" s="33"/>
    </row>
    <row r="31" spans="2:29" s="33" customFormat="1" ht="6" customHeight="1">
      <c r="B31" s="30"/>
      <c r="C31" s="44"/>
      <c r="D31" s="41"/>
      <c r="E31" s="41"/>
      <c r="F31" s="120"/>
      <c r="G31" s="42"/>
      <c r="I31" s="30"/>
      <c r="J31" s="44"/>
      <c r="K31" s="41"/>
      <c r="L31" s="41"/>
      <c r="M31" s="120"/>
      <c r="N31" s="42"/>
      <c r="P31" s="30"/>
      <c r="Q31" s="44"/>
      <c r="R31" s="41"/>
      <c r="S31" s="41"/>
      <c r="T31" s="120"/>
      <c r="U31" s="42"/>
      <c r="W31" s="34"/>
      <c r="X31" s="35"/>
      <c r="Y31" s="36"/>
      <c r="Z31" s="36"/>
      <c r="AA31" s="36"/>
      <c r="AB31" s="37"/>
    </row>
    <row r="32" spans="2:29" ht="21" customHeight="1">
      <c r="B32" s="385" t="s">
        <v>350</v>
      </c>
      <c r="C32" s="393">
        <f>COUNTIFS('1. All Data'!$AC$3:$AC$128,"Environment &amp; Housing",'1. All Data'!$H$3:$H$128,"In Danger of Falling Behind Target")</f>
        <v>2</v>
      </c>
      <c r="D32" s="396">
        <f>C32/C43</f>
        <v>6.25E-2</v>
      </c>
      <c r="E32" s="396">
        <f>D32</f>
        <v>6.25E-2</v>
      </c>
      <c r="F32" s="379">
        <f>C32/C44</f>
        <v>9.0909090909090912E-2</v>
      </c>
      <c r="G32" s="382">
        <f>F32</f>
        <v>9.0909090909090912E-2</v>
      </c>
      <c r="I32" s="385" t="s">
        <v>350</v>
      </c>
      <c r="J32" s="388">
        <f>COUNTIFS('1. All Data'!$AC$3:$AC$128,"Environment &amp; Housing",'1. All Data'!$M$3:$M$128,"In Danger of Falling Behind Target")</f>
        <v>0</v>
      </c>
      <c r="K32" s="396">
        <f>J32/J43</f>
        <v>0</v>
      </c>
      <c r="L32" s="396">
        <f>K32</f>
        <v>0</v>
      </c>
      <c r="M32" s="379">
        <f>J32/J44</f>
        <v>0</v>
      </c>
      <c r="N32" s="382">
        <f>M32</f>
        <v>0</v>
      </c>
      <c r="P32" s="385" t="s">
        <v>350</v>
      </c>
      <c r="Q32" s="388">
        <f>COUNTIFS('1. All Data'!$AC$3:$AC$128,"Environment &amp; Housing",'1. All Data'!$R$3:$R$128,"In Danger of Falling Behind Target")</f>
        <v>0</v>
      </c>
      <c r="R32" s="396">
        <f>Q32/Q43</f>
        <v>0</v>
      </c>
      <c r="S32" s="396">
        <f>R32</f>
        <v>0</v>
      </c>
      <c r="T32" s="379">
        <f>Q32/Q44</f>
        <v>0</v>
      </c>
      <c r="U32" s="382">
        <f>T32</f>
        <v>0</v>
      </c>
      <c r="W32" s="92" t="s">
        <v>342</v>
      </c>
      <c r="X32" s="93"/>
      <c r="Y32" s="74"/>
      <c r="Z32" s="351"/>
      <c r="AA32" s="74"/>
      <c r="AB32" s="352">
        <f>AA32</f>
        <v>0</v>
      </c>
      <c r="AC32" s="33"/>
    </row>
    <row r="33" spans="2:29" ht="20.25" customHeight="1">
      <c r="B33" s="386"/>
      <c r="C33" s="394"/>
      <c r="D33" s="397"/>
      <c r="E33" s="397"/>
      <c r="F33" s="380"/>
      <c r="G33" s="383"/>
      <c r="I33" s="386"/>
      <c r="J33" s="389">
        <f>COUNTIFS('1. All Data'!$AC$3:$AC$128,"LEADER",'1. All Data'!$H$3:$H$128,"On Track to be Achieved")</f>
        <v>10</v>
      </c>
      <c r="K33" s="397"/>
      <c r="L33" s="397"/>
      <c r="M33" s="380"/>
      <c r="N33" s="383"/>
      <c r="P33" s="386"/>
      <c r="Q33" s="389">
        <f>COUNTIFS('1. All Data'!$AC$3:$AC$128,"LEADER",'1. All Data'!$H$3:$H$128,"On Track to be Achieved")</f>
        <v>10</v>
      </c>
      <c r="R33" s="397"/>
      <c r="S33" s="397"/>
      <c r="T33" s="380"/>
      <c r="U33" s="383"/>
      <c r="W33" s="92" t="s">
        <v>343</v>
      </c>
      <c r="X33" s="93"/>
      <c r="Y33" s="74"/>
      <c r="Z33" s="351"/>
      <c r="AA33" s="74"/>
      <c r="AB33" s="352"/>
      <c r="AC33" s="33"/>
    </row>
    <row r="34" spans="2:29" ht="15.75" customHeight="1">
      <c r="B34" s="387"/>
      <c r="C34" s="395"/>
      <c r="D34" s="398"/>
      <c r="E34" s="398"/>
      <c r="F34" s="381"/>
      <c r="G34" s="384"/>
      <c r="I34" s="387"/>
      <c r="J34" s="390">
        <f>COUNTIFS('1. All Data'!$AC$3:$AC$128,"LEADER",'1. All Data'!$H$3:$H$128,"On Track to be Achieved")</f>
        <v>10</v>
      </c>
      <c r="K34" s="398"/>
      <c r="L34" s="398"/>
      <c r="M34" s="381"/>
      <c r="N34" s="384"/>
      <c r="P34" s="387"/>
      <c r="Q34" s="390">
        <f>COUNTIFS('1. All Data'!$AC$3:$AC$128,"LEADER",'1. All Data'!$H$3:$H$128,"On Track to be Achieved")</f>
        <v>10</v>
      </c>
      <c r="R34" s="398"/>
      <c r="S34" s="398"/>
      <c r="T34" s="381"/>
      <c r="U34" s="384"/>
      <c r="W34" s="92" t="s">
        <v>346</v>
      </c>
      <c r="X34" s="93"/>
      <c r="Y34" s="74"/>
      <c r="Z34" s="351"/>
      <c r="AA34" s="74"/>
      <c r="AB34" s="352"/>
      <c r="AC34" s="33"/>
    </row>
    <row r="35" spans="2:29" s="33" customFormat="1" ht="6" customHeight="1">
      <c r="B35" s="30"/>
      <c r="C35" s="31"/>
      <c r="D35" s="41"/>
      <c r="E35" s="41"/>
      <c r="F35" s="120"/>
      <c r="G35" s="42"/>
      <c r="I35" s="30"/>
      <c r="J35" s="31"/>
      <c r="K35" s="41"/>
      <c r="L35" s="41"/>
      <c r="M35" s="120"/>
      <c r="N35" s="42"/>
      <c r="P35" s="30"/>
      <c r="Q35" s="31"/>
      <c r="R35" s="41"/>
      <c r="S35" s="41"/>
      <c r="T35" s="120"/>
      <c r="U35" s="42"/>
      <c r="W35" s="30"/>
      <c r="X35" s="31"/>
      <c r="Y35" s="41"/>
      <c r="Z35" s="41"/>
      <c r="AA35" s="41"/>
      <c r="AB35" s="42"/>
    </row>
    <row r="36" spans="2:29" ht="20.25" customHeight="1">
      <c r="B36" s="157" t="s">
        <v>351</v>
      </c>
      <c r="C36" s="154">
        <f>COUNTIFS('1. All Data'!$AC$3:$AC$128,"Environment &amp; Housing",'1. All Data'!$H$3:$H$128,"Completed Behind Schedule")</f>
        <v>0</v>
      </c>
      <c r="D36" s="155">
        <f>C36/C43</f>
        <v>0</v>
      </c>
      <c r="E36" s="391">
        <f>D36+D37</f>
        <v>0</v>
      </c>
      <c r="F36" s="156">
        <f>C36/C44</f>
        <v>0</v>
      </c>
      <c r="G36" s="392">
        <f>F36+F37</f>
        <v>0</v>
      </c>
      <c r="I36" s="157" t="s">
        <v>351</v>
      </c>
      <c r="J36" s="154">
        <f>COUNTIFS('1. All Data'!$AC$3:$AC$128,"Environment &amp; Housing",'1. All Data'!$M$3:$M$128,"Completed Behind Schedule")</f>
        <v>0</v>
      </c>
      <c r="K36" s="155">
        <f>J36/J43</f>
        <v>0</v>
      </c>
      <c r="L36" s="391">
        <f>K36+K37</f>
        <v>0</v>
      </c>
      <c r="M36" s="156">
        <f>J36/J44</f>
        <v>0</v>
      </c>
      <c r="N36" s="392">
        <f>M36+M37</f>
        <v>0</v>
      </c>
      <c r="P36" s="157" t="s">
        <v>351</v>
      </c>
      <c r="Q36" s="154">
        <f>COUNTIFS('1. All Data'!$AC$3:$AC$128,"Environment &amp; Housing",'1. All Data'!$R$3:$R$128,"Completed Behind Schedule")</f>
        <v>0</v>
      </c>
      <c r="R36" s="155">
        <f>Q36/Q43</f>
        <v>0</v>
      </c>
      <c r="S36" s="391">
        <f>R36+R37</f>
        <v>0</v>
      </c>
      <c r="T36" s="156">
        <f>Q36/Q44</f>
        <v>0</v>
      </c>
      <c r="U36" s="392">
        <f>T36+T37</f>
        <v>0</v>
      </c>
      <c r="W36" s="75" t="s">
        <v>345</v>
      </c>
      <c r="X36" s="94"/>
      <c r="Y36" s="74"/>
      <c r="Z36" s="351"/>
      <c r="AA36" s="74"/>
      <c r="AB36" s="353">
        <f>AA36+AA37</f>
        <v>0</v>
      </c>
      <c r="AC36" s="33"/>
    </row>
    <row r="37" spans="2:29" ht="20.25" customHeight="1">
      <c r="B37" s="157" t="s">
        <v>344</v>
      </c>
      <c r="C37" s="154">
        <f>COUNTIFS('1. All Data'!$AC$3:$AC$128,"Environment &amp; Housing",'1. All Data'!$H$3:$H$128,"Off Target")</f>
        <v>0</v>
      </c>
      <c r="D37" s="155">
        <f>C37/C43</f>
        <v>0</v>
      </c>
      <c r="E37" s="391"/>
      <c r="F37" s="156">
        <f>C37/C44</f>
        <v>0</v>
      </c>
      <c r="G37" s="392"/>
      <c r="I37" s="157" t="s">
        <v>344</v>
      </c>
      <c r="J37" s="154">
        <f>COUNTIFS('1. All Data'!$AC$3:$AC$128,"Environment &amp; Housing",'1. All Data'!$M$3:$M$128,"Off Target")</f>
        <v>0</v>
      </c>
      <c r="K37" s="155">
        <f>J37/J43</f>
        <v>0</v>
      </c>
      <c r="L37" s="391"/>
      <c r="M37" s="156">
        <f>J37/J44</f>
        <v>0</v>
      </c>
      <c r="N37" s="392"/>
      <c r="P37" s="157" t="s">
        <v>344</v>
      </c>
      <c r="Q37" s="154">
        <f>COUNTIFS('1. All Data'!$AC$3:$AC$128,"Environment &amp; Housing",'1. All Data'!$R$3:$R$128,"Off Target")</f>
        <v>0</v>
      </c>
      <c r="R37" s="155">
        <f>Q37/Q43</f>
        <v>0</v>
      </c>
      <c r="S37" s="391"/>
      <c r="T37" s="156">
        <f>Q37/Q44</f>
        <v>0</v>
      </c>
      <c r="U37" s="392"/>
      <c r="W37" s="75" t="s">
        <v>344</v>
      </c>
      <c r="X37" s="94"/>
      <c r="Y37" s="74"/>
      <c r="Z37" s="351"/>
      <c r="AA37" s="74"/>
      <c r="AB37" s="353"/>
      <c r="AC37" s="33"/>
    </row>
    <row r="38" spans="2:29" s="33" customFormat="1" ht="6.75" customHeight="1">
      <c r="B38" s="30"/>
      <c r="C38" s="44"/>
      <c r="D38" s="41"/>
      <c r="E38" s="41"/>
      <c r="F38" s="120"/>
      <c r="G38" s="45"/>
      <c r="I38" s="30"/>
      <c r="J38" s="44"/>
      <c r="K38" s="41"/>
      <c r="L38" s="41"/>
      <c r="M38" s="120"/>
      <c r="N38" s="45"/>
      <c r="P38" s="30"/>
      <c r="Q38" s="44"/>
      <c r="R38" s="41"/>
      <c r="S38" s="41"/>
      <c r="T38" s="120"/>
      <c r="U38" s="45"/>
      <c r="W38" s="30"/>
      <c r="X38" s="44"/>
      <c r="Y38" s="41"/>
      <c r="Z38" s="41"/>
      <c r="AA38" s="41"/>
      <c r="AB38" s="45"/>
    </row>
    <row r="39" spans="2:29" ht="15" customHeight="1">
      <c r="B39" s="160" t="s">
        <v>399</v>
      </c>
      <c r="C39" s="154">
        <f>COUNTIFS('1. All Data'!$AC$3:$AC$128,"Environment &amp; Housing",'1. All Data'!$H$3:$H$128,"Not yet due")</f>
        <v>10</v>
      </c>
      <c r="D39" s="158">
        <f>C39/C43</f>
        <v>0.3125</v>
      </c>
      <c r="E39" s="158">
        <f>D39</f>
        <v>0.3125</v>
      </c>
      <c r="F39" s="121"/>
      <c r="G39" s="47"/>
      <c r="I39" s="160" t="s">
        <v>399</v>
      </c>
      <c r="J39" s="154">
        <f>COUNTIFS('1. All Data'!$AC$3:$AC$128,"Environment &amp; Housing",'1. All Data'!$M$3:$M$128,"Not yet due")</f>
        <v>0</v>
      </c>
      <c r="K39" s="158">
        <f>J39/J43</f>
        <v>0</v>
      </c>
      <c r="L39" s="158">
        <f>K39</f>
        <v>0</v>
      </c>
      <c r="M39" s="121"/>
      <c r="N39" s="47"/>
      <c r="P39" s="160" t="s">
        <v>399</v>
      </c>
      <c r="Q39" s="154">
        <f>COUNTIFS('1. All Data'!$AC$3:$AC$128,"Environment &amp; Housing",'1. All Data'!$R$3:$R$128,"Not yet due")</f>
        <v>0</v>
      </c>
      <c r="R39" s="158">
        <f>Q39/Q43</f>
        <v>0</v>
      </c>
      <c r="S39" s="158">
        <f>R39</f>
        <v>0</v>
      </c>
      <c r="T39" s="121"/>
      <c r="U39" s="47"/>
      <c r="W39" s="76" t="s">
        <v>399</v>
      </c>
      <c r="X39" s="72"/>
      <c r="Y39" s="77"/>
      <c r="Z39" s="77"/>
      <c r="AA39" s="46"/>
      <c r="AB39" s="47"/>
      <c r="AC39" s="33"/>
    </row>
    <row r="40" spans="2:29" ht="15" customHeight="1">
      <c r="B40" s="160" t="s">
        <v>339</v>
      </c>
      <c r="C40" s="154">
        <f>COUNTIFS('1. All Data'!$AC$3:$AC$128,"Environment &amp; Housing",'1. All Data'!$H$3:$H$128,"Update not provided")</f>
        <v>0</v>
      </c>
      <c r="D40" s="158">
        <f>C40/C43</f>
        <v>0</v>
      </c>
      <c r="E40" s="158">
        <f>D40</f>
        <v>0</v>
      </c>
      <c r="F40" s="121"/>
      <c r="G40" s="49"/>
      <c r="I40" s="160" t="s">
        <v>339</v>
      </c>
      <c r="J40" s="154">
        <f>COUNTIFS('1. All Data'!$AC$3:$AC$128,"Environment &amp; Housing",'1. All Data'!$M$3:$M$128,"Update not provided")</f>
        <v>32</v>
      </c>
      <c r="K40" s="158">
        <f>J40/J43</f>
        <v>0.61538461538461542</v>
      </c>
      <c r="L40" s="158">
        <f>K40</f>
        <v>0.61538461538461542</v>
      </c>
      <c r="M40" s="121"/>
      <c r="N40" s="49"/>
      <c r="P40" s="160" t="s">
        <v>339</v>
      </c>
      <c r="Q40" s="154">
        <f>COUNTIFS('1. All Data'!$AC$3:$AC$128,"Environment &amp; Housing",'1. All Data'!$R$3:$R$128,"Update not provided")</f>
        <v>32</v>
      </c>
      <c r="R40" s="158">
        <f>Q40/Q43</f>
        <v>0.61538461538461542</v>
      </c>
      <c r="S40" s="158">
        <f>R40</f>
        <v>0.61538461538461542</v>
      </c>
      <c r="T40" s="121"/>
      <c r="U40" s="49"/>
      <c r="W40" s="76" t="s">
        <v>339</v>
      </c>
      <c r="X40" s="72"/>
      <c r="Y40" s="77"/>
      <c r="Z40" s="77"/>
      <c r="AA40" s="46"/>
      <c r="AB40" s="49"/>
      <c r="AC40" s="33"/>
    </row>
    <row r="41" spans="2:29" ht="15.75" customHeight="1">
      <c r="B41" s="161" t="s">
        <v>347</v>
      </c>
      <c r="C41" s="154">
        <f>COUNTIFS('1. All Data'!$AC$3:$AC$128,"Environment &amp; Housing",'1. All Data'!$H$3:$H$128,"Deferred")</f>
        <v>0</v>
      </c>
      <c r="D41" s="159">
        <f>C41/C43</f>
        <v>0</v>
      </c>
      <c r="E41" s="159">
        <f>D41</f>
        <v>0</v>
      </c>
      <c r="F41" s="122"/>
      <c r="G41" s="47"/>
      <c r="I41" s="161" t="s">
        <v>347</v>
      </c>
      <c r="J41" s="154">
        <f>COUNTIFS('1. All Data'!$AC$3:$AC$128,"Environment &amp; Housing",'1. All Data'!$M$3:$M$128,"Deferred")</f>
        <v>0</v>
      </c>
      <c r="K41" s="159">
        <f>J41/J43</f>
        <v>0</v>
      </c>
      <c r="L41" s="159">
        <f>K41</f>
        <v>0</v>
      </c>
      <c r="M41" s="122"/>
      <c r="N41" s="47"/>
      <c r="P41" s="161" t="s">
        <v>347</v>
      </c>
      <c r="Q41" s="154">
        <f>COUNTIFS('1. All Data'!$AC$3:$AC$128,"Environment &amp; Housing",'1. All Data'!$R$3:$R$128,"Deferred")</f>
        <v>0</v>
      </c>
      <c r="R41" s="159">
        <f>Q41/Q43</f>
        <v>0</v>
      </c>
      <c r="S41" s="159">
        <f>R41</f>
        <v>0</v>
      </c>
      <c r="T41" s="122"/>
      <c r="U41" s="47"/>
      <c r="W41" s="78" t="s">
        <v>347</v>
      </c>
      <c r="X41" s="72"/>
      <c r="Y41" s="79"/>
      <c r="Z41" s="79"/>
      <c r="AA41" s="51"/>
      <c r="AB41" s="47"/>
      <c r="AC41" s="33"/>
    </row>
    <row r="42" spans="2:29" ht="15.75" customHeight="1">
      <c r="B42" s="161" t="s">
        <v>348</v>
      </c>
      <c r="C42" s="154">
        <f>COUNTIFS('1. All Data'!$AC$3:$AC$128,"Environment &amp; Housing",'1. All Data'!$H$3:$H$128,"Deleted")</f>
        <v>0</v>
      </c>
      <c r="D42" s="159">
        <f>C42/C43</f>
        <v>0</v>
      </c>
      <c r="E42" s="159">
        <f>D42</f>
        <v>0</v>
      </c>
      <c r="F42" s="122"/>
      <c r="G42" s="123" t="s">
        <v>400</v>
      </c>
      <c r="I42" s="161" t="s">
        <v>348</v>
      </c>
      <c r="J42" s="154">
        <f>COUNTIFS('1. All Data'!$AC$3:$AC$128,"Environment &amp; Housing",'1. All Data'!$M$3:$M$128,"Deleted")</f>
        <v>0</v>
      </c>
      <c r="K42" s="159">
        <f>J42/J43</f>
        <v>0</v>
      </c>
      <c r="L42" s="159">
        <f>K42</f>
        <v>0</v>
      </c>
      <c r="M42" s="122"/>
      <c r="N42" s="123" t="s">
        <v>400</v>
      </c>
      <c r="P42" s="161" t="s">
        <v>348</v>
      </c>
      <c r="Q42" s="154">
        <f>COUNTIFS('1. All Data'!$AC$3:$AC$128,"Environment &amp; Housing",'1. All Data'!$R$3:$R$128,"Deleted")</f>
        <v>0</v>
      </c>
      <c r="R42" s="159">
        <f>Q42/Q43</f>
        <v>0</v>
      </c>
      <c r="S42" s="159">
        <f>R42</f>
        <v>0</v>
      </c>
      <c r="T42" s="122"/>
      <c r="U42" s="123" t="s">
        <v>400</v>
      </c>
      <c r="W42" s="78" t="s">
        <v>348</v>
      </c>
      <c r="X42" s="72"/>
      <c r="Y42" s="79"/>
      <c r="Z42" s="79"/>
      <c r="AA42" s="51"/>
      <c r="AB42" s="53" t="s">
        <v>400</v>
      </c>
      <c r="AC42" s="33"/>
    </row>
    <row r="43" spans="2:29" ht="15.75" customHeight="1">
      <c r="B43" s="162" t="s">
        <v>401</v>
      </c>
      <c r="C43" s="163">
        <f>SUM(C29:C42)</f>
        <v>32</v>
      </c>
      <c r="D43" s="51"/>
      <c r="E43" s="51"/>
      <c r="F43" s="124"/>
      <c r="G43" s="47"/>
      <c r="I43" s="162" t="s">
        <v>401</v>
      </c>
      <c r="J43" s="163">
        <f>SUM(J29:J42)</f>
        <v>52</v>
      </c>
      <c r="K43" s="51"/>
      <c r="L43" s="51"/>
      <c r="M43" s="124"/>
      <c r="N43" s="47"/>
      <c r="P43" s="162" t="s">
        <v>401</v>
      </c>
      <c r="Q43" s="163">
        <f>SUM(Q29:Q42)</f>
        <v>52</v>
      </c>
      <c r="R43" s="51"/>
      <c r="S43" s="51"/>
      <c r="T43" s="124"/>
      <c r="U43" s="47"/>
      <c r="W43" s="80" t="s">
        <v>401</v>
      </c>
      <c r="X43" s="81"/>
      <c r="Y43" s="51"/>
      <c r="Z43" s="51"/>
      <c r="AA43" s="47"/>
      <c r="AB43" s="47"/>
      <c r="AC43" s="33"/>
    </row>
    <row r="44" spans="2:29" ht="15.75" customHeight="1">
      <c r="B44" s="162" t="s">
        <v>402</v>
      </c>
      <c r="C44" s="163">
        <f>C43-C42-C41-C40-C39</f>
        <v>22</v>
      </c>
      <c r="D44" s="47"/>
      <c r="E44" s="47"/>
      <c r="F44" s="124"/>
      <c r="G44" s="47"/>
      <c r="I44" s="162" t="s">
        <v>402</v>
      </c>
      <c r="J44" s="163">
        <f>J43-J42-J41-J40-J39</f>
        <v>20</v>
      </c>
      <c r="K44" s="47"/>
      <c r="L44" s="47"/>
      <c r="M44" s="124"/>
      <c r="N44" s="47"/>
      <c r="P44" s="162" t="s">
        <v>402</v>
      </c>
      <c r="Q44" s="163">
        <f>Q43-Q42-Q41-Q40-Q39</f>
        <v>20</v>
      </c>
      <c r="R44" s="47"/>
      <c r="S44" s="47"/>
      <c r="T44" s="124"/>
      <c r="U44" s="47"/>
      <c r="W44" s="80" t="s">
        <v>402</v>
      </c>
      <c r="X44" s="81"/>
      <c r="Y44" s="47"/>
      <c r="Z44" s="47"/>
      <c r="AA44" s="47"/>
      <c r="AB44" s="47"/>
      <c r="AC44" s="33"/>
    </row>
    <row r="45" spans="2:29" ht="15.75" customHeight="1">
      <c r="W45" s="54"/>
      <c r="AA45" s="48"/>
      <c r="AC45" s="33"/>
    </row>
    <row r="46" spans="2:29" ht="15.75" customHeight="1">
      <c r="W46" s="32"/>
      <c r="X46" s="32"/>
      <c r="Y46" s="32"/>
      <c r="Z46" s="32"/>
      <c r="AA46" s="32"/>
      <c r="AB46" s="52"/>
      <c r="AC46" s="33"/>
    </row>
    <row r="47" spans="2:29" s="33" customFormat="1" ht="15.75" customHeight="1">
      <c r="B47" s="60"/>
      <c r="C47" s="32"/>
      <c r="D47" s="32"/>
      <c r="E47" s="32"/>
      <c r="F47" s="124"/>
      <c r="G47" s="32"/>
      <c r="I47" s="60"/>
      <c r="J47" s="32"/>
      <c r="K47" s="32"/>
      <c r="L47" s="32"/>
      <c r="M47" s="124"/>
      <c r="N47" s="32"/>
      <c r="P47" s="60"/>
      <c r="Q47" s="32"/>
      <c r="R47" s="32"/>
      <c r="S47" s="32"/>
      <c r="T47" s="124"/>
      <c r="U47" s="32"/>
      <c r="W47" s="176"/>
      <c r="X47" s="47"/>
      <c r="Y47" s="47"/>
      <c r="Z47" s="47"/>
      <c r="AA47" s="47"/>
      <c r="AB47" s="51"/>
    </row>
    <row r="48" spans="2:29" s="33" customFormat="1" ht="15.75" customHeight="1">
      <c r="B48" s="164" t="s">
        <v>432</v>
      </c>
      <c r="C48" s="165"/>
      <c r="D48" s="165"/>
      <c r="E48" s="165"/>
      <c r="F48" s="166"/>
      <c r="G48" s="165"/>
      <c r="I48" s="164" t="s">
        <v>432</v>
      </c>
      <c r="J48" s="165"/>
      <c r="K48" s="165"/>
      <c r="L48" s="165"/>
      <c r="M48" s="166"/>
      <c r="N48" s="165"/>
      <c r="P48" s="164" t="s">
        <v>432</v>
      </c>
      <c r="Q48" s="165"/>
      <c r="R48" s="165"/>
      <c r="S48" s="165"/>
      <c r="T48" s="166"/>
      <c r="U48" s="165"/>
      <c r="W48" s="164" t="s">
        <v>430</v>
      </c>
      <c r="X48" s="165"/>
      <c r="Y48" s="165"/>
      <c r="Z48" s="165"/>
      <c r="AA48" s="166"/>
      <c r="AB48" s="165"/>
    </row>
    <row r="49" spans="2:29" ht="36" customHeight="1">
      <c r="B49" s="167" t="s">
        <v>392</v>
      </c>
      <c r="C49" s="168" t="s">
        <v>393</v>
      </c>
      <c r="D49" s="168" t="s">
        <v>394</v>
      </c>
      <c r="E49" s="168" t="s">
        <v>395</v>
      </c>
      <c r="F49" s="167" t="s">
        <v>396</v>
      </c>
      <c r="G49" s="168" t="s">
        <v>397</v>
      </c>
      <c r="I49" s="167" t="s">
        <v>392</v>
      </c>
      <c r="J49" s="168" t="s">
        <v>393</v>
      </c>
      <c r="K49" s="168" t="s">
        <v>394</v>
      </c>
      <c r="L49" s="168" t="s">
        <v>395</v>
      </c>
      <c r="M49" s="167" t="s">
        <v>396</v>
      </c>
      <c r="N49" s="168" t="s">
        <v>397</v>
      </c>
      <c r="P49" s="167" t="s">
        <v>392</v>
      </c>
      <c r="Q49" s="168" t="s">
        <v>393</v>
      </c>
      <c r="R49" s="168" t="s">
        <v>394</v>
      </c>
      <c r="S49" s="168" t="s">
        <v>395</v>
      </c>
      <c r="T49" s="167" t="s">
        <v>396</v>
      </c>
      <c r="U49" s="168" t="s">
        <v>397</v>
      </c>
      <c r="W49" s="85" t="s">
        <v>392</v>
      </c>
      <c r="X49" s="85" t="s">
        <v>393</v>
      </c>
      <c r="Y49" s="85" t="s">
        <v>394</v>
      </c>
      <c r="Z49" s="85" t="s">
        <v>395</v>
      </c>
      <c r="AA49" s="85" t="s">
        <v>396</v>
      </c>
      <c r="AB49" s="85" t="s">
        <v>397</v>
      </c>
      <c r="AC49" s="33"/>
    </row>
    <row r="50" spans="2:29" s="33" customFormat="1" ht="7.5" customHeight="1">
      <c r="B50" s="30"/>
      <c r="C50" s="31"/>
      <c r="D50" s="31"/>
      <c r="E50" s="31"/>
      <c r="F50" s="30"/>
      <c r="G50" s="31"/>
      <c r="I50" s="30"/>
      <c r="J50" s="31"/>
      <c r="K50" s="31"/>
      <c r="L50" s="31"/>
      <c r="M50" s="30"/>
      <c r="N50" s="31"/>
      <c r="P50" s="30"/>
      <c r="Q50" s="31"/>
      <c r="R50" s="31"/>
      <c r="S50" s="31"/>
      <c r="T50" s="30"/>
      <c r="U50" s="31"/>
      <c r="W50" s="30"/>
      <c r="X50" s="31"/>
      <c r="Y50" s="31"/>
      <c r="Z50" s="31"/>
      <c r="AA50" s="31"/>
      <c r="AB50" s="31"/>
    </row>
    <row r="51" spans="2:29" ht="18.75" customHeight="1">
      <c r="B51" s="153" t="s">
        <v>398</v>
      </c>
      <c r="C51" s="154">
        <f>COUNTIFS('1. All Data'!$AC$3:$AC$128,"Leisure, Culture &amp; Tourism",'1. All Data'!$H$3:$H$128,"Fully Achieved")</f>
        <v>1</v>
      </c>
      <c r="D51" s="155">
        <f>C51/C65</f>
        <v>5.8823529411764705E-2</v>
      </c>
      <c r="E51" s="391">
        <f>D51+D52</f>
        <v>0.70588235294117652</v>
      </c>
      <c r="F51" s="156">
        <f>C51/C66</f>
        <v>8.3333333333333329E-2</v>
      </c>
      <c r="G51" s="399">
        <f>F51+F52</f>
        <v>1</v>
      </c>
      <c r="I51" s="153" t="s">
        <v>398</v>
      </c>
      <c r="J51" s="154">
        <f>COUNTIFS('1. All Data'!$AC$3:$AC$128,"Leisure, Culture &amp; Tourism",'1. All Data'!$M$3:$M$128,"Fully Achieved")</f>
        <v>0</v>
      </c>
      <c r="K51" s="155">
        <f>J51/J65</f>
        <v>0</v>
      </c>
      <c r="L51" s="391">
        <f>K51+K52</f>
        <v>0</v>
      </c>
      <c r="M51" s="156">
        <f>J51/J66</f>
        <v>0</v>
      </c>
      <c r="N51" s="399">
        <f>M51+M52</f>
        <v>0</v>
      </c>
      <c r="P51" s="153" t="s">
        <v>398</v>
      </c>
      <c r="Q51" s="154">
        <f>COUNTIFS('1. All Data'!$AC$3:$AC$128,"Leisure, Culture &amp; Tourism",'1. All Data'!$R$3:$R$128,"Fully Achieved")</f>
        <v>0</v>
      </c>
      <c r="R51" s="155">
        <f>Q51/Q65</f>
        <v>0</v>
      </c>
      <c r="S51" s="391">
        <f>R51+R52</f>
        <v>0</v>
      </c>
      <c r="T51" s="156">
        <f>Q51/Q66</f>
        <v>0</v>
      </c>
      <c r="U51" s="399">
        <f>T51+T52</f>
        <v>0</v>
      </c>
      <c r="W51" s="71" t="s">
        <v>398</v>
      </c>
      <c r="X51" s="72"/>
      <c r="Y51" s="74"/>
      <c r="Z51" s="351"/>
      <c r="AA51" s="74"/>
      <c r="AB51" s="366">
        <f>AA51+AA52</f>
        <v>0</v>
      </c>
      <c r="AC51" s="33"/>
    </row>
    <row r="52" spans="2:29" ht="18.75" customHeight="1">
      <c r="B52" s="153" t="s">
        <v>349</v>
      </c>
      <c r="C52" s="154">
        <f>COUNTIFS('1. All Data'!$AC$3:$AC$128,"Leisure, Culture &amp; Tourism",'1. All Data'!$H$3:$H$128,"On Track to be Achieved")</f>
        <v>11</v>
      </c>
      <c r="D52" s="155">
        <f>C52/C65</f>
        <v>0.6470588235294118</v>
      </c>
      <c r="E52" s="391"/>
      <c r="F52" s="156">
        <f>C52/C66</f>
        <v>0.91666666666666663</v>
      </c>
      <c r="G52" s="399"/>
      <c r="I52" s="153" t="s">
        <v>349</v>
      </c>
      <c r="J52" s="154">
        <f>COUNTIFS('1. All Data'!$AC$3:$AC$128,"Leisure, Culture &amp; Tourism",'1. All Data'!$M$3:$M$128,"On Track to be Achieved")</f>
        <v>0</v>
      </c>
      <c r="K52" s="155">
        <f>J52/J65</f>
        <v>0</v>
      </c>
      <c r="L52" s="391"/>
      <c r="M52" s="156">
        <f>J52/J66</f>
        <v>0</v>
      </c>
      <c r="N52" s="399"/>
      <c r="P52" s="153" t="s">
        <v>349</v>
      </c>
      <c r="Q52" s="154">
        <f>COUNTIFS('1. All Data'!$AC$3:$AC$128,"Leisure, Culture &amp; Tourism",'1. All Data'!$R$3:$R$128,"On Track to be Achieved")</f>
        <v>0</v>
      </c>
      <c r="R52" s="155">
        <f>Q52/Q65</f>
        <v>0</v>
      </c>
      <c r="S52" s="391"/>
      <c r="T52" s="156">
        <f>Q52/Q66</f>
        <v>0</v>
      </c>
      <c r="U52" s="399"/>
      <c r="W52" s="71" t="s">
        <v>349</v>
      </c>
      <c r="X52" s="72"/>
      <c r="Y52" s="74"/>
      <c r="Z52" s="351"/>
      <c r="AA52" s="74"/>
      <c r="AB52" s="366"/>
      <c r="AC52" s="33"/>
    </row>
    <row r="53" spans="2:29" s="33" customFormat="1" ht="6.75" customHeight="1">
      <c r="B53" s="30"/>
      <c r="C53" s="44"/>
      <c r="D53" s="41"/>
      <c r="E53" s="41"/>
      <c r="F53" s="120"/>
      <c r="G53" s="42"/>
      <c r="I53" s="30"/>
      <c r="J53" s="44"/>
      <c r="K53" s="41"/>
      <c r="L53" s="41"/>
      <c r="M53" s="120"/>
      <c r="N53" s="42"/>
      <c r="P53" s="30"/>
      <c r="Q53" s="44"/>
      <c r="R53" s="41"/>
      <c r="S53" s="41"/>
      <c r="T53" s="120"/>
      <c r="U53" s="42"/>
      <c r="W53" s="34"/>
      <c r="X53" s="35"/>
      <c r="Y53" s="36"/>
      <c r="Z53" s="36"/>
      <c r="AA53" s="36"/>
      <c r="AB53" s="37"/>
    </row>
    <row r="54" spans="2:29" ht="16.5" customHeight="1">
      <c r="B54" s="385" t="s">
        <v>350</v>
      </c>
      <c r="C54" s="393">
        <f>COUNTIFS('1. All Data'!$AC$3:$AC$128,"Leisure, Culture &amp; Tourism",'1. All Data'!$H$3:$H$128,"In Danger of Falling Behind Target")</f>
        <v>0</v>
      </c>
      <c r="D54" s="396">
        <f>C54/C65</f>
        <v>0</v>
      </c>
      <c r="E54" s="396">
        <f>D54</f>
        <v>0</v>
      </c>
      <c r="F54" s="379">
        <f>C54/C66</f>
        <v>0</v>
      </c>
      <c r="G54" s="382">
        <f>F54</f>
        <v>0</v>
      </c>
      <c r="I54" s="385" t="s">
        <v>350</v>
      </c>
      <c r="J54" s="388">
        <f>COUNTIFS('1. All Data'!$AC$3:$AC$128,"Leisure, Culture &amp; Tourism",'1. All Data'!$M$3:$M$128,"In Danger of Falling Behind Target")</f>
        <v>0</v>
      </c>
      <c r="K54" s="396">
        <f>J54/J65</f>
        <v>0</v>
      </c>
      <c r="L54" s="396">
        <f>K54</f>
        <v>0</v>
      </c>
      <c r="M54" s="379">
        <f>J54/J66</f>
        <v>0</v>
      </c>
      <c r="N54" s="382">
        <f>M54</f>
        <v>0</v>
      </c>
      <c r="P54" s="385" t="s">
        <v>350</v>
      </c>
      <c r="Q54" s="388">
        <f>COUNTIFS('1. All Data'!$AC$3:$AC$128,"Leisure, Culture &amp; Tourism",'1. All Data'!$R$3:$R$128,"In Danger of Falling Behind Target")</f>
        <v>0</v>
      </c>
      <c r="R54" s="396">
        <f>Q54/Q65</f>
        <v>0</v>
      </c>
      <c r="S54" s="396">
        <f>R54</f>
        <v>0</v>
      </c>
      <c r="T54" s="379">
        <f>Q54/Q66</f>
        <v>0</v>
      </c>
      <c r="U54" s="382">
        <f>T54</f>
        <v>0</v>
      </c>
      <c r="W54" s="92" t="s">
        <v>342</v>
      </c>
      <c r="X54" s="93"/>
      <c r="Y54" s="74"/>
      <c r="Z54" s="351"/>
      <c r="AA54" s="74"/>
      <c r="AB54" s="352">
        <f>AA54</f>
        <v>0</v>
      </c>
      <c r="AC54" s="33"/>
    </row>
    <row r="55" spans="2:29" ht="16.5" customHeight="1">
      <c r="B55" s="386"/>
      <c r="C55" s="394"/>
      <c r="D55" s="397"/>
      <c r="E55" s="397"/>
      <c r="F55" s="380"/>
      <c r="G55" s="383"/>
      <c r="I55" s="386"/>
      <c r="J55" s="389">
        <f>COUNTIFS('1. All Data'!$AC$3:$AC$128,"LEADER",'1. All Data'!$H$3:$H$128,"On Track to be Achieved")</f>
        <v>10</v>
      </c>
      <c r="K55" s="397"/>
      <c r="L55" s="397"/>
      <c r="M55" s="380"/>
      <c r="N55" s="383"/>
      <c r="P55" s="386"/>
      <c r="Q55" s="389">
        <f>COUNTIFS('1. All Data'!$AC$3:$AC$128,"LEADER",'1. All Data'!$H$3:$H$128,"On Track to be Achieved")</f>
        <v>10</v>
      </c>
      <c r="R55" s="397"/>
      <c r="S55" s="397"/>
      <c r="T55" s="380"/>
      <c r="U55" s="383"/>
      <c r="W55" s="92" t="s">
        <v>343</v>
      </c>
      <c r="X55" s="93"/>
      <c r="Y55" s="74"/>
      <c r="Z55" s="351"/>
      <c r="AA55" s="74"/>
      <c r="AB55" s="352"/>
      <c r="AC55" s="33"/>
    </row>
    <row r="56" spans="2:29" ht="16.5" customHeight="1">
      <c r="B56" s="387"/>
      <c r="C56" s="395"/>
      <c r="D56" s="398"/>
      <c r="E56" s="398"/>
      <c r="F56" s="381"/>
      <c r="G56" s="384"/>
      <c r="I56" s="387"/>
      <c r="J56" s="390">
        <f>COUNTIFS('1. All Data'!$AC$3:$AC$128,"LEADER",'1. All Data'!$H$3:$H$128,"On Track to be Achieved")</f>
        <v>10</v>
      </c>
      <c r="K56" s="398"/>
      <c r="L56" s="398"/>
      <c r="M56" s="381"/>
      <c r="N56" s="384"/>
      <c r="P56" s="387"/>
      <c r="Q56" s="390">
        <f>COUNTIFS('1. All Data'!$AC$3:$AC$128,"LEADER",'1. All Data'!$H$3:$H$128,"On Track to be Achieved")</f>
        <v>10</v>
      </c>
      <c r="R56" s="398"/>
      <c r="S56" s="398"/>
      <c r="T56" s="381"/>
      <c r="U56" s="384"/>
      <c r="W56" s="92" t="s">
        <v>346</v>
      </c>
      <c r="X56" s="93"/>
      <c r="Y56" s="74"/>
      <c r="Z56" s="351"/>
      <c r="AA56" s="74"/>
      <c r="AB56" s="352"/>
      <c r="AC56" s="33"/>
    </row>
    <row r="57" spans="2:29" s="33" customFormat="1" ht="6" customHeight="1">
      <c r="B57" s="30"/>
      <c r="C57" s="31"/>
      <c r="D57" s="41"/>
      <c r="E57" s="41"/>
      <c r="F57" s="120"/>
      <c r="G57" s="42"/>
      <c r="I57" s="30"/>
      <c r="J57" s="31"/>
      <c r="K57" s="41"/>
      <c r="L57" s="41"/>
      <c r="M57" s="120"/>
      <c r="N57" s="42"/>
      <c r="P57" s="30"/>
      <c r="Q57" s="31"/>
      <c r="R57" s="41"/>
      <c r="S57" s="41"/>
      <c r="T57" s="120"/>
      <c r="U57" s="42"/>
      <c r="W57" s="30"/>
      <c r="X57" s="31"/>
      <c r="Y57" s="41"/>
      <c r="Z57" s="41"/>
      <c r="AA57" s="41"/>
      <c r="AB57" s="42"/>
    </row>
    <row r="58" spans="2:29" ht="22.5" customHeight="1">
      <c r="B58" s="157" t="s">
        <v>351</v>
      </c>
      <c r="C58" s="154">
        <f>COUNTIFS('1. All Data'!$AC$3:$AC$128,"Leisure, Culture &amp; Tourism",'1. All Data'!$H$3:$H$128,"Completed Behind Schedule")</f>
        <v>0</v>
      </c>
      <c r="D58" s="155">
        <f>C58/C65</f>
        <v>0</v>
      </c>
      <c r="E58" s="391">
        <f>D58+D59</f>
        <v>0</v>
      </c>
      <c r="F58" s="156">
        <f>C58/C66</f>
        <v>0</v>
      </c>
      <c r="G58" s="392">
        <f>F58+F59</f>
        <v>0</v>
      </c>
      <c r="I58" s="157" t="s">
        <v>351</v>
      </c>
      <c r="J58" s="154">
        <f>COUNTIFS('1. All Data'!$AC$3:$AC$128,"Leisure, Culture &amp; Tourism",'1. All Data'!$M$3:$M$128,"Completed Behind Schedule")</f>
        <v>0</v>
      </c>
      <c r="K58" s="155">
        <f>J58/J65</f>
        <v>0</v>
      </c>
      <c r="L58" s="391">
        <f>K58+K59</f>
        <v>0</v>
      </c>
      <c r="M58" s="156">
        <f>J58/J66</f>
        <v>0</v>
      </c>
      <c r="N58" s="392">
        <f>M58+M59</f>
        <v>0</v>
      </c>
      <c r="P58" s="157" t="s">
        <v>351</v>
      </c>
      <c r="Q58" s="154">
        <f>COUNTIFS('1. All Data'!$AC$3:$AC$128,"Leisure, Culture &amp; Tourism",'1. All Data'!$R$3:$R$128,"Completed Behind Schedule")</f>
        <v>0</v>
      </c>
      <c r="R58" s="155">
        <f>Q58/Q65</f>
        <v>0</v>
      </c>
      <c r="S58" s="391">
        <f>R58+R59</f>
        <v>0</v>
      </c>
      <c r="T58" s="156">
        <f>Q58/Q66</f>
        <v>0</v>
      </c>
      <c r="U58" s="392">
        <f>T58+T59</f>
        <v>0</v>
      </c>
      <c r="W58" s="75" t="s">
        <v>345</v>
      </c>
      <c r="X58" s="94"/>
      <c r="Y58" s="74"/>
      <c r="Z58" s="351"/>
      <c r="AA58" s="74"/>
      <c r="AB58" s="353">
        <f>AA58+AA59</f>
        <v>0</v>
      </c>
      <c r="AC58" s="33"/>
    </row>
    <row r="59" spans="2:29" ht="22.5" customHeight="1">
      <c r="B59" s="157" t="s">
        <v>344</v>
      </c>
      <c r="C59" s="154">
        <f>COUNTIFS('1. All Data'!$AC$3:$AC$128,"Leisure, Culture &amp; Tourism",'1. All Data'!$H$3:$H$128,"Off Target")</f>
        <v>0</v>
      </c>
      <c r="D59" s="155">
        <f>C59/C65</f>
        <v>0</v>
      </c>
      <c r="E59" s="391"/>
      <c r="F59" s="156">
        <f>C59/C66</f>
        <v>0</v>
      </c>
      <c r="G59" s="392"/>
      <c r="I59" s="157" t="s">
        <v>344</v>
      </c>
      <c r="J59" s="154">
        <f>COUNTIFS('1. All Data'!$AC$3:$AC$128,"Leisure, Culture &amp; Tourism",'1. All Data'!$M$3:$M$128,"Off Target")</f>
        <v>0</v>
      </c>
      <c r="K59" s="155">
        <f>J59/J65</f>
        <v>0</v>
      </c>
      <c r="L59" s="391"/>
      <c r="M59" s="156">
        <f>J59/J66</f>
        <v>0</v>
      </c>
      <c r="N59" s="392"/>
      <c r="P59" s="157" t="s">
        <v>344</v>
      </c>
      <c r="Q59" s="154">
        <f>COUNTIFS('1. All Data'!$AC$3:$AC$128,"Leisure, Culture &amp; Tourism",'1. All Data'!$R$3:$R$128,"Off Target")</f>
        <v>0</v>
      </c>
      <c r="R59" s="155">
        <f>Q59/Q65</f>
        <v>0</v>
      </c>
      <c r="S59" s="391"/>
      <c r="T59" s="156">
        <f>Q59/Q66</f>
        <v>0</v>
      </c>
      <c r="U59" s="392"/>
      <c r="W59" s="75" t="s">
        <v>344</v>
      </c>
      <c r="X59" s="94"/>
      <c r="Y59" s="74"/>
      <c r="Z59" s="351"/>
      <c r="AA59" s="74"/>
      <c r="AB59" s="353"/>
      <c r="AC59" s="33"/>
    </row>
    <row r="60" spans="2:29" s="33" customFormat="1" ht="6.75" customHeight="1">
      <c r="B60" s="30"/>
      <c r="C60" s="44"/>
      <c r="D60" s="41"/>
      <c r="E60" s="41"/>
      <c r="F60" s="120"/>
      <c r="G60" s="45"/>
      <c r="I60" s="30"/>
      <c r="J60" s="44"/>
      <c r="K60" s="41"/>
      <c r="L60" s="41"/>
      <c r="M60" s="120"/>
      <c r="N60" s="45"/>
      <c r="P60" s="30"/>
      <c r="Q60" s="44"/>
      <c r="R60" s="41"/>
      <c r="S60" s="41"/>
      <c r="T60" s="120"/>
      <c r="U60" s="45"/>
      <c r="W60" s="30"/>
      <c r="X60" s="44"/>
      <c r="Y60" s="41"/>
      <c r="Z60" s="41"/>
      <c r="AA60" s="41"/>
      <c r="AB60" s="45"/>
    </row>
    <row r="61" spans="2:29" ht="15.75" customHeight="1">
      <c r="B61" s="160" t="s">
        <v>399</v>
      </c>
      <c r="C61" s="154">
        <f>COUNTIFS('1. All Data'!$AC$3:$AC$128,"Leisure, Culture &amp; Tourism",'1. All Data'!$H$3:$H$128,"Not yet due")</f>
        <v>5</v>
      </c>
      <c r="D61" s="158">
        <f>C61/C65</f>
        <v>0.29411764705882354</v>
      </c>
      <c r="E61" s="158">
        <f>D61</f>
        <v>0.29411764705882354</v>
      </c>
      <c r="F61" s="121"/>
      <c r="G61" s="47"/>
      <c r="I61" s="160" t="s">
        <v>399</v>
      </c>
      <c r="J61" s="154">
        <f>COUNTIFS('1. All Data'!$AC$3:$AC$128,"Leisure, Culture &amp; Tourism",'1. All Data'!$M$3:$M$128,"Not yet due")</f>
        <v>0</v>
      </c>
      <c r="K61" s="158">
        <f>J61/J65</f>
        <v>0</v>
      </c>
      <c r="L61" s="158">
        <f>K61</f>
        <v>0</v>
      </c>
      <c r="M61" s="121"/>
      <c r="N61" s="47"/>
      <c r="P61" s="160" t="s">
        <v>399</v>
      </c>
      <c r="Q61" s="154">
        <f>COUNTIFS('1. All Data'!$AC$3:$AC$128,"Leisure, Culture &amp; Tourism",'1. All Data'!$R$3:$R$128,"Not yet due")</f>
        <v>0</v>
      </c>
      <c r="R61" s="158">
        <f>Q61/Q65</f>
        <v>0</v>
      </c>
      <c r="S61" s="158">
        <f>R61</f>
        <v>0</v>
      </c>
      <c r="T61" s="121"/>
      <c r="U61" s="47"/>
      <c r="W61" s="76" t="s">
        <v>399</v>
      </c>
      <c r="X61" s="72"/>
      <c r="Y61" s="77"/>
      <c r="Z61" s="77"/>
      <c r="AA61" s="46"/>
      <c r="AB61" s="47"/>
      <c r="AC61" s="33"/>
    </row>
    <row r="62" spans="2:29" ht="15.75" customHeight="1">
      <c r="B62" s="160" t="s">
        <v>339</v>
      </c>
      <c r="C62" s="154">
        <f>COUNTIFS('1. All Data'!$AC$3:$AC$128,"Leisure, Culture &amp; Tourism",'1. All Data'!$H$3:$H$128,"Update not provided")</f>
        <v>0</v>
      </c>
      <c r="D62" s="158">
        <f>C62/C65</f>
        <v>0</v>
      </c>
      <c r="E62" s="158">
        <f>D62</f>
        <v>0</v>
      </c>
      <c r="F62" s="121"/>
      <c r="G62" s="49"/>
      <c r="I62" s="160" t="s">
        <v>339</v>
      </c>
      <c r="J62" s="154">
        <f>COUNTIFS('1. All Data'!$AC$3:$AC$128,"Leisure, Culture &amp; Tourism",'1. All Data'!$M$3:$M$128,"Update not provided")</f>
        <v>17</v>
      </c>
      <c r="K62" s="158">
        <f>J62/J65</f>
        <v>0.45945945945945948</v>
      </c>
      <c r="L62" s="158">
        <f>K62</f>
        <v>0.45945945945945948</v>
      </c>
      <c r="M62" s="121"/>
      <c r="N62" s="49"/>
      <c r="P62" s="160" t="s">
        <v>339</v>
      </c>
      <c r="Q62" s="154">
        <f>COUNTIFS('1. All Data'!$AC$3:$AC$128,"Leisure, Culture &amp; Tourism",'1. All Data'!$R$3:$R$128,"Update not provided")</f>
        <v>17</v>
      </c>
      <c r="R62" s="158">
        <f>Q62/Q65</f>
        <v>0.45945945945945948</v>
      </c>
      <c r="S62" s="158">
        <f>R62</f>
        <v>0.45945945945945948</v>
      </c>
      <c r="T62" s="121"/>
      <c r="U62" s="49"/>
      <c r="W62" s="76" t="s">
        <v>339</v>
      </c>
      <c r="X62" s="72"/>
      <c r="Y62" s="77"/>
      <c r="Z62" s="77"/>
      <c r="AA62" s="46"/>
      <c r="AB62" s="49"/>
      <c r="AC62" s="33"/>
    </row>
    <row r="63" spans="2:29" ht="15.75" customHeight="1">
      <c r="B63" s="161" t="s">
        <v>347</v>
      </c>
      <c r="C63" s="154">
        <f>COUNTIFS('1. All Data'!$AC$3:$AC$128,"Leisure, Culture &amp; Tourism",'1. All Data'!$H$3:$H$128,"Deferred")</f>
        <v>0</v>
      </c>
      <c r="D63" s="159">
        <f>C63/C65</f>
        <v>0</v>
      </c>
      <c r="E63" s="159">
        <f>D63</f>
        <v>0</v>
      </c>
      <c r="F63" s="122"/>
      <c r="G63" s="47"/>
      <c r="I63" s="161" t="s">
        <v>347</v>
      </c>
      <c r="J63" s="154">
        <f>COUNTIFS('1. All Data'!$AC$3:$AC$128,"Leisure, Culture &amp; Tourism",'1. All Data'!$M$3:$M$128,"Deferred")</f>
        <v>0</v>
      </c>
      <c r="K63" s="159">
        <f>J63/J65</f>
        <v>0</v>
      </c>
      <c r="L63" s="159">
        <f>K63</f>
        <v>0</v>
      </c>
      <c r="M63" s="122"/>
      <c r="N63" s="47"/>
      <c r="P63" s="161" t="s">
        <v>347</v>
      </c>
      <c r="Q63" s="154">
        <f>COUNTIFS('1. All Data'!$AC$3:$AC$128,"Leisure, Culture &amp; Tourism",'1. All Data'!$R$3:$R$128,"Deferred")</f>
        <v>0</v>
      </c>
      <c r="R63" s="159">
        <f>Q63/Q65</f>
        <v>0</v>
      </c>
      <c r="S63" s="159">
        <f>R63</f>
        <v>0</v>
      </c>
      <c r="T63" s="122"/>
      <c r="U63" s="47"/>
      <c r="W63" s="78" t="s">
        <v>347</v>
      </c>
      <c r="X63" s="72"/>
      <c r="Y63" s="79"/>
      <c r="Z63" s="79"/>
      <c r="AA63" s="51"/>
      <c r="AB63" s="47"/>
      <c r="AC63" s="33"/>
    </row>
    <row r="64" spans="2:29" ht="15.75" customHeight="1">
      <c r="B64" s="161" t="s">
        <v>348</v>
      </c>
      <c r="C64" s="154">
        <f>COUNTIFS('1. All Data'!$AC$3:$AC$128,"Leisure, Culture &amp; Tourism",'1. All Data'!$H$3:$H$128,"Deleted")</f>
        <v>0</v>
      </c>
      <c r="D64" s="159">
        <f>C64/C65</f>
        <v>0</v>
      </c>
      <c r="E64" s="159">
        <f>D64</f>
        <v>0</v>
      </c>
      <c r="F64" s="122"/>
      <c r="G64" s="123" t="s">
        <v>400</v>
      </c>
      <c r="I64" s="161" t="s">
        <v>348</v>
      </c>
      <c r="J64" s="154">
        <f>COUNTIFS('1. All Data'!$AC$3:$AC$128,"Leisure, Culture &amp; Tourism",'1. All Data'!$M$3:$M$128,"Deleted")</f>
        <v>0</v>
      </c>
      <c r="K64" s="159">
        <f>J64/J65</f>
        <v>0</v>
      </c>
      <c r="L64" s="159">
        <f>K64</f>
        <v>0</v>
      </c>
      <c r="M64" s="122"/>
      <c r="N64" s="123" t="s">
        <v>400</v>
      </c>
      <c r="P64" s="161" t="s">
        <v>348</v>
      </c>
      <c r="Q64" s="154">
        <f>COUNTIFS('1. All Data'!$AC$3:$AC$128,"Leisure, Culture &amp; Tourism",'1. All Data'!$R$3:$R$128,"Deleted")</f>
        <v>0</v>
      </c>
      <c r="R64" s="159">
        <f>Q64/Q65</f>
        <v>0</v>
      </c>
      <c r="S64" s="159">
        <f>R64</f>
        <v>0</v>
      </c>
      <c r="T64" s="122"/>
      <c r="U64" s="123" t="s">
        <v>400</v>
      </c>
      <c r="W64" s="78" t="s">
        <v>348</v>
      </c>
      <c r="X64" s="72"/>
      <c r="Y64" s="79"/>
      <c r="Z64" s="79"/>
      <c r="AA64" s="51"/>
      <c r="AB64" s="53" t="s">
        <v>400</v>
      </c>
      <c r="AC64" s="33"/>
    </row>
    <row r="65" spans="2:29" ht="15.75" customHeight="1">
      <c r="B65" s="162" t="s">
        <v>401</v>
      </c>
      <c r="C65" s="163">
        <f>SUM(C51:C64)</f>
        <v>17</v>
      </c>
      <c r="D65" s="51"/>
      <c r="E65" s="51"/>
      <c r="F65" s="124"/>
      <c r="G65" s="47"/>
      <c r="I65" s="162" t="s">
        <v>401</v>
      </c>
      <c r="J65" s="163">
        <f>SUM(J51:J64)</f>
        <v>37</v>
      </c>
      <c r="K65" s="51"/>
      <c r="L65" s="51"/>
      <c r="M65" s="124"/>
      <c r="N65" s="47"/>
      <c r="P65" s="162" t="s">
        <v>401</v>
      </c>
      <c r="Q65" s="163">
        <f>SUM(Q51:Q64)</f>
        <v>37</v>
      </c>
      <c r="R65" s="51"/>
      <c r="S65" s="51"/>
      <c r="T65" s="124"/>
      <c r="U65" s="47"/>
      <c r="W65" s="80" t="s">
        <v>401</v>
      </c>
      <c r="X65" s="81"/>
      <c r="Y65" s="51"/>
      <c r="Z65" s="51"/>
      <c r="AA65" s="47"/>
      <c r="AB65" s="47"/>
      <c r="AC65" s="33"/>
    </row>
    <row r="66" spans="2:29" ht="15.75" customHeight="1">
      <c r="B66" s="162" t="s">
        <v>402</v>
      </c>
      <c r="C66" s="163">
        <f>C65-C64-C63-C62-C61</f>
        <v>12</v>
      </c>
      <c r="D66" s="47"/>
      <c r="E66" s="47"/>
      <c r="F66" s="124"/>
      <c r="G66" s="47"/>
      <c r="I66" s="162" t="s">
        <v>402</v>
      </c>
      <c r="J66" s="163">
        <f>J65-J64-J63-J62-J61</f>
        <v>20</v>
      </c>
      <c r="K66" s="47"/>
      <c r="L66" s="47"/>
      <c r="M66" s="124"/>
      <c r="N66" s="47"/>
      <c r="P66" s="162" t="s">
        <v>402</v>
      </c>
      <c r="Q66" s="163">
        <f>Q65-Q64-Q63-Q62-Q61</f>
        <v>20</v>
      </c>
      <c r="R66" s="47"/>
      <c r="S66" s="47"/>
      <c r="T66" s="124"/>
      <c r="U66" s="47"/>
      <c r="W66" s="80" t="s">
        <v>402</v>
      </c>
      <c r="X66" s="81"/>
      <c r="Y66" s="47"/>
      <c r="Z66" s="47"/>
      <c r="AA66" s="47"/>
      <c r="AB66" s="47"/>
      <c r="AC66" s="33"/>
    </row>
    <row r="67" spans="2:29" ht="15.75" customHeight="1">
      <c r="W67" s="54"/>
      <c r="AA67" s="48"/>
      <c r="AC67" s="33"/>
    </row>
    <row r="68" spans="2:29" ht="15.75" customHeight="1">
      <c r="W68" s="32"/>
      <c r="X68" s="175"/>
      <c r="Y68" s="32"/>
      <c r="Z68" s="32"/>
      <c r="AA68" s="32"/>
      <c r="AB68" s="52"/>
      <c r="AC68" s="33"/>
    </row>
    <row r="69" spans="2:29" ht="15.75" customHeight="1">
      <c r="W69" s="177"/>
      <c r="X69" s="178"/>
      <c r="Y69" s="47"/>
      <c r="Z69" s="47"/>
      <c r="AA69" s="47"/>
      <c r="AB69" s="51"/>
      <c r="AC69" s="33"/>
    </row>
    <row r="70" spans="2:29" s="33" customFormat="1" ht="15.75">
      <c r="B70" s="173" t="s">
        <v>433</v>
      </c>
      <c r="C70" s="165"/>
      <c r="D70" s="165"/>
      <c r="E70" s="165"/>
      <c r="F70" s="166"/>
      <c r="G70" s="165"/>
      <c r="I70" s="173" t="s">
        <v>433</v>
      </c>
      <c r="J70" s="165"/>
      <c r="K70" s="165"/>
      <c r="L70" s="165"/>
      <c r="M70" s="166"/>
      <c r="N70" s="165"/>
      <c r="P70" s="173" t="s">
        <v>433</v>
      </c>
      <c r="Q70" s="165"/>
      <c r="R70" s="165"/>
      <c r="S70" s="165"/>
      <c r="T70" s="166"/>
      <c r="U70" s="165"/>
      <c r="W70" s="164" t="s">
        <v>430</v>
      </c>
      <c r="X70" s="165"/>
      <c r="Y70" s="165"/>
      <c r="Z70" s="165"/>
      <c r="AA70" s="166"/>
      <c r="AB70" s="165"/>
    </row>
    <row r="71" spans="2:29" ht="41.25" customHeight="1">
      <c r="B71" s="167" t="s">
        <v>392</v>
      </c>
      <c r="C71" s="168" t="s">
        <v>393</v>
      </c>
      <c r="D71" s="168" t="s">
        <v>394</v>
      </c>
      <c r="E71" s="168" t="s">
        <v>395</v>
      </c>
      <c r="F71" s="167" t="s">
        <v>396</v>
      </c>
      <c r="G71" s="168" t="s">
        <v>397</v>
      </c>
      <c r="I71" s="167" t="s">
        <v>392</v>
      </c>
      <c r="J71" s="168" t="s">
        <v>393</v>
      </c>
      <c r="K71" s="168" t="s">
        <v>394</v>
      </c>
      <c r="L71" s="168" t="s">
        <v>395</v>
      </c>
      <c r="M71" s="167" t="s">
        <v>396</v>
      </c>
      <c r="N71" s="168" t="s">
        <v>397</v>
      </c>
      <c r="P71" s="167" t="s">
        <v>392</v>
      </c>
      <c r="Q71" s="168" t="s">
        <v>393</v>
      </c>
      <c r="R71" s="168" t="s">
        <v>394</v>
      </c>
      <c r="S71" s="168" t="s">
        <v>395</v>
      </c>
      <c r="T71" s="167" t="s">
        <v>396</v>
      </c>
      <c r="U71" s="168" t="s">
        <v>397</v>
      </c>
      <c r="W71" s="85" t="s">
        <v>392</v>
      </c>
      <c r="X71" s="85" t="s">
        <v>393</v>
      </c>
      <c r="Y71" s="85" t="s">
        <v>394</v>
      </c>
      <c r="Z71" s="85" t="s">
        <v>395</v>
      </c>
      <c r="AA71" s="85" t="s">
        <v>396</v>
      </c>
      <c r="AB71" s="85" t="s">
        <v>397</v>
      </c>
      <c r="AC71" s="33"/>
    </row>
    <row r="72" spans="2:29" ht="6.75" customHeight="1">
      <c r="B72" s="30"/>
      <c r="C72" s="31"/>
      <c r="D72" s="31"/>
      <c r="E72" s="31"/>
      <c r="F72" s="30"/>
      <c r="G72" s="31"/>
      <c r="I72" s="30"/>
      <c r="J72" s="31"/>
      <c r="K72" s="31"/>
      <c r="L72" s="31"/>
      <c r="M72" s="30"/>
      <c r="N72" s="31"/>
      <c r="P72" s="30"/>
      <c r="Q72" s="31"/>
      <c r="R72" s="31"/>
      <c r="S72" s="31"/>
      <c r="T72" s="30"/>
      <c r="U72" s="31"/>
      <c r="W72" s="30"/>
      <c r="X72" s="31"/>
      <c r="Y72" s="31"/>
      <c r="Z72" s="31"/>
      <c r="AA72" s="31"/>
      <c r="AB72" s="31"/>
      <c r="AC72" s="33"/>
    </row>
    <row r="73" spans="2:29" ht="27.75" customHeight="1">
      <c r="B73" s="153" t="s">
        <v>398</v>
      </c>
      <c r="C73" s="154">
        <f>COUNTIFS('1. All Data'!$AC$3:$AC$128,"Regeneration &amp; Planning Policy",'1. All Data'!$H$3:$H$128,"Fully Achieved")</f>
        <v>2</v>
      </c>
      <c r="D73" s="155">
        <f>C73/C87</f>
        <v>6.8965517241379309E-2</v>
      </c>
      <c r="E73" s="391">
        <f>D73+D74</f>
        <v>0.86206896551724144</v>
      </c>
      <c r="F73" s="156">
        <f>C73/C88</f>
        <v>7.6923076923076927E-2</v>
      </c>
      <c r="G73" s="399">
        <f>F73+F74</f>
        <v>0.96153846153846145</v>
      </c>
      <c r="I73" s="153" t="s">
        <v>398</v>
      </c>
      <c r="J73" s="154">
        <f>COUNTIFS('1. All Data'!$AC$3:$AC$128,"Regeneration &amp; Planning Policy",'1. All Data'!$M$3:$M$128,"Fully Achieved")</f>
        <v>0</v>
      </c>
      <c r="K73" s="155">
        <f>J73/J87</f>
        <v>0</v>
      </c>
      <c r="L73" s="391">
        <f>K73+K74</f>
        <v>0</v>
      </c>
      <c r="M73" s="156">
        <f>J73/J88</f>
        <v>0</v>
      </c>
      <c r="N73" s="399">
        <f>M73+M74</f>
        <v>0</v>
      </c>
      <c r="P73" s="153" t="s">
        <v>398</v>
      </c>
      <c r="Q73" s="154">
        <f>COUNTIFS('1. All Data'!$AC$3:$AC$128,"Regeneration &amp; Planning Policy",'1. All Data'!$R$3:$R$128,"Fully Achieved")</f>
        <v>0</v>
      </c>
      <c r="R73" s="155">
        <f>Q73/Q87</f>
        <v>0</v>
      </c>
      <c r="S73" s="391">
        <f>R73+R74</f>
        <v>0</v>
      </c>
      <c r="T73" s="156">
        <f>Q73/Q88</f>
        <v>0</v>
      </c>
      <c r="U73" s="399">
        <f>T73+T74</f>
        <v>0</v>
      </c>
      <c r="W73" s="71" t="s">
        <v>398</v>
      </c>
      <c r="X73" s="72"/>
      <c r="Y73" s="74"/>
      <c r="Z73" s="351"/>
      <c r="AA73" s="74"/>
      <c r="AB73" s="366">
        <f>AA73+AA74</f>
        <v>0</v>
      </c>
      <c r="AC73" s="33"/>
    </row>
    <row r="74" spans="2:29" ht="27.75" customHeight="1">
      <c r="B74" s="153" t="s">
        <v>349</v>
      </c>
      <c r="C74" s="154">
        <f>COUNTIFS('1. All Data'!$AC$3:$AC$128,"Regeneration &amp; Planning Policy",'1. All Data'!$H$3:$H$128,"On Track to be Achieved")</f>
        <v>23</v>
      </c>
      <c r="D74" s="155">
        <f>C74/C87</f>
        <v>0.7931034482758621</v>
      </c>
      <c r="E74" s="391"/>
      <c r="F74" s="156">
        <f>C74/C88</f>
        <v>0.88461538461538458</v>
      </c>
      <c r="G74" s="399"/>
      <c r="I74" s="153" t="s">
        <v>349</v>
      </c>
      <c r="J74" s="154">
        <f>COUNTIFS('1. All Data'!$AC$3:$AC$128,"Regeneration &amp; Planning Policy",'1. All Data'!$M$3:$M$128,"On Track to be Achieved")</f>
        <v>0</v>
      </c>
      <c r="K74" s="155">
        <f>J74/J87</f>
        <v>0</v>
      </c>
      <c r="L74" s="391"/>
      <c r="M74" s="156">
        <f>J74/J88</f>
        <v>0</v>
      </c>
      <c r="N74" s="399"/>
      <c r="P74" s="153" t="s">
        <v>349</v>
      </c>
      <c r="Q74" s="154">
        <f>COUNTIFS('1. All Data'!$AC$3:$AC$128,"Regeneration &amp; Planning Policy",'1. All Data'!$R$3:$R$128,"On Track to be Achieved")</f>
        <v>0</v>
      </c>
      <c r="R74" s="155">
        <f>Q74/Q87</f>
        <v>0</v>
      </c>
      <c r="S74" s="391"/>
      <c r="T74" s="156">
        <f>Q74/Q88</f>
        <v>0</v>
      </c>
      <c r="U74" s="399"/>
      <c r="W74" s="71" t="s">
        <v>349</v>
      </c>
      <c r="X74" s="72"/>
      <c r="Y74" s="74"/>
      <c r="Z74" s="351"/>
      <c r="AA74" s="74"/>
      <c r="AB74" s="366"/>
      <c r="AC74" s="33"/>
    </row>
    <row r="75" spans="2:29" ht="7.5" customHeight="1">
      <c r="B75" s="30"/>
      <c r="C75" s="44"/>
      <c r="D75" s="41"/>
      <c r="E75" s="41"/>
      <c r="F75" s="120"/>
      <c r="G75" s="42"/>
      <c r="I75" s="30"/>
      <c r="J75" s="44"/>
      <c r="K75" s="41"/>
      <c r="L75" s="41"/>
      <c r="M75" s="120"/>
      <c r="N75" s="42"/>
      <c r="P75" s="30"/>
      <c r="Q75" s="44"/>
      <c r="R75" s="41"/>
      <c r="S75" s="41"/>
      <c r="T75" s="120"/>
      <c r="U75" s="42"/>
      <c r="W75" s="34"/>
      <c r="X75" s="35"/>
      <c r="Y75" s="36"/>
      <c r="Z75" s="36"/>
      <c r="AA75" s="36"/>
      <c r="AB75" s="37"/>
      <c r="AC75" s="33"/>
    </row>
    <row r="76" spans="2:29" ht="21" customHeight="1">
      <c r="B76" s="385" t="s">
        <v>350</v>
      </c>
      <c r="C76" s="393">
        <f>COUNTIFS('1. All Data'!$AC$3:$AC$128,"Regeneration &amp; Planning Policy",'1. All Data'!$H$3:$H$128,"In Danger of Falling Behind Target")</f>
        <v>0</v>
      </c>
      <c r="D76" s="396">
        <f>C76/C87</f>
        <v>0</v>
      </c>
      <c r="E76" s="396">
        <f>D76</f>
        <v>0</v>
      </c>
      <c r="F76" s="379">
        <f>C76/C88</f>
        <v>0</v>
      </c>
      <c r="G76" s="382">
        <f>F76</f>
        <v>0</v>
      </c>
      <c r="I76" s="385" t="s">
        <v>350</v>
      </c>
      <c r="J76" s="388">
        <f>COUNTIFS('1. All Data'!$AC$3:$AC$128,"Regeneration &amp; Planning Policy",'1. All Data'!$M$3:$M$128,"In Danger of Falling Behind Target")</f>
        <v>0</v>
      </c>
      <c r="K76" s="396">
        <f>J76/J87</f>
        <v>0</v>
      </c>
      <c r="L76" s="396">
        <f>K76</f>
        <v>0</v>
      </c>
      <c r="M76" s="379">
        <f>J76/J88</f>
        <v>0</v>
      </c>
      <c r="N76" s="382">
        <f>M76</f>
        <v>0</v>
      </c>
      <c r="P76" s="385" t="s">
        <v>350</v>
      </c>
      <c r="Q76" s="388">
        <f>COUNTIFS('1. All Data'!$AC$3:$AC$128,"Regeneration &amp; Planning Policy",'1. All Data'!$R$3:$R$128,"In Danger of Falling Behind Target")</f>
        <v>0</v>
      </c>
      <c r="R76" s="396">
        <f>Q76/Q87</f>
        <v>0</v>
      </c>
      <c r="S76" s="396">
        <f>R76</f>
        <v>0</v>
      </c>
      <c r="T76" s="379">
        <f>Q76/Q88</f>
        <v>0</v>
      </c>
      <c r="U76" s="382">
        <f>T76</f>
        <v>0</v>
      </c>
      <c r="W76" s="92" t="s">
        <v>342</v>
      </c>
      <c r="X76" s="93"/>
      <c r="Y76" s="74"/>
      <c r="Z76" s="351"/>
      <c r="AA76" s="74"/>
      <c r="AB76" s="352">
        <f>AA76</f>
        <v>0</v>
      </c>
      <c r="AC76" s="33"/>
    </row>
    <row r="77" spans="2:29" ht="18.75" customHeight="1">
      <c r="B77" s="386"/>
      <c r="C77" s="394"/>
      <c r="D77" s="397"/>
      <c r="E77" s="397"/>
      <c r="F77" s="380"/>
      <c r="G77" s="383"/>
      <c r="I77" s="386"/>
      <c r="J77" s="389">
        <f>COUNTIFS('1. All Data'!$AC$3:$AC$128,"LEADER",'1. All Data'!$H$3:$H$128,"On Track to be Achieved")</f>
        <v>10</v>
      </c>
      <c r="K77" s="397"/>
      <c r="L77" s="397"/>
      <c r="M77" s="380"/>
      <c r="N77" s="383"/>
      <c r="P77" s="386"/>
      <c r="Q77" s="389">
        <f>COUNTIFS('1. All Data'!$AC$3:$AC$128,"LEADER",'1. All Data'!$H$3:$H$128,"On Track to be Achieved")</f>
        <v>10</v>
      </c>
      <c r="R77" s="397"/>
      <c r="S77" s="397"/>
      <c r="T77" s="380"/>
      <c r="U77" s="383"/>
      <c r="W77" s="92" t="s">
        <v>343</v>
      </c>
      <c r="X77" s="93"/>
      <c r="Y77" s="74"/>
      <c r="Z77" s="351"/>
      <c r="AA77" s="74"/>
      <c r="AB77" s="352"/>
      <c r="AC77" s="33"/>
    </row>
    <row r="78" spans="2:29" ht="20.25" customHeight="1">
      <c r="B78" s="387"/>
      <c r="C78" s="395"/>
      <c r="D78" s="398"/>
      <c r="E78" s="398"/>
      <c r="F78" s="381"/>
      <c r="G78" s="384"/>
      <c r="I78" s="387"/>
      <c r="J78" s="390">
        <f>COUNTIFS('1. All Data'!$AC$3:$AC$128,"LEADER",'1. All Data'!$H$3:$H$128,"On Track to be Achieved")</f>
        <v>10</v>
      </c>
      <c r="K78" s="398"/>
      <c r="L78" s="398"/>
      <c r="M78" s="381"/>
      <c r="N78" s="384"/>
      <c r="P78" s="387"/>
      <c r="Q78" s="390">
        <f>COUNTIFS('1. All Data'!$AC$3:$AC$128,"LEADER",'1. All Data'!$H$3:$H$128,"On Track to be Achieved")</f>
        <v>10</v>
      </c>
      <c r="R78" s="398"/>
      <c r="S78" s="398"/>
      <c r="T78" s="381"/>
      <c r="U78" s="384"/>
      <c r="W78" s="92" t="s">
        <v>346</v>
      </c>
      <c r="X78" s="93"/>
      <c r="Y78" s="74"/>
      <c r="Z78" s="351"/>
      <c r="AA78" s="74"/>
      <c r="AB78" s="352"/>
      <c r="AC78" s="33"/>
    </row>
    <row r="79" spans="2:29" ht="6" customHeight="1">
      <c r="B79" s="30"/>
      <c r="C79" s="31"/>
      <c r="D79" s="41"/>
      <c r="E79" s="41"/>
      <c r="F79" s="120"/>
      <c r="G79" s="42"/>
      <c r="I79" s="30"/>
      <c r="J79" s="31"/>
      <c r="K79" s="41"/>
      <c r="L79" s="41"/>
      <c r="M79" s="120"/>
      <c r="N79" s="42"/>
      <c r="P79" s="30"/>
      <c r="Q79" s="31"/>
      <c r="R79" s="41"/>
      <c r="S79" s="41"/>
      <c r="T79" s="120"/>
      <c r="U79" s="42"/>
      <c r="W79" s="30"/>
      <c r="X79" s="31"/>
      <c r="Y79" s="41"/>
      <c r="Z79" s="41"/>
      <c r="AA79" s="41"/>
      <c r="AB79" s="42"/>
      <c r="AC79" s="33"/>
    </row>
    <row r="80" spans="2:29" ht="30" customHeight="1">
      <c r="B80" s="157" t="s">
        <v>351</v>
      </c>
      <c r="C80" s="154">
        <f>COUNTIFS('1. All Data'!$AC$3:$AC$128,"Regeneration &amp; Planning Policy",'1. All Data'!$H$3:$H$128,"Completed Behind Schedule")</f>
        <v>0</v>
      </c>
      <c r="D80" s="155">
        <f>C80/C87</f>
        <v>0</v>
      </c>
      <c r="E80" s="391">
        <f>D80+D81</f>
        <v>3.4482758620689655E-2</v>
      </c>
      <c r="F80" s="156">
        <f>C80/C88</f>
        <v>0</v>
      </c>
      <c r="G80" s="392">
        <f>F80+F81</f>
        <v>3.8461538461538464E-2</v>
      </c>
      <c r="I80" s="157" t="s">
        <v>351</v>
      </c>
      <c r="J80" s="154">
        <f>COUNTIFS('1. All Data'!$AC$3:$AC$128,"Regeneration &amp; Planning Policy",'1. All Data'!$M$3:$M$128,"Completed Behind Schedule")</f>
        <v>0</v>
      </c>
      <c r="K80" s="155">
        <f>J80/J87</f>
        <v>0</v>
      </c>
      <c r="L80" s="391">
        <f>K80+K81</f>
        <v>0</v>
      </c>
      <c r="M80" s="156">
        <f>J80/J88</f>
        <v>0</v>
      </c>
      <c r="N80" s="392">
        <f>M80+M81</f>
        <v>0</v>
      </c>
      <c r="P80" s="157" t="s">
        <v>351</v>
      </c>
      <c r="Q80" s="154">
        <f>COUNTIFS('1. All Data'!$AC$3:$AC$128,"Regeneration &amp; Planning Policy",'1. All Data'!$R$3:$R$128,"Completed Behind Schedule")</f>
        <v>0</v>
      </c>
      <c r="R80" s="155">
        <f>Q80/Q87</f>
        <v>0</v>
      </c>
      <c r="S80" s="391">
        <f>R80+R81</f>
        <v>0</v>
      </c>
      <c r="T80" s="156">
        <f>Q80/Q88</f>
        <v>0</v>
      </c>
      <c r="U80" s="392">
        <f>T80+T81</f>
        <v>0</v>
      </c>
      <c r="W80" s="75" t="s">
        <v>345</v>
      </c>
      <c r="X80" s="94"/>
      <c r="Y80" s="74"/>
      <c r="Z80" s="351"/>
      <c r="AA80" s="74"/>
      <c r="AB80" s="353">
        <f>AA80+AA81</f>
        <v>0</v>
      </c>
      <c r="AC80" s="33"/>
    </row>
    <row r="81" spans="2:29" ht="30" customHeight="1">
      <c r="B81" s="157" t="s">
        <v>344</v>
      </c>
      <c r="C81" s="154">
        <f>COUNTIFS('1. All Data'!$AC$3:$AC$128,"Regeneration &amp; Planning Policy",'1. All Data'!$H$3:$H$128,"Off Target")</f>
        <v>1</v>
      </c>
      <c r="D81" s="155">
        <f>C81/C87</f>
        <v>3.4482758620689655E-2</v>
      </c>
      <c r="E81" s="391"/>
      <c r="F81" s="156">
        <f>C81/C88</f>
        <v>3.8461538461538464E-2</v>
      </c>
      <c r="G81" s="392"/>
      <c r="I81" s="157" t="s">
        <v>344</v>
      </c>
      <c r="J81" s="154">
        <f>COUNTIFS('1. All Data'!$AC$3:$AC$128,"Regeneration &amp; Planning Policy",'1. All Data'!$M$3:$M$128,"Off Target")</f>
        <v>0</v>
      </c>
      <c r="K81" s="155">
        <f>J81/J87</f>
        <v>0</v>
      </c>
      <c r="L81" s="391"/>
      <c r="M81" s="156">
        <f>J81/J88</f>
        <v>0</v>
      </c>
      <c r="N81" s="392"/>
      <c r="P81" s="157" t="s">
        <v>344</v>
      </c>
      <c r="Q81" s="154">
        <f>COUNTIFS('1. All Data'!$AC$3:$AC$128,"Regeneration &amp; Planning Policy",'1. All Data'!$R$3:$R$128,"Off Target")</f>
        <v>0</v>
      </c>
      <c r="R81" s="155">
        <f>Q81/Q87</f>
        <v>0</v>
      </c>
      <c r="S81" s="391"/>
      <c r="T81" s="156">
        <f>Q81/Q88</f>
        <v>0</v>
      </c>
      <c r="U81" s="392"/>
      <c r="W81" s="75" t="s">
        <v>344</v>
      </c>
      <c r="X81" s="94"/>
      <c r="Y81" s="74"/>
      <c r="Z81" s="351"/>
      <c r="AA81" s="74"/>
      <c r="AB81" s="353"/>
      <c r="AC81" s="33"/>
    </row>
    <row r="82" spans="2:29" ht="5.25" customHeight="1">
      <c r="B82" s="30"/>
      <c r="C82" s="44"/>
      <c r="D82" s="41"/>
      <c r="E82" s="41"/>
      <c r="F82" s="120"/>
      <c r="G82" s="45"/>
      <c r="I82" s="30"/>
      <c r="J82" s="44"/>
      <c r="K82" s="41"/>
      <c r="L82" s="41"/>
      <c r="M82" s="120"/>
      <c r="N82" s="45"/>
      <c r="P82" s="30"/>
      <c r="Q82" s="44"/>
      <c r="R82" s="41"/>
      <c r="S82" s="41"/>
      <c r="T82" s="120"/>
      <c r="U82" s="45"/>
      <c r="W82" s="30"/>
      <c r="X82" s="44"/>
      <c r="Y82" s="41"/>
      <c r="Z82" s="41"/>
      <c r="AA82" s="41"/>
      <c r="AB82" s="45"/>
      <c r="AC82" s="33"/>
    </row>
    <row r="83" spans="2:29" ht="15.75" customHeight="1">
      <c r="B83" s="160" t="s">
        <v>399</v>
      </c>
      <c r="C83" s="154">
        <f>COUNTIFS('1. All Data'!$AC$3:$AC$128,"Regeneration &amp; Planning Policy",'1. All Data'!$H$3:$H$128,"Not yet due")</f>
        <v>3</v>
      </c>
      <c r="D83" s="158">
        <f>C83/C87</f>
        <v>0.10344827586206896</v>
      </c>
      <c r="E83" s="158">
        <f>D83</f>
        <v>0.10344827586206896</v>
      </c>
      <c r="F83" s="121"/>
      <c r="G83" s="47"/>
      <c r="I83" s="160" t="s">
        <v>399</v>
      </c>
      <c r="J83" s="154">
        <f>COUNTIFS('1. All Data'!$AC$3:$AC$128,"Regeneration &amp; Planning Policy",'1. All Data'!$M$3:$M$128,"Not yet due")</f>
        <v>0</v>
      </c>
      <c r="K83" s="158">
        <f>J83/J87</f>
        <v>0</v>
      </c>
      <c r="L83" s="158">
        <f>K83</f>
        <v>0</v>
      </c>
      <c r="M83" s="121"/>
      <c r="N83" s="47"/>
      <c r="P83" s="160" t="s">
        <v>399</v>
      </c>
      <c r="Q83" s="154">
        <f>COUNTIFS('1. All Data'!$AC$3:$AC$128,"Regeneration &amp; Planning Policy",'1. All Data'!$R$3:$R$128,"Not yet due")</f>
        <v>0</v>
      </c>
      <c r="R83" s="158">
        <f>Q83/Q87</f>
        <v>0</v>
      </c>
      <c r="S83" s="158">
        <f>R83</f>
        <v>0</v>
      </c>
      <c r="T83" s="121"/>
      <c r="U83" s="47"/>
      <c r="W83" s="76" t="s">
        <v>399</v>
      </c>
      <c r="X83" s="72"/>
      <c r="Y83" s="77"/>
      <c r="Z83" s="77"/>
      <c r="AA83" s="46"/>
      <c r="AB83" s="47"/>
      <c r="AC83" s="33"/>
    </row>
    <row r="84" spans="2:29" ht="15.75" customHeight="1">
      <c r="B84" s="160" t="s">
        <v>339</v>
      </c>
      <c r="C84" s="154">
        <f>COUNTIFS('1. All Data'!$AC$3:$AC$128,"Regeneration &amp; Planning Policy",'1. All Data'!$H$3:$H$128,"Update not provided")</f>
        <v>0</v>
      </c>
      <c r="D84" s="158">
        <f>C84/C87</f>
        <v>0</v>
      </c>
      <c r="E84" s="158">
        <f>D84</f>
        <v>0</v>
      </c>
      <c r="F84" s="121"/>
      <c r="G84" s="49"/>
      <c r="I84" s="160" t="s">
        <v>339</v>
      </c>
      <c r="J84" s="154">
        <f>COUNTIFS('1. All Data'!$AC$3:$AC$128,"Regeneration &amp; Planning Policy",'1. All Data'!$M$3:$M$128,"Update not provided")</f>
        <v>29</v>
      </c>
      <c r="K84" s="158">
        <f>J84/J87</f>
        <v>0.59183673469387754</v>
      </c>
      <c r="L84" s="158">
        <f>K84</f>
        <v>0.59183673469387754</v>
      </c>
      <c r="M84" s="121"/>
      <c r="N84" s="49"/>
      <c r="P84" s="160" t="s">
        <v>339</v>
      </c>
      <c r="Q84" s="154">
        <f>COUNTIFS('1. All Data'!$AC$3:$AC$128,"Regeneration &amp; Planning Policy",'1. All Data'!$R$3:$R$128,"Update not provided")</f>
        <v>29</v>
      </c>
      <c r="R84" s="158">
        <f>Q84/Q87</f>
        <v>0.59183673469387754</v>
      </c>
      <c r="S84" s="158">
        <f>R84</f>
        <v>0.59183673469387754</v>
      </c>
      <c r="T84" s="121"/>
      <c r="U84" s="49"/>
      <c r="W84" s="76" t="s">
        <v>339</v>
      </c>
      <c r="X84" s="72"/>
      <c r="Y84" s="77"/>
      <c r="Z84" s="77"/>
      <c r="AA84" s="46"/>
      <c r="AB84" s="49"/>
      <c r="AC84" s="33"/>
    </row>
    <row r="85" spans="2:29" ht="15.75" customHeight="1">
      <c r="B85" s="161" t="s">
        <v>347</v>
      </c>
      <c r="C85" s="154">
        <f>COUNTIFS('1. All Data'!$AC$3:$AC$128,"Regeneration &amp; Planning Policy",'1. All Data'!$H$3:$H$128,"Deferred")</f>
        <v>0</v>
      </c>
      <c r="D85" s="159">
        <f>C85/C87</f>
        <v>0</v>
      </c>
      <c r="E85" s="159">
        <f>D85</f>
        <v>0</v>
      </c>
      <c r="F85" s="122"/>
      <c r="G85" s="47"/>
      <c r="I85" s="161" t="s">
        <v>347</v>
      </c>
      <c r="J85" s="154">
        <f>COUNTIFS('1. All Data'!$AC$3:$AC$128,"Regeneration &amp; Planning Policy",'1. All Data'!$M$3:$M$128,"Deferred")</f>
        <v>0</v>
      </c>
      <c r="K85" s="159">
        <f>J85/J87</f>
        <v>0</v>
      </c>
      <c r="L85" s="159">
        <f>K85</f>
        <v>0</v>
      </c>
      <c r="M85" s="122"/>
      <c r="N85" s="47"/>
      <c r="P85" s="161" t="s">
        <v>347</v>
      </c>
      <c r="Q85" s="154">
        <f>COUNTIFS('1. All Data'!$AC$3:$AC$128,"Regeneration &amp; Planning Policy",'1. All Data'!$R$3:$R$128,"Deferred")</f>
        <v>0</v>
      </c>
      <c r="R85" s="159">
        <f>Q85/Q87</f>
        <v>0</v>
      </c>
      <c r="S85" s="159">
        <f>R85</f>
        <v>0</v>
      </c>
      <c r="T85" s="122"/>
      <c r="U85" s="47"/>
      <c r="W85" s="78" t="s">
        <v>347</v>
      </c>
      <c r="X85" s="72"/>
      <c r="Y85" s="79"/>
      <c r="Z85" s="79"/>
      <c r="AA85" s="51"/>
      <c r="AB85" s="47"/>
      <c r="AC85" s="33"/>
    </row>
    <row r="86" spans="2:29" ht="15.75" customHeight="1">
      <c r="B86" s="161" t="s">
        <v>348</v>
      </c>
      <c r="C86" s="154">
        <f>COUNTIFS('1. All Data'!$AC$3:$AC$128,"Regeneration &amp; Planning Policy",'1. All Data'!$H$3:$H$128,"Deleted")</f>
        <v>0</v>
      </c>
      <c r="D86" s="159">
        <f>C86/C87</f>
        <v>0</v>
      </c>
      <c r="E86" s="159">
        <f>D86</f>
        <v>0</v>
      </c>
      <c r="F86" s="122"/>
      <c r="G86" s="123" t="s">
        <v>400</v>
      </c>
      <c r="I86" s="161" t="s">
        <v>348</v>
      </c>
      <c r="J86" s="154">
        <f>COUNTIFS('1. All Data'!$AC$3:$AC$128,"Regeneration &amp; Planning Policy",'1. All Data'!$M$3:$M$128,"Deleted")</f>
        <v>0</v>
      </c>
      <c r="K86" s="159">
        <f>J86/J87</f>
        <v>0</v>
      </c>
      <c r="L86" s="159">
        <f>K86</f>
        <v>0</v>
      </c>
      <c r="M86" s="122"/>
      <c r="N86" s="123" t="s">
        <v>400</v>
      </c>
      <c r="P86" s="161" t="s">
        <v>348</v>
      </c>
      <c r="Q86" s="154">
        <f>COUNTIFS('1. All Data'!$AC$3:$AC$128,"Regeneration &amp; Planning Policy",'1. All Data'!$R$3:$R$128,"Deleted")</f>
        <v>0</v>
      </c>
      <c r="R86" s="159">
        <f>Q86/Q87</f>
        <v>0</v>
      </c>
      <c r="S86" s="159">
        <f>R86</f>
        <v>0</v>
      </c>
      <c r="T86" s="122"/>
      <c r="U86" s="123" t="s">
        <v>400</v>
      </c>
      <c r="W86" s="78" t="s">
        <v>348</v>
      </c>
      <c r="X86" s="72"/>
      <c r="Y86" s="79"/>
      <c r="Z86" s="79"/>
      <c r="AA86" s="51"/>
      <c r="AB86" s="53" t="s">
        <v>400</v>
      </c>
      <c r="AC86" s="33"/>
    </row>
    <row r="87" spans="2:29" ht="15.75" customHeight="1">
      <c r="B87" s="162" t="s">
        <v>401</v>
      </c>
      <c r="C87" s="163">
        <f>SUM(C73:C86)</f>
        <v>29</v>
      </c>
      <c r="D87" s="51"/>
      <c r="E87" s="51"/>
      <c r="F87" s="124"/>
      <c r="G87" s="47"/>
      <c r="I87" s="162" t="s">
        <v>401</v>
      </c>
      <c r="J87" s="163">
        <f>SUM(J73:J86)</f>
        <v>49</v>
      </c>
      <c r="K87" s="51"/>
      <c r="L87" s="51"/>
      <c r="M87" s="124"/>
      <c r="N87" s="47"/>
      <c r="P87" s="162" t="s">
        <v>401</v>
      </c>
      <c r="Q87" s="163">
        <f>SUM(Q73:Q86)</f>
        <v>49</v>
      </c>
      <c r="R87" s="51"/>
      <c r="S87" s="51"/>
      <c r="T87" s="124"/>
      <c r="U87" s="47"/>
      <c r="W87" s="80" t="s">
        <v>401</v>
      </c>
      <c r="X87" s="81"/>
      <c r="Y87" s="51"/>
      <c r="Z87" s="51"/>
      <c r="AA87" s="47"/>
      <c r="AB87" s="47"/>
      <c r="AC87" s="33"/>
    </row>
    <row r="88" spans="2:29" ht="15.75" customHeight="1">
      <c r="B88" s="162" t="s">
        <v>402</v>
      </c>
      <c r="C88" s="163">
        <f>C87-C86-C85-C84-C83</f>
        <v>26</v>
      </c>
      <c r="D88" s="47"/>
      <c r="E88" s="47"/>
      <c r="F88" s="124"/>
      <c r="G88" s="47"/>
      <c r="I88" s="162" t="s">
        <v>402</v>
      </c>
      <c r="J88" s="163">
        <f>J87-J86-J85-J84-J83</f>
        <v>20</v>
      </c>
      <c r="K88" s="47"/>
      <c r="L88" s="47"/>
      <c r="M88" s="124"/>
      <c r="N88" s="47"/>
      <c r="P88" s="162" t="s">
        <v>402</v>
      </c>
      <c r="Q88" s="163">
        <f>Q87-Q86-Q85-Q84-Q83</f>
        <v>20</v>
      </c>
      <c r="R88" s="47"/>
      <c r="S88" s="47"/>
      <c r="T88" s="124"/>
      <c r="U88" s="47"/>
      <c r="W88" s="80" t="s">
        <v>402</v>
      </c>
      <c r="X88" s="81"/>
      <c r="Y88" s="47"/>
      <c r="Z88" s="47"/>
      <c r="AA88" s="47"/>
      <c r="AB88" s="47"/>
      <c r="AC88" s="33"/>
    </row>
    <row r="89" spans="2:29" ht="15.75" customHeight="1">
      <c r="W89" s="54"/>
      <c r="AA89" s="48"/>
      <c r="AC89" s="33"/>
    </row>
    <row r="90" spans="2:29" ht="15.75" customHeight="1">
      <c r="W90" s="32"/>
      <c r="X90" s="32"/>
      <c r="Y90" s="32"/>
      <c r="Z90" s="32"/>
      <c r="AA90" s="32"/>
      <c r="AB90" s="52"/>
      <c r="AC90" s="33"/>
    </row>
    <row r="91" spans="2:29" s="33" customFormat="1" ht="15.75" customHeight="1">
      <c r="B91" s="60"/>
      <c r="C91" s="32"/>
      <c r="D91" s="32"/>
      <c r="E91" s="32"/>
      <c r="F91" s="124"/>
      <c r="G91" s="32"/>
      <c r="I91" s="60"/>
      <c r="J91" s="32"/>
      <c r="K91" s="32"/>
      <c r="L91" s="32"/>
      <c r="M91" s="124"/>
      <c r="N91" s="32"/>
      <c r="P91" s="60"/>
      <c r="Q91" s="32"/>
      <c r="R91" s="32"/>
      <c r="S91" s="32"/>
      <c r="T91" s="124"/>
      <c r="U91" s="32"/>
      <c r="W91" s="32"/>
      <c r="X91" s="32"/>
      <c r="Y91" s="32"/>
      <c r="Z91" s="32"/>
      <c r="AA91" s="32"/>
      <c r="AB91" s="52"/>
    </row>
    <row r="92" spans="2:29" s="33" customFormat="1" ht="15.75">
      <c r="B92" s="173" t="s">
        <v>434</v>
      </c>
      <c r="C92" s="165"/>
      <c r="D92" s="165"/>
      <c r="E92" s="165"/>
      <c r="F92" s="166"/>
      <c r="G92" s="165"/>
      <c r="I92" s="173" t="s">
        <v>434</v>
      </c>
      <c r="J92" s="165"/>
      <c r="K92" s="165"/>
      <c r="L92" s="165"/>
      <c r="M92" s="166"/>
      <c r="N92" s="165"/>
      <c r="P92" s="173" t="s">
        <v>434</v>
      </c>
      <c r="Q92" s="165"/>
      <c r="R92" s="165"/>
      <c r="S92" s="165"/>
      <c r="T92" s="166"/>
      <c r="U92" s="165"/>
      <c r="W92" s="164" t="s">
        <v>430</v>
      </c>
      <c r="X92" s="165"/>
      <c r="Y92" s="165"/>
      <c r="Z92" s="165"/>
      <c r="AA92" s="166"/>
      <c r="AB92" s="165"/>
    </row>
    <row r="93" spans="2:29" ht="36" customHeight="1">
      <c r="B93" s="167" t="s">
        <v>392</v>
      </c>
      <c r="C93" s="168" t="s">
        <v>393</v>
      </c>
      <c r="D93" s="168" t="s">
        <v>394</v>
      </c>
      <c r="E93" s="168" t="s">
        <v>395</v>
      </c>
      <c r="F93" s="167" t="s">
        <v>396</v>
      </c>
      <c r="G93" s="168" t="s">
        <v>397</v>
      </c>
      <c r="I93" s="167" t="s">
        <v>392</v>
      </c>
      <c r="J93" s="168" t="s">
        <v>393</v>
      </c>
      <c r="K93" s="168" t="s">
        <v>394</v>
      </c>
      <c r="L93" s="168" t="s">
        <v>395</v>
      </c>
      <c r="M93" s="167" t="s">
        <v>396</v>
      </c>
      <c r="N93" s="168" t="s">
        <v>397</v>
      </c>
      <c r="P93" s="167" t="s">
        <v>392</v>
      </c>
      <c r="Q93" s="168" t="s">
        <v>393</v>
      </c>
      <c r="R93" s="168" t="s">
        <v>394</v>
      </c>
      <c r="S93" s="168" t="s">
        <v>395</v>
      </c>
      <c r="T93" s="167" t="s">
        <v>396</v>
      </c>
      <c r="U93" s="168" t="s">
        <v>397</v>
      </c>
      <c r="W93" s="85" t="s">
        <v>392</v>
      </c>
      <c r="X93" s="85" t="s">
        <v>393</v>
      </c>
      <c r="Y93" s="85" t="s">
        <v>394</v>
      </c>
      <c r="Z93" s="85" t="s">
        <v>395</v>
      </c>
      <c r="AA93" s="85" t="s">
        <v>396</v>
      </c>
      <c r="AB93" s="85" t="s">
        <v>397</v>
      </c>
      <c r="AC93" s="33"/>
    </row>
    <row r="94" spans="2:29" s="33" customFormat="1" ht="7.5" customHeight="1">
      <c r="B94" s="30"/>
      <c r="C94" s="31"/>
      <c r="D94" s="31"/>
      <c r="E94" s="31"/>
      <c r="F94" s="30"/>
      <c r="G94" s="31"/>
      <c r="I94" s="30"/>
      <c r="J94" s="31"/>
      <c r="K94" s="31"/>
      <c r="L94" s="31"/>
      <c r="M94" s="30"/>
      <c r="N94" s="31"/>
      <c r="P94" s="30"/>
      <c r="Q94" s="31"/>
      <c r="R94" s="31"/>
      <c r="S94" s="31"/>
      <c r="T94" s="30"/>
      <c r="U94" s="31"/>
      <c r="W94" s="30"/>
      <c r="X94" s="31"/>
      <c r="Y94" s="31"/>
      <c r="Z94" s="31"/>
      <c r="AA94" s="31"/>
      <c r="AB94" s="31"/>
    </row>
    <row r="95" spans="2:29" ht="18.75" customHeight="1">
      <c r="B95" s="153" t="s">
        <v>398</v>
      </c>
      <c r="C95" s="154">
        <f>COUNTIFS('1. All Data'!$AC$3:$AC$128,"Regulatory &amp; Community Support",'1. All Data'!$H$3:$H$128,"Fully Achieved")</f>
        <v>1</v>
      </c>
      <c r="D95" s="155">
        <f>C95/C109</f>
        <v>7.6923076923076927E-2</v>
      </c>
      <c r="E95" s="391">
        <f>D95+D96</f>
        <v>0.92307692307692313</v>
      </c>
      <c r="F95" s="156">
        <f>C95/C110</f>
        <v>8.3333333333333329E-2</v>
      </c>
      <c r="G95" s="399">
        <f>F95+F96</f>
        <v>1</v>
      </c>
      <c r="I95" s="153" t="s">
        <v>398</v>
      </c>
      <c r="J95" s="154">
        <f>COUNTIFS('1. All Data'!$AC$3:$AC$128,"Regulatory &amp; Community Support",'1. All Data'!$M$3:$M$128,"Fully Achieved")</f>
        <v>0</v>
      </c>
      <c r="K95" s="155">
        <f>J95/J109</f>
        <v>0</v>
      </c>
      <c r="L95" s="391">
        <f>K95+K96</f>
        <v>0</v>
      </c>
      <c r="M95" s="156">
        <f>J95/J110</f>
        <v>0</v>
      </c>
      <c r="N95" s="399">
        <f>M95+M96</f>
        <v>0</v>
      </c>
      <c r="P95" s="153" t="s">
        <v>398</v>
      </c>
      <c r="Q95" s="154">
        <f>COUNTIFS('1. All Data'!$AC$3:$AC$128,"Regulatory &amp; Community Support",'1. All Data'!$R$3:$R$128,"Fully Achieved")</f>
        <v>0</v>
      </c>
      <c r="R95" s="155">
        <f>Q95/Q109</f>
        <v>0</v>
      </c>
      <c r="S95" s="391">
        <f>R95+R96</f>
        <v>0</v>
      </c>
      <c r="T95" s="156">
        <f>Q95/Q110</f>
        <v>0</v>
      </c>
      <c r="U95" s="399">
        <f>T95+T96</f>
        <v>0</v>
      </c>
      <c r="W95" s="71" t="s">
        <v>398</v>
      </c>
      <c r="X95" s="72"/>
      <c r="Y95" s="74"/>
      <c r="Z95" s="351"/>
      <c r="AA95" s="74"/>
      <c r="AB95" s="366">
        <f>AA95+AA96</f>
        <v>0</v>
      </c>
      <c r="AC95" s="33"/>
    </row>
    <row r="96" spans="2:29" ht="18.75" customHeight="1">
      <c r="B96" s="153" t="s">
        <v>349</v>
      </c>
      <c r="C96" s="154">
        <f>COUNTIFS('1. All Data'!$AC$3:$AC$128,"Regulatory &amp; Community Support",'1. All Data'!$H$3:$H$128,"On Track to be Achieved")</f>
        <v>11</v>
      </c>
      <c r="D96" s="155">
        <f>C96/C109</f>
        <v>0.84615384615384615</v>
      </c>
      <c r="E96" s="391"/>
      <c r="F96" s="156">
        <f>C96/C110</f>
        <v>0.91666666666666663</v>
      </c>
      <c r="G96" s="399"/>
      <c r="I96" s="153" t="s">
        <v>349</v>
      </c>
      <c r="J96" s="154">
        <f>COUNTIFS('1. All Data'!$AC$3:$AC$128,"Regulatory &amp; Community Support",'1. All Data'!$M$3:$M$128,"On Track to be Achieved")</f>
        <v>0</v>
      </c>
      <c r="K96" s="155">
        <f>J96/J109</f>
        <v>0</v>
      </c>
      <c r="L96" s="391"/>
      <c r="M96" s="156">
        <f>J96/J110</f>
        <v>0</v>
      </c>
      <c r="N96" s="399"/>
      <c r="P96" s="153" t="s">
        <v>349</v>
      </c>
      <c r="Q96" s="154">
        <f>COUNTIFS('1. All Data'!$AC$3:$AC$128,"Regulatory &amp; Community Support",'1. All Data'!$R$3:$R$128,"On Track to be Achieved")</f>
        <v>0</v>
      </c>
      <c r="R96" s="155">
        <f>Q96/Q109</f>
        <v>0</v>
      </c>
      <c r="S96" s="391"/>
      <c r="T96" s="156">
        <f>Q96/Q110</f>
        <v>0</v>
      </c>
      <c r="U96" s="399"/>
      <c r="W96" s="71" t="s">
        <v>349</v>
      </c>
      <c r="X96" s="72"/>
      <c r="Y96" s="74"/>
      <c r="Z96" s="351"/>
      <c r="AA96" s="74"/>
      <c r="AB96" s="366"/>
      <c r="AC96" s="33"/>
    </row>
    <row r="97" spans="2:29" s="33" customFormat="1" ht="6.75" customHeight="1">
      <c r="B97" s="30"/>
      <c r="C97" s="44"/>
      <c r="D97" s="41"/>
      <c r="E97" s="41"/>
      <c r="F97" s="120"/>
      <c r="G97" s="42"/>
      <c r="I97" s="30"/>
      <c r="J97" s="44"/>
      <c r="K97" s="41"/>
      <c r="L97" s="41"/>
      <c r="M97" s="120"/>
      <c r="N97" s="42"/>
      <c r="P97" s="30"/>
      <c r="Q97" s="44"/>
      <c r="R97" s="41"/>
      <c r="S97" s="41"/>
      <c r="T97" s="120"/>
      <c r="U97" s="42"/>
      <c r="W97" s="34"/>
      <c r="X97" s="35"/>
      <c r="Y97" s="36"/>
      <c r="Z97" s="36"/>
      <c r="AA97" s="36"/>
      <c r="AB97" s="37"/>
    </row>
    <row r="98" spans="2:29" ht="16.5" customHeight="1">
      <c r="B98" s="385" t="s">
        <v>350</v>
      </c>
      <c r="C98" s="393">
        <f>COUNTIFS('1. All Data'!$AC$3:$AC$128,"Regulatory &amp; Community Support",'1. All Data'!$H$3:$H$128,"In Danger of Falling Behind Target")</f>
        <v>0</v>
      </c>
      <c r="D98" s="396">
        <f>C98/C109</f>
        <v>0</v>
      </c>
      <c r="E98" s="396">
        <f>D98</f>
        <v>0</v>
      </c>
      <c r="F98" s="379">
        <f>C98/C110</f>
        <v>0</v>
      </c>
      <c r="G98" s="382">
        <f>F98</f>
        <v>0</v>
      </c>
      <c r="I98" s="385" t="s">
        <v>350</v>
      </c>
      <c r="J98" s="388">
        <f>COUNTIFS('1. All Data'!$AC$3:$AC$128,"Regulatory &amp; Community Support",'1. All Data'!$M$3:$M$128,"In Danger of Falling Behind Target")</f>
        <v>0</v>
      </c>
      <c r="K98" s="396">
        <f>J98/J109</f>
        <v>0</v>
      </c>
      <c r="L98" s="396">
        <f>K98</f>
        <v>0</v>
      </c>
      <c r="M98" s="379">
        <f>J98/J110</f>
        <v>0</v>
      </c>
      <c r="N98" s="382">
        <f>M98</f>
        <v>0</v>
      </c>
      <c r="P98" s="385" t="s">
        <v>350</v>
      </c>
      <c r="Q98" s="388">
        <f>COUNTIFS('1. All Data'!$AC$3:$AC$128,"Regulatory &amp; Community Support",'1. All Data'!$R$3:$R$128,"In Danger of Falling Behind Target")</f>
        <v>0</v>
      </c>
      <c r="R98" s="396">
        <f>Q98/Q109</f>
        <v>0</v>
      </c>
      <c r="S98" s="396">
        <f>R98</f>
        <v>0</v>
      </c>
      <c r="T98" s="379">
        <f>Q98/Q110</f>
        <v>0</v>
      </c>
      <c r="U98" s="382">
        <f>T98</f>
        <v>0</v>
      </c>
      <c r="W98" s="92" t="s">
        <v>342</v>
      </c>
      <c r="X98" s="93"/>
      <c r="Y98" s="74"/>
      <c r="Z98" s="351"/>
      <c r="AA98" s="74"/>
      <c r="AB98" s="352">
        <f>AA98</f>
        <v>0</v>
      </c>
      <c r="AC98" s="33"/>
    </row>
    <row r="99" spans="2:29" ht="16.5" customHeight="1">
      <c r="B99" s="386"/>
      <c r="C99" s="394"/>
      <c r="D99" s="397"/>
      <c r="E99" s="397"/>
      <c r="F99" s="380"/>
      <c r="G99" s="383"/>
      <c r="I99" s="386"/>
      <c r="J99" s="389">
        <f>COUNTIFS('1. All Data'!$AC$3:$AC$128,"LEADER",'1. All Data'!$H$3:$H$128,"On Track to be Achieved")</f>
        <v>10</v>
      </c>
      <c r="K99" s="397"/>
      <c r="L99" s="397"/>
      <c r="M99" s="380"/>
      <c r="N99" s="383"/>
      <c r="P99" s="386"/>
      <c r="Q99" s="389">
        <f>COUNTIFS('1. All Data'!$AC$3:$AC$128,"LEADER",'1. All Data'!$H$3:$H$128,"On Track to be Achieved")</f>
        <v>10</v>
      </c>
      <c r="R99" s="397"/>
      <c r="S99" s="397"/>
      <c r="T99" s="380"/>
      <c r="U99" s="383"/>
      <c r="W99" s="92" t="s">
        <v>343</v>
      </c>
      <c r="X99" s="93"/>
      <c r="Y99" s="74"/>
      <c r="Z99" s="351"/>
      <c r="AA99" s="74"/>
      <c r="AB99" s="352"/>
      <c r="AC99" s="33"/>
    </row>
    <row r="100" spans="2:29" ht="16.5" customHeight="1">
      <c r="B100" s="387"/>
      <c r="C100" s="395"/>
      <c r="D100" s="398"/>
      <c r="E100" s="398"/>
      <c r="F100" s="381"/>
      <c r="G100" s="384"/>
      <c r="I100" s="387"/>
      <c r="J100" s="390">
        <f>COUNTIFS('1. All Data'!$AC$3:$AC$128,"LEADER",'1. All Data'!$H$3:$H$128,"On Track to be Achieved")</f>
        <v>10</v>
      </c>
      <c r="K100" s="398"/>
      <c r="L100" s="398"/>
      <c r="M100" s="381"/>
      <c r="N100" s="384"/>
      <c r="P100" s="387"/>
      <c r="Q100" s="390">
        <f>COUNTIFS('1. All Data'!$AC$3:$AC$128,"LEADER",'1. All Data'!$H$3:$H$128,"On Track to be Achieved")</f>
        <v>10</v>
      </c>
      <c r="R100" s="398"/>
      <c r="S100" s="398"/>
      <c r="T100" s="381"/>
      <c r="U100" s="384"/>
      <c r="W100" s="92" t="s">
        <v>346</v>
      </c>
      <c r="X100" s="93"/>
      <c r="Y100" s="74"/>
      <c r="Z100" s="351"/>
      <c r="AA100" s="74"/>
      <c r="AB100" s="352"/>
      <c r="AC100" s="33"/>
    </row>
    <row r="101" spans="2:29" s="33" customFormat="1" ht="6" customHeight="1">
      <c r="B101" s="30"/>
      <c r="C101" s="31"/>
      <c r="D101" s="41"/>
      <c r="E101" s="41"/>
      <c r="F101" s="120"/>
      <c r="G101" s="42"/>
      <c r="I101" s="30"/>
      <c r="J101" s="31"/>
      <c r="K101" s="41"/>
      <c r="L101" s="41"/>
      <c r="M101" s="120"/>
      <c r="N101" s="42"/>
      <c r="P101" s="30"/>
      <c r="Q101" s="31"/>
      <c r="R101" s="41"/>
      <c r="S101" s="41"/>
      <c r="T101" s="120"/>
      <c r="U101" s="42"/>
      <c r="W101" s="30"/>
      <c r="X101" s="31"/>
      <c r="Y101" s="41"/>
      <c r="Z101" s="41"/>
      <c r="AA101" s="41"/>
      <c r="AB101" s="42"/>
    </row>
    <row r="102" spans="2:29" ht="22.5" customHeight="1">
      <c r="B102" s="157" t="s">
        <v>351</v>
      </c>
      <c r="C102" s="154">
        <f>COUNTIFS('1. All Data'!$AC$3:$AC$128,"Regulatory &amp; Community Support",'1. All Data'!$H$3:$H$128,"Completed Behind Schedule")</f>
        <v>0</v>
      </c>
      <c r="D102" s="155">
        <f>C102/C109</f>
        <v>0</v>
      </c>
      <c r="E102" s="391">
        <f>D102+D103</f>
        <v>0</v>
      </c>
      <c r="F102" s="156">
        <f>C102/C110</f>
        <v>0</v>
      </c>
      <c r="G102" s="392">
        <f>F102+F103</f>
        <v>0</v>
      </c>
      <c r="I102" s="157" t="s">
        <v>351</v>
      </c>
      <c r="J102" s="154">
        <f>COUNTIFS('1. All Data'!$AC$3:$AC$128,"Regulatory &amp; Community Support",'1. All Data'!$M$3:$M$128,"Completed Behind Schedule")</f>
        <v>0</v>
      </c>
      <c r="K102" s="155">
        <f>J102/J109</f>
        <v>0</v>
      </c>
      <c r="L102" s="391">
        <f>K102+K103</f>
        <v>0</v>
      </c>
      <c r="M102" s="156">
        <f>J102/J110</f>
        <v>0</v>
      </c>
      <c r="N102" s="392">
        <f>M102+M103</f>
        <v>0</v>
      </c>
      <c r="P102" s="157" t="s">
        <v>351</v>
      </c>
      <c r="Q102" s="154">
        <f>COUNTIFS('1. All Data'!$AC$3:$AC$128,"Regulatory &amp; Community Support",'1. All Data'!$R$3:$R$128,"Completed Behind Schedule")</f>
        <v>0</v>
      </c>
      <c r="R102" s="155">
        <f>Q102/Q109</f>
        <v>0</v>
      </c>
      <c r="S102" s="391">
        <f>R102+R103</f>
        <v>0</v>
      </c>
      <c r="T102" s="156">
        <f>Q102/Q110</f>
        <v>0</v>
      </c>
      <c r="U102" s="392">
        <f>T102+T103</f>
        <v>0</v>
      </c>
      <c r="W102" s="75" t="s">
        <v>345</v>
      </c>
      <c r="X102" s="94"/>
      <c r="Y102" s="74"/>
      <c r="Z102" s="351"/>
      <c r="AA102" s="74"/>
      <c r="AB102" s="353">
        <f>AA102+AA103</f>
        <v>0</v>
      </c>
      <c r="AC102" s="33"/>
    </row>
    <row r="103" spans="2:29" ht="22.5" customHeight="1">
      <c r="B103" s="157" t="s">
        <v>344</v>
      </c>
      <c r="C103" s="154">
        <f>COUNTIFS('1. All Data'!$AC$3:$AC$128,"Regulatory &amp; Community Support",'1. All Data'!$H$3:$H$128,"Off Target")</f>
        <v>0</v>
      </c>
      <c r="D103" s="155">
        <f>C103/C109</f>
        <v>0</v>
      </c>
      <c r="E103" s="391"/>
      <c r="F103" s="156">
        <f>C103/C110</f>
        <v>0</v>
      </c>
      <c r="G103" s="392"/>
      <c r="I103" s="157" t="s">
        <v>344</v>
      </c>
      <c r="J103" s="154">
        <f>COUNTIFS('1. All Data'!$AC$3:$AC$128,"Regulatory &amp; Community Support",'1. All Data'!$M$3:$M$128,"Off Target")</f>
        <v>0</v>
      </c>
      <c r="K103" s="155">
        <f>J103/J109</f>
        <v>0</v>
      </c>
      <c r="L103" s="391"/>
      <c r="M103" s="156">
        <f>J103/J110</f>
        <v>0</v>
      </c>
      <c r="N103" s="392"/>
      <c r="P103" s="157" t="s">
        <v>344</v>
      </c>
      <c r="Q103" s="154">
        <f>COUNTIFS('1. All Data'!$AC$3:$AC$128,"Regulatory &amp; Community Support",'1. All Data'!$R$3:$R$128,"Off Target")</f>
        <v>0</v>
      </c>
      <c r="R103" s="155">
        <f>Q103/Q109</f>
        <v>0</v>
      </c>
      <c r="S103" s="391"/>
      <c r="T103" s="156">
        <f>Q103/Q110</f>
        <v>0</v>
      </c>
      <c r="U103" s="392"/>
      <c r="W103" s="75" t="s">
        <v>344</v>
      </c>
      <c r="X103" s="94"/>
      <c r="Y103" s="74"/>
      <c r="Z103" s="351"/>
      <c r="AA103" s="74"/>
      <c r="AB103" s="353"/>
      <c r="AC103" s="33"/>
    </row>
    <row r="104" spans="2:29" s="33" customFormat="1" ht="6.75" customHeight="1">
      <c r="B104" s="30"/>
      <c r="C104" s="44"/>
      <c r="D104" s="41"/>
      <c r="E104" s="41"/>
      <c r="F104" s="120"/>
      <c r="G104" s="45"/>
      <c r="I104" s="30"/>
      <c r="J104" s="44"/>
      <c r="K104" s="41"/>
      <c r="L104" s="41"/>
      <c r="M104" s="120"/>
      <c r="N104" s="45"/>
      <c r="P104" s="30"/>
      <c r="Q104" s="44"/>
      <c r="R104" s="41"/>
      <c r="S104" s="41"/>
      <c r="T104" s="120"/>
      <c r="U104" s="45"/>
      <c r="W104" s="30"/>
      <c r="X104" s="44"/>
      <c r="Y104" s="41"/>
      <c r="Z104" s="41"/>
      <c r="AA104" s="41"/>
      <c r="AB104" s="45"/>
    </row>
    <row r="105" spans="2:29" ht="15.75" customHeight="1">
      <c r="B105" s="160" t="s">
        <v>399</v>
      </c>
      <c r="C105" s="154">
        <f>COUNTIFS('1. All Data'!$AC$3:$AC$128,"Regulatory &amp; Community Support",'1. All Data'!$H$3:$H$128,"Not yet due")</f>
        <v>1</v>
      </c>
      <c r="D105" s="158">
        <f>C105/C109</f>
        <v>7.6923076923076927E-2</v>
      </c>
      <c r="E105" s="158">
        <f>D105</f>
        <v>7.6923076923076927E-2</v>
      </c>
      <c r="F105" s="121"/>
      <c r="G105" s="47"/>
      <c r="I105" s="160" t="s">
        <v>399</v>
      </c>
      <c r="J105" s="154">
        <f>COUNTIFS('1. All Data'!$AC$3:$AC$128,"Regulatory &amp; Community Support",'1. All Data'!$M$3:$M$128,"Not yet due")</f>
        <v>0</v>
      </c>
      <c r="K105" s="158">
        <f>J105/J109</f>
        <v>0</v>
      </c>
      <c r="L105" s="158">
        <f>K105</f>
        <v>0</v>
      </c>
      <c r="M105" s="121"/>
      <c r="N105" s="47"/>
      <c r="P105" s="160" t="s">
        <v>399</v>
      </c>
      <c r="Q105" s="154">
        <f>COUNTIFS('1. All Data'!$AC$3:$AC$128,"Regulatory &amp; Community Support",'1. All Data'!$R$3:$R$128,"Not yet due")</f>
        <v>0</v>
      </c>
      <c r="R105" s="158">
        <f>Q105/Q109</f>
        <v>0</v>
      </c>
      <c r="S105" s="158">
        <f>R105</f>
        <v>0</v>
      </c>
      <c r="T105" s="121"/>
      <c r="U105" s="47"/>
      <c r="W105" s="76" t="s">
        <v>399</v>
      </c>
      <c r="X105" s="72"/>
      <c r="Y105" s="77"/>
      <c r="Z105" s="77"/>
      <c r="AA105" s="46"/>
      <c r="AB105" s="47"/>
      <c r="AC105" s="33"/>
    </row>
    <row r="106" spans="2:29" ht="15.75" customHeight="1">
      <c r="B106" s="160" t="s">
        <v>339</v>
      </c>
      <c r="C106" s="154">
        <f>COUNTIFS('1. All Data'!$AC$3:$AC$128,"Regulatory &amp; Community Support",'1. All Data'!$H$3:$H$128,"Update not provided")</f>
        <v>0</v>
      </c>
      <c r="D106" s="158">
        <f>C106/C109</f>
        <v>0</v>
      </c>
      <c r="E106" s="158">
        <f>D106</f>
        <v>0</v>
      </c>
      <c r="F106" s="121"/>
      <c r="G106" s="49"/>
      <c r="I106" s="160" t="s">
        <v>339</v>
      </c>
      <c r="J106" s="154">
        <f>COUNTIFS('1. All Data'!$AC$3:$AC$128,"Regulatory &amp; Community Support",'1. All Data'!$M$3:$M$128,"Update not provided")</f>
        <v>13</v>
      </c>
      <c r="K106" s="158">
        <f>J106/J109</f>
        <v>0.39393939393939392</v>
      </c>
      <c r="L106" s="158">
        <f>K106</f>
        <v>0.39393939393939392</v>
      </c>
      <c r="M106" s="121"/>
      <c r="N106" s="49"/>
      <c r="P106" s="160" t="s">
        <v>339</v>
      </c>
      <c r="Q106" s="154">
        <f>COUNTIFS('1. All Data'!$AC$3:$AC$128,"Regulatory &amp; Community Support",'1. All Data'!$R$3:$R$128,"Update not provided")</f>
        <v>13</v>
      </c>
      <c r="R106" s="158">
        <f>Q106/Q109</f>
        <v>0.39393939393939392</v>
      </c>
      <c r="S106" s="158">
        <f>R106</f>
        <v>0.39393939393939392</v>
      </c>
      <c r="T106" s="121"/>
      <c r="U106" s="49"/>
      <c r="W106" s="76" t="s">
        <v>339</v>
      </c>
      <c r="X106" s="72"/>
      <c r="Y106" s="77"/>
      <c r="Z106" s="77"/>
      <c r="AA106" s="46"/>
      <c r="AB106" s="49"/>
      <c r="AC106" s="33"/>
    </row>
    <row r="107" spans="2:29" ht="15.75" customHeight="1">
      <c r="B107" s="161" t="s">
        <v>347</v>
      </c>
      <c r="C107" s="154">
        <f>COUNTIFS('1. All Data'!$AC$3:$AC$128,"Regulatory &amp; Community Support",'1. All Data'!$H$3:$H$128,"Deferred")</f>
        <v>0</v>
      </c>
      <c r="D107" s="159">
        <f>C107/C109</f>
        <v>0</v>
      </c>
      <c r="E107" s="159">
        <f>D107</f>
        <v>0</v>
      </c>
      <c r="F107" s="122"/>
      <c r="G107" s="47"/>
      <c r="I107" s="161" t="s">
        <v>347</v>
      </c>
      <c r="J107" s="154">
        <f>COUNTIFS('1. All Data'!$AC$3:$AC$128,"Regulatory &amp; Community Support",'1. All Data'!$M$3:$M$128,"Deferred")</f>
        <v>0</v>
      </c>
      <c r="K107" s="159">
        <f>J107/J109</f>
        <v>0</v>
      </c>
      <c r="L107" s="159">
        <f>K107</f>
        <v>0</v>
      </c>
      <c r="M107" s="122"/>
      <c r="N107" s="47"/>
      <c r="P107" s="161" t="s">
        <v>347</v>
      </c>
      <c r="Q107" s="154">
        <f>COUNTIFS('1. All Data'!$AC$3:$AC$128,"Regulatory &amp; Community Support",'1. All Data'!$R$3:$R$128,"Deferred")</f>
        <v>0</v>
      </c>
      <c r="R107" s="159">
        <f>Q107/Q109</f>
        <v>0</v>
      </c>
      <c r="S107" s="159">
        <f>R107</f>
        <v>0</v>
      </c>
      <c r="T107" s="122"/>
      <c r="U107" s="47"/>
      <c r="W107" s="78" t="s">
        <v>347</v>
      </c>
      <c r="X107" s="72"/>
      <c r="Y107" s="79"/>
      <c r="Z107" s="79"/>
      <c r="AA107" s="51"/>
      <c r="AB107" s="47"/>
      <c r="AC107" s="33"/>
    </row>
    <row r="108" spans="2:29" ht="15.75" customHeight="1">
      <c r="B108" s="161" t="s">
        <v>348</v>
      </c>
      <c r="C108" s="154">
        <f>COUNTIFS('1. All Data'!$AC$3:$AC$128,"Regulatory &amp; Community Support",'1. All Data'!$H$3:$H$128,"Deleted")</f>
        <v>0</v>
      </c>
      <c r="D108" s="159">
        <f>C108/C109</f>
        <v>0</v>
      </c>
      <c r="E108" s="159">
        <f>D108</f>
        <v>0</v>
      </c>
      <c r="F108" s="122"/>
      <c r="G108" s="123" t="s">
        <v>400</v>
      </c>
      <c r="I108" s="161" t="s">
        <v>348</v>
      </c>
      <c r="J108" s="154">
        <f>COUNTIFS('1. All Data'!$AC$3:$AC$128,"Regulatory &amp; Community Support",'1. All Data'!$M$3:$M$128,"Deleted")</f>
        <v>0</v>
      </c>
      <c r="K108" s="159">
        <f>J108/J109</f>
        <v>0</v>
      </c>
      <c r="L108" s="159">
        <f>K108</f>
        <v>0</v>
      </c>
      <c r="M108" s="122"/>
      <c r="N108" s="123" t="s">
        <v>400</v>
      </c>
      <c r="P108" s="161" t="s">
        <v>348</v>
      </c>
      <c r="Q108" s="154">
        <f>COUNTIFS('1. All Data'!$AC$3:$AC$128,"Regulatory &amp; Community Support",'1. All Data'!$R$3:$R$128,"Deleted")</f>
        <v>0</v>
      </c>
      <c r="R108" s="159">
        <f>Q108/Q109</f>
        <v>0</v>
      </c>
      <c r="S108" s="159">
        <f>R108</f>
        <v>0</v>
      </c>
      <c r="T108" s="122"/>
      <c r="U108" s="123" t="s">
        <v>400</v>
      </c>
      <c r="W108" s="78" t="s">
        <v>348</v>
      </c>
      <c r="X108" s="72"/>
      <c r="Y108" s="79"/>
      <c r="Z108" s="79"/>
      <c r="AA108" s="51"/>
      <c r="AB108" s="53" t="s">
        <v>400</v>
      </c>
      <c r="AC108" s="33"/>
    </row>
    <row r="109" spans="2:29" ht="15.75" customHeight="1">
      <c r="B109" s="162" t="s">
        <v>401</v>
      </c>
      <c r="C109" s="163">
        <f>SUM(C95:C108)</f>
        <v>13</v>
      </c>
      <c r="D109" s="51"/>
      <c r="E109" s="51"/>
      <c r="F109" s="124"/>
      <c r="G109" s="47"/>
      <c r="I109" s="162" t="s">
        <v>401</v>
      </c>
      <c r="J109" s="163">
        <f>SUM(J95:J108)</f>
        <v>33</v>
      </c>
      <c r="K109" s="51"/>
      <c r="L109" s="51"/>
      <c r="M109" s="124"/>
      <c r="N109" s="47"/>
      <c r="P109" s="162" t="s">
        <v>401</v>
      </c>
      <c r="Q109" s="163">
        <f>SUM(Q95:Q108)</f>
        <v>33</v>
      </c>
      <c r="R109" s="51"/>
      <c r="S109" s="51"/>
      <c r="T109" s="124"/>
      <c r="U109" s="47"/>
      <c r="W109" s="80" t="s">
        <v>401</v>
      </c>
      <c r="X109" s="81"/>
      <c r="Y109" s="51"/>
      <c r="Z109" s="51"/>
      <c r="AA109" s="47"/>
      <c r="AB109" s="47"/>
      <c r="AC109" s="33"/>
    </row>
    <row r="110" spans="2:29" ht="15.75" customHeight="1">
      <c r="B110" s="162" t="s">
        <v>402</v>
      </c>
      <c r="C110" s="163">
        <f>C109-C108-C107-C106-C105</f>
        <v>12</v>
      </c>
      <c r="D110" s="47"/>
      <c r="E110" s="47"/>
      <c r="F110" s="124"/>
      <c r="G110" s="47"/>
      <c r="I110" s="162" t="s">
        <v>402</v>
      </c>
      <c r="J110" s="163">
        <f>J109-J108-J107-J106-J105</f>
        <v>20</v>
      </c>
      <c r="K110" s="47"/>
      <c r="L110" s="47"/>
      <c r="M110" s="124"/>
      <c r="N110" s="47"/>
      <c r="P110" s="162" t="s">
        <v>402</v>
      </c>
      <c r="Q110" s="163">
        <f>Q109-Q108-Q107-Q106-Q105</f>
        <v>20</v>
      </c>
      <c r="R110" s="47"/>
      <c r="S110" s="47"/>
      <c r="T110" s="124"/>
      <c r="U110" s="47"/>
      <c r="W110" s="80" t="s">
        <v>402</v>
      </c>
      <c r="X110" s="81"/>
      <c r="Y110" s="47"/>
      <c r="Z110" s="47"/>
      <c r="AA110" s="47"/>
      <c r="AB110" s="47"/>
      <c r="AC110" s="33"/>
    </row>
    <row r="111" spans="2:29" ht="15.75" customHeight="1">
      <c r="W111" s="54"/>
      <c r="AA111" s="48"/>
      <c r="AC111" s="33"/>
    </row>
    <row r="112" spans="2:29" ht="15.75" customHeight="1">
      <c r="W112" s="32"/>
      <c r="X112" s="32"/>
      <c r="Y112" s="32"/>
      <c r="Z112" s="32"/>
      <c r="AA112" s="32"/>
      <c r="AB112" s="52"/>
      <c r="AC112" s="33"/>
    </row>
    <row r="113" spans="23:29" ht="15.75" customHeight="1">
      <c r="W113" s="32"/>
      <c r="X113" s="32"/>
      <c r="Y113" s="32"/>
      <c r="Z113" s="32"/>
      <c r="AA113" s="32"/>
      <c r="AB113" s="52"/>
      <c r="AC113" s="33"/>
    </row>
    <row r="114" spans="23:29">
      <c r="W114" s="32"/>
      <c r="X114" s="32"/>
      <c r="Y114" s="32"/>
      <c r="Z114" s="32"/>
      <c r="AA114" s="32"/>
      <c r="AB114" s="52"/>
      <c r="AC114" s="33"/>
    </row>
    <row r="115" spans="23:29">
      <c r="W115" s="32"/>
      <c r="X115" s="32"/>
      <c r="Y115" s="32"/>
      <c r="Z115" s="32"/>
      <c r="AA115" s="32"/>
      <c r="AB115" s="52"/>
      <c r="AC115" s="33"/>
    </row>
    <row r="116" spans="23:29">
      <c r="W116" s="32"/>
      <c r="X116" s="32"/>
      <c r="Y116" s="32"/>
      <c r="Z116" s="32"/>
      <c r="AA116" s="32"/>
      <c r="AB116" s="52"/>
      <c r="AC116" s="33"/>
    </row>
    <row r="117" spans="23:29">
      <c r="W117" s="32"/>
      <c r="X117" s="32"/>
      <c r="Y117" s="32"/>
      <c r="Z117" s="32"/>
      <c r="AA117" s="32"/>
      <c r="AB117" s="52"/>
      <c r="AC117" s="33"/>
    </row>
    <row r="118" spans="23:29">
      <c r="W118" s="32"/>
      <c r="X118" s="32"/>
      <c r="Y118" s="32"/>
      <c r="Z118" s="32"/>
      <c r="AA118" s="32"/>
      <c r="AB118" s="52"/>
      <c r="AC118" s="33"/>
    </row>
    <row r="119" spans="23:29">
      <c r="W119" s="32"/>
      <c r="X119" s="32"/>
      <c r="Y119" s="32"/>
      <c r="Z119" s="32"/>
      <c r="AA119" s="32"/>
      <c r="AB119" s="52"/>
      <c r="AC119" s="33"/>
    </row>
    <row r="120" spans="23:29">
      <c r="W120" s="32"/>
      <c r="X120" s="32"/>
      <c r="Y120" s="32"/>
      <c r="Z120" s="32"/>
      <c r="AA120" s="32"/>
      <c r="AB120" s="52"/>
      <c r="AC120" s="33"/>
    </row>
    <row r="121" spans="23:29">
      <c r="W121" s="32"/>
      <c r="X121" s="32"/>
      <c r="Y121" s="32"/>
      <c r="Z121" s="32"/>
      <c r="AA121" s="32"/>
      <c r="AB121" s="52"/>
      <c r="AC121" s="33"/>
    </row>
    <row r="122" spans="23:29">
      <c r="W122" s="32"/>
      <c r="X122" s="32"/>
      <c r="Y122" s="32"/>
      <c r="Z122" s="32"/>
      <c r="AA122" s="32"/>
      <c r="AB122" s="52"/>
      <c r="AC122" s="33"/>
    </row>
    <row r="123" spans="23:29">
      <c r="W123" s="32"/>
      <c r="X123" s="32"/>
      <c r="Y123" s="32"/>
      <c r="Z123" s="32"/>
      <c r="AA123" s="32"/>
      <c r="AB123" s="52"/>
      <c r="AC123" s="33"/>
    </row>
    <row r="124" spans="23:29">
      <c r="W124" s="32"/>
      <c r="X124" s="32"/>
      <c r="Y124" s="32"/>
      <c r="Z124" s="32"/>
      <c r="AA124" s="32"/>
      <c r="AB124" s="52"/>
      <c r="AC124" s="33"/>
    </row>
    <row r="125" spans="23:29">
      <c r="W125" s="32"/>
      <c r="X125" s="32"/>
      <c r="Y125" s="32"/>
      <c r="Z125" s="32"/>
      <c r="AA125" s="32"/>
      <c r="AB125" s="52"/>
      <c r="AC125" s="33"/>
    </row>
    <row r="126" spans="23:29">
      <c r="W126" s="32"/>
      <c r="X126" s="32"/>
      <c r="Y126" s="32"/>
      <c r="Z126" s="32"/>
      <c r="AA126" s="32"/>
      <c r="AB126" s="52"/>
      <c r="AC126" s="33"/>
    </row>
    <row r="127" spans="23:29">
      <c r="W127" s="32"/>
      <c r="X127" s="32"/>
      <c r="Y127" s="32"/>
      <c r="Z127" s="32"/>
      <c r="AA127" s="32"/>
      <c r="AB127" s="52"/>
      <c r="AC127" s="33"/>
    </row>
    <row r="128" spans="23:29">
      <c r="W128" s="32"/>
      <c r="X128" s="32"/>
      <c r="Y128" s="32"/>
      <c r="Z128" s="32"/>
      <c r="AA128" s="32"/>
      <c r="AB128" s="52"/>
      <c r="AC128" s="33"/>
    </row>
    <row r="129" spans="23:29">
      <c r="W129" s="32"/>
      <c r="X129" s="32"/>
      <c r="Y129" s="32"/>
      <c r="Z129" s="32"/>
      <c r="AA129" s="32"/>
      <c r="AB129" s="52"/>
      <c r="AC129" s="33"/>
    </row>
    <row r="130" spans="23:29">
      <c r="W130" s="32"/>
      <c r="X130" s="32"/>
      <c r="Y130" s="32"/>
      <c r="Z130" s="32"/>
      <c r="AA130" s="32"/>
      <c r="AB130" s="52"/>
      <c r="AC130" s="33"/>
    </row>
    <row r="131" spans="23:29">
      <c r="W131" s="32"/>
      <c r="X131" s="32"/>
      <c r="Y131" s="32"/>
      <c r="Z131" s="32"/>
      <c r="AA131" s="32"/>
      <c r="AB131" s="52"/>
      <c r="AC131" s="33"/>
    </row>
    <row r="132" spans="23:29">
      <c r="W132" s="32"/>
      <c r="X132" s="32"/>
      <c r="Y132" s="32"/>
      <c r="Z132" s="32"/>
      <c r="AA132" s="32"/>
      <c r="AB132" s="52"/>
      <c r="AC132" s="33"/>
    </row>
    <row r="133" spans="23:29">
      <c r="W133" s="32"/>
      <c r="X133" s="32"/>
      <c r="Y133" s="32"/>
      <c r="Z133" s="32"/>
      <c r="AA133" s="32"/>
      <c r="AB133" s="52"/>
      <c r="AC133" s="33"/>
    </row>
    <row r="134" spans="23:29">
      <c r="W134" s="32"/>
      <c r="X134" s="32"/>
      <c r="Y134" s="32"/>
      <c r="Z134" s="32"/>
      <c r="AA134" s="32"/>
      <c r="AB134" s="52"/>
      <c r="AC134" s="33"/>
    </row>
    <row r="135" spans="23:29">
      <c r="W135" s="32"/>
      <c r="X135" s="32"/>
      <c r="Y135" s="32"/>
      <c r="Z135" s="32"/>
      <c r="AA135" s="32"/>
      <c r="AB135" s="52"/>
      <c r="AC135" s="33"/>
    </row>
    <row r="136" spans="23:29">
      <c r="W136" s="32"/>
      <c r="X136" s="32"/>
      <c r="Y136" s="32"/>
      <c r="Z136" s="32"/>
      <c r="AA136" s="32"/>
      <c r="AB136" s="52"/>
      <c r="AC136" s="33"/>
    </row>
    <row r="137" spans="23:29">
      <c r="W137" s="32"/>
      <c r="X137" s="32"/>
      <c r="Y137" s="32"/>
      <c r="Z137" s="32"/>
      <c r="AA137" s="32"/>
      <c r="AB137" s="52"/>
      <c r="AC137" s="33"/>
    </row>
    <row r="138" spans="23:29">
      <c r="W138" s="32"/>
      <c r="X138" s="32"/>
      <c r="Y138" s="32"/>
      <c r="Z138" s="32"/>
      <c r="AA138" s="32"/>
      <c r="AB138" s="52"/>
      <c r="AC138" s="33"/>
    </row>
    <row r="139" spans="23:29">
      <c r="W139" s="32"/>
      <c r="X139" s="32"/>
      <c r="Y139" s="32"/>
      <c r="Z139" s="32"/>
      <c r="AA139" s="32"/>
      <c r="AB139" s="52"/>
      <c r="AC139" s="33"/>
    </row>
    <row r="140" spans="23:29">
      <c r="W140" s="32"/>
      <c r="X140" s="32"/>
      <c r="Y140" s="32"/>
      <c r="Z140" s="32"/>
      <c r="AA140" s="32"/>
      <c r="AB140" s="52"/>
      <c r="AC140" s="33"/>
    </row>
    <row r="141" spans="23:29">
      <c r="W141" s="32"/>
      <c r="X141" s="32"/>
      <c r="Y141" s="32"/>
      <c r="Z141" s="32"/>
      <c r="AA141" s="32"/>
      <c r="AB141" s="52"/>
      <c r="AC141" s="33"/>
    </row>
    <row r="142" spans="23:29">
      <c r="W142" s="32"/>
      <c r="X142" s="32"/>
      <c r="Y142" s="32"/>
      <c r="Z142" s="32"/>
      <c r="AA142" s="32"/>
      <c r="AB142" s="52"/>
      <c r="AC142" s="33"/>
    </row>
    <row r="143" spans="23:29">
      <c r="W143" s="32"/>
      <c r="X143" s="32"/>
      <c r="Y143" s="32"/>
      <c r="Z143" s="32"/>
      <c r="AA143" s="32"/>
      <c r="AB143" s="52"/>
      <c r="AC143" s="33"/>
    </row>
    <row r="144" spans="23:29">
      <c r="W144" s="32"/>
      <c r="X144" s="32"/>
      <c r="Y144" s="32"/>
      <c r="Z144" s="32"/>
      <c r="AA144" s="32"/>
      <c r="AB144" s="52"/>
      <c r="AC144" s="33"/>
    </row>
    <row r="145" spans="23:29">
      <c r="W145" s="32"/>
      <c r="X145" s="32"/>
      <c r="Y145" s="32"/>
      <c r="Z145" s="32"/>
      <c r="AA145" s="32"/>
      <c r="AB145" s="52"/>
      <c r="AC145" s="33"/>
    </row>
    <row r="146" spans="23:29">
      <c r="W146" s="32"/>
      <c r="X146" s="32"/>
      <c r="Y146" s="32"/>
      <c r="Z146" s="32"/>
      <c r="AA146" s="32"/>
      <c r="AB146" s="52"/>
      <c r="AC146" s="33"/>
    </row>
    <row r="147" spans="23:29">
      <c r="W147" s="32"/>
      <c r="X147" s="32"/>
      <c r="Y147" s="32"/>
      <c r="Z147" s="32"/>
      <c r="AA147" s="32"/>
      <c r="AB147" s="52"/>
      <c r="AC147" s="33"/>
    </row>
    <row r="148" spans="23:29">
      <c r="W148" s="32"/>
      <c r="X148" s="32"/>
      <c r="Y148" s="32"/>
      <c r="Z148" s="32"/>
      <c r="AA148" s="32"/>
      <c r="AB148" s="52"/>
      <c r="AC148" s="33"/>
    </row>
    <row r="149" spans="23:29">
      <c r="W149" s="32"/>
      <c r="X149" s="32"/>
      <c r="Y149" s="32"/>
      <c r="Z149" s="32"/>
      <c r="AA149" s="32"/>
      <c r="AB149" s="52"/>
      <c r="AC149" s="33"/>
    </row>
    <row r="150" spans="23:29">
      <c r="W150" s="32"/>
      <c r="X150" s="32"/>
      <c r="Y150" s="32"/>
      <c r="Z150" s="32"/>
      <c r="AA150" s="32"/>
      <c r="AB150" s="52"/>
      <c r="AC150" s="33"/>
    </row>
    <row r="151" spans="23:29">
      <c r="W151" s="32"/>
      <c r="X151" s="32"/>
      <c r="Y151" s="32"/>
      <c r="Z151" s="32"/>
      <c r="AA151" s="32"/>
      <c r="AB151" s="52"/>
      <c r="AC151" s="33"/>
    </row>
    <row r="152" spans="23:29">
      <c r="W152" s="32"/>
      <c r="X152" s="32"/>
      <c r="Y152" s="32"/>
      <c r="Z152" s="32"/>
      <c r="AA152" s="32"/>
      <c r="AB152" s="52"/>
      <c r="AC152" s="33"/>
    </row>
    <row r="153" spans="23:29">
      <c r="W153" s="32"/>
      <c r="X153" s="32"/>
      <c r="Y153" s="32"/>
      <c r="Z153" s="32"/>
      <c r="AA153" s="32"/>
      <c r="AB153" s="52"/>
      <c r="AC153" s="33"/>
    </row>
    <row r="154" spans="23:29">
      <c r="W154" s="32"/>
      <c r="X154" s="32"/>
      <c r="Y154" s="32"/>
      <c r="Z154" s="32"/>
      <c r="AA154" s="32"/>
      <c r="AB154" s="52"/>
      <c r="AC154" s="33"/>
    </row>
    <row r="155" spans="23:29">
      <c r="W155" s="32"/>
      <c r="X155" s="32"/>
      <c r="Y155" s="32"/>
      <c r="Z155" s="32"/>
      <c r="AA155" s="32"/>
      <c r="AB155" s="52"/>
      <c r="AC155" s="33"/>
    </row>
    <row r="156" spans="23:29">
      <c r="W156" s="32"/>
      <c r="X156" s="32"/>
      <c r="Y156" s="32"/>
      <c r="Z156" s="32"/>
      <c r="AA156" s="32"/>
      <c r="AB156" s="52"/>
      <c r="AC156" s="33"/>
    </row>
    <row r="157" spans="23:29">
      <c r="W157" s="32"/>
      <c r="X157" s="32"/>
      <c r="Y157" s="32"/>
      <c r="Z157" s="32"/>
      <c r="AA157" s="32"/>
      <c r="AB157" s="52"/>
      <c r="AC157" s="33"/>
    </row>
    <row r="158" spans="23:29">
      <c r="W158" s="32"/>
      <c r="X158" s="32"/>
      <c r="Y158" s="32"/>
      <c r="Z158" s="32"/>
      <c r="AA158" s="32"/>
      <c r="AB158" s="52"/>
      <c r="AC158" s="33"/>
    </row>
    <row r="159" spans="23:29">
      <c r="W159" s="32"/>
      <c r="X159" s="32"/>
      <c r="Y159" s="32"/>
      <c r="Z159" s="32"/>
      <c r="AA159" s="32"/>
      <c r="AB159" s="52"/>
      <c r="AC159" s="33"/>
    </row>
    <row r="160" spans="23:29">
      <c r="W160" s="32"/>
      <c r="X160" s="32"/>
      <c r="Y160" s="32"/>
      <c r="Z160" s="32"/>
      <c r="AA160" s="32"/>
      <c r="AB160" s="52"/>
      <c r="AC160" s="33"/>
    </row>
    <row r="161" spans="23:29">
      <c r="W161" s="32"/>
      <c r="X161" s="32"/>
      <c r="Y161" s="32"/>
      <c r="Z161" s="32"/>
      <c r="AA161" s="32"/>
      <c r="AB161" s="52"/>
      <c r="AC161" s="33"/>
    </row>
    <row r="162" spans="23:29">
      <c r="W162" s="32"/>
      <c r="X162" s="32"/>
      <c r="Y162" s="32"/>
      <c r="Z162" s="32"/>
      <c r="AA162" s="32"/>
      <c r="AB162" s="52"/>
      <c r="AC162" s="33"/>
    </row>
    <row r="163" spans="23:29">
      <c r="W163" s="32"/>
      <c r="X163" s="32"/>
      <c r="Y163" s="32"/>
      <c r="Z163" s="32"/>
      <c r="AA163" s="32"/>
      <c r="AB163" s="52"/>
      <c r="AC163" s="33"/>
    </row>
    <row r="164" spans="23:29">
      <c r="W164" s="32"/>
      <c r="X164" s="32"/>
      <c r="Y164" s="32"/>
      <c r="Z164" s="32"/>
      <c r="AA164" s="32"/>
      <c r="AB164" s="52"/>
      <c r="AC164" s="33"/>
    </row>
    <row r="165" spans="23:29">
      <c r="W165" s="32"/>
      <c r="X165" s="32"/>
      <c r="Y165" s="32"/>
      <c r="Z165" s="32"/>
      <c r="AA165" s="32"/>
      <c r="AB165" s="52"/>
      <c r="AC165" s="33"/>
    </row>
    <row r="166" spans="23:29">
      <c r="W166" s="32"/>
      <c r="X166" s="32"/>
      <c r="Y166" s="32"/>
      <c r="Z166" s="32"/>
      <c r="AA166" s="32"/>
      <c r="AB166" s="52"/>
      <c r="AC166" s="33"/>
    </row>
    <row r="167" spans="23:29">
      <c r="W167" s="32"/>
      <c r="X167" s="32"/>
      <c r="Y167" s="32"/>
      <c r="Z167" s="32"/>
      <c r="AA167" s="32"/>
      <c r="AB167" s="52"/>
      <c r="AC167" s="33"/>
    </row>
    <row r="168" spans="23:29">
      <c r="W168" s="32"/>
      <c r="X168" s="32"/>
      <c r="Y168" s="32"/>
      <c r="Z168" s="32"/>
      <c r="AA168" s="32"/>
      <c r="AB168" s="52"/>
      <c r="AC168" s="33"/>
    </row>
    <row r="169" spans="23:29">
      <c r="W169" s="32"/>
      <c r="X169" s="32"/>
      <c r="Y169" s="32"/>
      <c r="Z169" s="32"/>
      <c r="AA169" s="32"/>
      <c r="AB169" s="52"/>
      <c r="AC169" s="33"/>
    </row>
    <row r="170" spans="23:29">
      <c r="W170" s="32"/>
      <c r="X170" s="32"/>
      <c r="Y170" s="32"/>
      <c r="Z170" s="32"/>
      <c r="AA170" s="32"/>
      <c r="AB170" s="52"/>
      <c r="AC170" s="33"/>
    </row>
    <row r="171" spans="23:29">
      <c r="W171" s="32"/>
      <c r="X171" s="32"/>
      <c r="Y171" s="32"/>
      <c r="Z171" s="32"/>
      <c r="AA171" s="32"/>
      <c r="AB171" s="52"/>
      <c r="AC171" s="33"/>
    </row>
    <row r="172" spans="23:29">
      <c r="W172" s="32"/>
      <c r="X172" s="32"/>
      <c r="Y172" s="32"/>
      <c r="Z172" s="32"/>
      <c r="AA172" s="32"/>
      <c r="AB172" s="52"/>
      <c r="AC172" s="33"/>
    </row>
    <row r="173" spans="23:29">
      <c r="W173" s="32"/>
      <c r="X173" s="32"/>
      <c r="Y173" s="32"/>
      <c r="Z173" s="32"/>
      <c r="AA173" s="32"/>
      <c r="AB173" s="52"/>
      <c r="AC173" s="33"/>
    </row>
    <row r="174" spans="23:29">
      <c r="W174" s="32"/>
      <c r="X174" s="32"/>
      <c r="Y174" s="32"/>
      <c r="Z174" s="32"/>
      <c r="AA174" s="32"/>
      <c r="AB174" s="52"/>
      <c r="AC174" s="33"/>
    </row>
    <row r="175" spans="23:29">
      <c r="W175" s="32"/>
      <c r="X175" s="32"/>
      <c r="Y175" s="32"/>
      <c r="Z175" s="32"/>
      <c r="AA175" s="32"/>
      <c r="AB175" s="52"/>
      <c r="AC175" s="33"/>
    </row>
    <row r="176" spans="23:29">
      <c r="W176" s="32"/>
      <c r="X176" s="32"/>
      <c r="Y176" s="32"/>
      <c r="Z176" s="32"/>
      <c r="AA176" s="32"/>
      <c r="AB176" s="52"/>
      <c r="AC176" s="33"/>
    </row>
    <row r="177" spans="23:29">
      <c r="W177" s="32"/>
      <c r="X177" s="32"/>
      <c r="Y177" s="32"/>
      <c r="Z177" s="32"/>
      <c r="AA177" s="32"/>
      <c r="AB177" s="52"/>
      <c r="AC177" s="33"/>
    </row>
    <row r="178" spans="23:29">
      <c r="W178" s="32"/>
      <c r="X178" s="32"/>
      <c r="Y178" s="32"/>
      <c r="Z178" s="32"/>
      <c r="AA178" s="32"/>
      <c r="AB178" s="52"/>
      <c r="AC178" s="33"/>
    </row>
    <row r="179" spans="23:29">
      <c r="W179" s="32"/>
      <c r="X179" s="32"/>
      <c r="Y179" s="32"/>
      <c r="Z179" s="32"/>
      <c r="AA179" s="32"/>
      <c r="AB179" s="52"/>
      <c r="AC179" s="33"/>
    </row>
    <row r="180" spans="23:29">
      <c r="W180" s="32"/>
      <c r="X180" s="32"/>
      <c r="Y180" s="32"/>
      <c r="Z180" s="32"/>
      <c r="AA180" s="32"/>
      <c r="AB180" s="52"/>
      <c r="AC180" s="33"/>
    </row>
    <row r="181" spans="23:29">
      <c r="W181" s="32"/>
      <c r="X181" s="32"/>
      <c r="Y181" s="32"/>
      <c r="Z181" s="32"/>
      <c r="AA181" s="32"/>
      <c r="AB181" s="52"/>
      <c r="AC181" s="33"/>
    </row>
    <row r="182" spans="23:29">
      <c r="W182" s="32"/>
      <c r="X182" s="32"/>
      <c r="Y182" s="32"/>
      <c r="Z182" s="32"/>
      <c r="AA182" s="32"/>
      <c r="AB182" s="52"/>
      <c r="AC182" s="33"/>
    </row>
    <row r="183" spans="23:29">
      <c r="W183" s="32"/>
      <c r="X183" s="32"/>
      <c r="Y183" s="32"/>
      <c r="Z183" s="32"/>
      <c r="AA183" s="32"/>
      <c r="AB183" s="52"/>
      <c r="AC183" s="33"/>
    </row>
    <row r="184" spans="23:29">
      <c r="W184" s="32"/>
      <c r="X184" s="32"/>
      <c r="Y184" s="32"/>
      <c r="Z184" s="32"/>
      <c r="AA184" s="32"/>
      <c r="AB184" s="52"/>
      <c r="AC184" s="33"/>
    </row>
    <row r="185" spans="23:29">
      <c r="W185" s="32"/>
      <c r="X185" s="32"/>
      <c r="Y185" s="32"/>
      <c r="Z185" s="32"/>
      <c r="AA185" s="32"/>
      <c r="AB185" s="52"/>
      <c r="AC185" s="33"/>
    </row>
    <row r="186" spans="23:29">
      <c r="W186" s="32"/>
      <c r="X186" s="32"/>
      <c r="Y186" s="32"/>
      <c r="Z186" s="32"/>
      <c r="AA186" s="32"/>
      <c r="AB186" s="52"/>
      <c r="AC186" s="33"/>
    </row>
    <row r="187" spans="23:29">
      <c r="W187" s="32"/>
      <c r="X187" s="32"/>
      <c r="Y187" s="32"/>
      <c r="Z187" s="32"/>
      <c r="AA187" s="32"/>
      <c r="AB187" s="52"/>
      <c r="AC187" s="33"/>
    </row>
    <row r="188" spans="23:29">
      <c r="W188" s="32"/>
      <c r="X188" s="32"/>
      <c r="Y188" s="32"/>
      <c r="Z188" s="32"/>
      <c r="AA188" s="32"/>
      <c r="AB188" s="52"/>
      <c r="AC188" s="33"/>
    </row>
    <row r="189" spans="23:29">
      <c r="W189" s="32"/>
      <c r="X189" s="32"/>
      <c r="Y189" s="32"/>
      <c r="Z189" s="32"/>
      <c r="AA189" s="32"/>
      <c r="AB189" s="52"/>
      <c r="AC189" s="33"/>
    </row>
    <row r="190" spans="23:29">
      <c r="W190" s="32"/>
      <c r="X190" s="32"/>
      <c r="Y190" s="32"/>
      <c r="Z190" s="32"/>
      <c r="AA190" s="32"/>
      <c r="AB190" s="52"/>
      <c r="AC190" s="33"/>
    </row>
    <row r="191" spans="23:29">
      <c r="W191" s="32"/>
      <c r="X191" s="32"/>
      <c r="Y191" s="32"/>
      <c r="Z191" s="32"/>
      <c r="AA191" s="32"/>
      <c r="AB191" s="52"/>
      <c r="AC191" s="33"/>
    </row>
    <row r="192" spans="23:29">
      <c r="W192" s="32"/>
      <c r="X192" s="32"/>
      <c r="Y192" s="32"/>
      <c r="Z192" s="32"/>
      <c r="AA192" s="32"/>
      <c r="AB192" s="52"/>
      <c r="AC192" s="33"/>
    </row>
    <row r="193" spans="23:29">
      <c r="W193" s="32"/>
      <c r="X193" s="32"/>
      <c r="Y193" s="32"/>
      <c r="Z193" s="32"/>
      <c r="AA193" s="32"/>
      <c r="AB193" s="52"/>
      <c r="AC193" s="33"/>
    </row>
    <row r="194" spans="23:29">
      <c r="W194" s="32"/>
      <c r="X194" s="32"/>
      <c r="Y194" s="32"/>
      <c r="Z194" s="32"/>
      <c r="AA194" s="32"/>
      <c r="AB194" s="52"/>
      <c r="AC194" s="33"/>
    </row>
    <row r="195" spans="23:29">
      <c r="W195" s="32"/>
      <c r="X195" s="32"/>
      <c r="Y195" s="32"/>
      <c r="Z195" s="32"/>
      <c r="AA195" s="32"/>
      <c r="AB195" s="52"/>
      <c r="AC195" s="33"/>
    </row>
    <row r="196" spans="23:29">
      <c r="W196" s="32"/>
      <c r="X196" s="32"/>
      <c r="Y196" s="32"/>
      <c r="Z196" s="32"/>
      <c r="AA196" s="32"/>
      <c r="AB196" s="52"/>
      <c r="AC196" s="33"/>
    </row>
    <row r="197" spans="23:29">
      <c r="W197" s="32"/>
      <c r="X197" s="32"/>
      <c r="Y197" s="32"/>
      <c r="Z197" s="32"/>
      <c r="AA197" s="32"/>
      <c r="AB197" s="52"/>
      <c r="AC197" s="33"/>
    </row>
    <row r="198" spans="23:29">
      <c r="W198" s="32"/>
      <c r="X198" s="32"/>
      <c r="Y198" s="32"/>
      <c r="Z198" s="32"/>
      <c r="AA198" s="32"/>
      <c r="AB198" s="52"/>
      <c r="AC198" s="33"/>
    </row>
    <row r="199" spans="23:29">
      <c r="W199" s="32"/>
      <c r="X199" s="32"/>
      <c r="Y199" s="32"/>
      <c r="Z199" s="32"/>
      <c r="AA199" s="32"/>
      <c r="AB199" s="52"/>
      <c r="AC199" s="33"/>
    </row>
    <row r="200" spans="23:29">
      <c r="W200" s="32"/>
      <c r="X200" s="32"/>
      <c r="Y200" s="32"/>
      <c r="Z200" s="32"/>
      <c r="AA200" s="32"/>
      <c r="AB200" s="52"/>
      <c r="AC200" s="33"/>
    </row>
    <row r="201" spans="23:29">
      <c r="W201" s="32"/>
      <c r="X201" s="32"/>
      <c r="Y201" s="32"/>
      <c r="Z201" s="32"/>
      <c r="AA201" s="32"/>
      <c r="AB201" s="52"/>
      <c r="AC201" s="33"/>
    </row>
    <row r="202" spans="23:29">
      <c r="W202" s="32"/>
      <c r="X202" s="32"/>
      <c r="Y202" s="32"/>
      <c r="Z202" s="32"/>
      <c r="AA202" s="32"/>
      <c r="AB202" s="52"/>
      <c r="AC202" s="33"/>
    </row>
    <row r="203" spans="23:29">
      <c r="W203" s="32"/>
      <c r="X203" s="32"/>
      <c r="Y203" s="32"/>
      <c r="Z203" s="32"/>
      <c r="AA203" s="32"/>
      <c r="AB203" s="52"/>
      <c r="AC203" s="33"/>
    </row>
    <row r="204" spans="23:29">
      <c r="W204" s="32"/>
      <c r="X204" s="32"/>
      <c r="Y204" s="32"/>
      <c r="Z204" s="32"/>
      <c r="AA204" s="32"/>
      <c r="AB204" s="52"/>
      <c r="AC204" s="33"/>
    </row>
    <row r="205" spans="23:29">
      <c r="W205" s="32"/>
      <c r="X205" s="32"/>
      <c r="Y205" s="32"/>
      <c r="Z205" s="32"/>
      <c r="AA205" s="32"/>
      <c r="AB205" s="52"/>
      <c r="AC205" s="33"/>
    </row>
    <row r="206" spans="23:29">
      <c r="W206" s="32"/>
      <c r="X206" s="32"/>
      <c r="Y206" s="32"/>
      <c r="Z206" s="32"/>
      <c r="AA206" s="32"/>
      <c r="AB206" s="52"/>
      <c r="AC206" s="33"/>
    </row>
    <row r="207" spans="23:29">
      <c r="W207" s="32"/>
      <c r="X207" s="32"/>
      <c r="Y207" s="32"/>
      <c r="Z207" s="32"/>
      <c r="AA207" s="32"/>
      <c r="AB207" s="52"/>
      <c r="AC207" s="33"/>
    </row>
    <row r="208" spans="23:29">
      <c r="W208" s="32"/>
      <c r="X208" s="32"/>
      <c r="Y208" s="32"/>
      <c r="Z208" s="32"/>
      <c r="AA208" s="32"/>
      <c r="AB208" s="52"/>
      <c r="AC208" s="33"/>
    </row>
    <row r="209" spans="23:29">
      <c r="W209" s="32"/>
      <c r="X209" s="32"/>
      <c r="Y209" s="32"/>
      <c r="Z209" s="32"/>
      <c r="AA209" s="32"/>
      <c r="AB209" s="52"/>
      <c r="AC209" s="33"/>
    </row>
    <row r="210" spans="23:29">
      <c r="W210" s="32"/>
      <c r="X210" s="32"/>
      <c r="Y210" s="32"/>
      <c r="Z210" s="32"/>
      <c r="AA210" s="32"/>
      <c r="AB210" s="52"/>
      <c r="AC210" s="33"/>
    </row>
    <row r="211" spans="23:29">
      <c r="W211" s="32"/>
      <c r="X211" s="32"/>
      <c r="Y211" s="32"/>
      <c r="Z211" s="32"/>
      <c r="AA211" s="32"/>
      <c r="AB211" s="52"/>
      <c r="AC211" s="33"/>
    </row>
    <row r="212" spans="23:29">
      <c r="W212" s="32"/>
      <c r="X212" s="32"/>
      <c r="Y212" s="32"/>
      <c r="Z212" s="32"/>
      <c r="AA212" s="32"/>
      <c r="AB212" s="52"/>
      <c r="AC212" s="33"/>
    </row>
    <row r="213" spans="23:29">
      <c r="W213" s="32"/>
      <c r="X213" s="32"/>
      <c r="Y213" s="32"/>
      <c r="Z213" s="32"/>
      <c r="AA213" s="32"/>
      <c r="AB213" s="52"/>
      <c r="AC213" s="33"/>
    </row>
    <row r="214" spans="23:29">
      <c r="W214" s="32"/>
      <c r="X214" s="32"/>
      <c r="Y214" s="32"/>
      <c r="Z214" s="32"/>
      <c r="AA214" s="32"/>
      <c r="AB214" s="52"/>
      <c r="AC214" s="33"/>
    </row>
    <row r="215" spans="23:29">
      <c r="W215" s="32"/>
      <c r="X215" s="32"/>
      <c r="Y215" s="32"/>
      <c r="Z215" s="32"/>
      <c r="AA215" s="32"/>
      <c r="AB215" s="52"/>
      <c r="AC215" s="33"/>
    </row>
    <row r="216" spans="23:29">
      <c r="W216" s="32"/>
      <c r="X216" s="32"/>
      <c r="Y216" s="32"/>
      <c r="Z216" s="32"/>
      <c r="AA216" s="32"/>
      <c r="AB216" s="52"/>
      <c r="AC216" s="33"/>
    </row>
    <row r="217" spans="23:29">
      <c r="W217" s="32"/>
      <c r="X217" s="32"/>
      <c r="Y217" s="32"/>
      <c r="Z217" s="32"/>
      <c r="AA217" s="32"/>
      <c r="AB217" s="52"/>
      <c r="AC217" s="33"/>
    </row>
  </sheetData>
  <mergeCells count="180">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2:B34"/>
    <mergeCell ref="C32:C34"/>
    <mergeCell ref="D32:D34"/>
    <mergeCell ref="E32:E34"/>
    <mergeCell ref="F32:F34"/>
    <mergeCell ref="G32:G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M54:M56"/>
    <mergeCell ref="N54:N56"/>
    <mergeCell ref="P54:P56"/>
    <mergeCell ref="Q54:Q56"/>
    <mergeCell ref="B76:B78"/>
    <mergeCell ref="C76:C78"/>
    <mergeCell ref="D76:D78"/>
    <mergeCell ref="E76:E78"/>
    <mergeCell ref="F76:F78"/>
    <mergeCell ref="G76:G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M98:M100"/>
    <mergeCell ref="N98:N100"/>
    <mergeCell ref="P98:P100"/>
    <mergeCell ref="Q98:Q100"/>
    <mergeCell ref="Z102:Z103"/>
    <mergeCell ref="AB102:AB103"/>
    <mergeCell ref="E102:E103"/>
    <mergeCell ref="G102:G103"/>
    <mergeCell ref="L102:L103"/>
    <mergeCell ref="N102:N103"/>
    <mergeCell ref="S102:S103"/>
    <mergeCell ref="U102:U103"/>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64" location="INDEX!A1" display="Back to index"/>
    <hyperlink ref="AB86" location="INDEX!A1" display="Back to index"/>
    <hyperlink ref="AB108" location="INDEX!A1" display="Back to index"/>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zoomScale="50" zoomScaleNormal="50" workbookViewId="0">
      <selection activeCell="D1" sqref="D1"/>
    </sheetView>
  </sheetViews>
  <sheetFormatPr defaultColWidth="9.140625" defaultRowHeight="15"/>
  <cols>
    <col min="1" max="1" width="3.42578125" style="191" customWidth="1"/>
    <col min="2" max="9" width="9.140625" style="191"/>
    <col min="10" max="10" width="3.42578125" style="191" customWidth="1"/>
    <col min="11" max="11" width="9.140625" style="192"/>
    <col min="12" max="18" width="9.140625" style="191"/>
    <col min="19" max="19" width="3.42578125" style="191" customWidth="1"/>
    <col min="20" max="27" width="9.140625" style="191" customWidth="1"/>
    <col min="28" max="28" width="3.42578125" style="191" customWidth="1"/>
    <col min="29" max="36" width="9.140625" style="191" customWidth="1"/>
    <col min="37" max="37" width="3.42578125" style="191" customWidth="1"/>
    <col min="38" max="47" width="9.140625" style="191" customWidth="1"/>
    <col min="48" max="50" width="9.140625" style="191"/>
    <col min="51" max="51" width="9.140625" style="197"/>
    <col min="52" max="55" width="10" style="197" customWidth="1"/>
    <col min="56" max="16384" width="9.140625" style="191"/>
  </cols>
  <sheetData>
    <row r="1" spans="2:56" s="190" customFormat="1" ht="35.25" customHeight="1" thickTop="1">
      <c r="B1" s="196" t="s">
        <v>435</v>
      </c>
      <c r="K1" s="400" t="s">
        <v>414</v>
      </c>
      <c r="L1" s="401"/>
      <c r="M1" s="401"/>
      <c r="N1" s="401"/>
      <c r="O1" s="401"/>
      <c r="P1" s="401"/>
      <c r="Q1" s="401"/>
      <c r="R1" s="401"/>
      <c r="S1" s="401"/>
      <c r="T1" s="401"/>
      <c r="U1" s="401"/>
      <c r="V1" s="401"/>
      <c r="W1" s="401"/>
      <c r="X1" s="402"/>
      <c r="AY1" s="196"/>
      <c r="AZ1" s="196"/>
      <c r="BA1" s="196"/>
      <c r="BB1" s="196"/>
      <c r="BC1" s="196"/>
    </row>
    <row r="2" spans="2:56" s="190" customFormat="1" ht="35.25">
      <c r="K2" s="403"/>
      <c r="L2" s="404"/>
      <c r="M2" s="404"/>
      <c r="N2" s="404"/>
      <c r="O2" s="404"/>
      <c r="P2" s="404"/>
      <c r="Q2" s="404"/>
      <c r="R2" s="404"/>
      <c r="S2" s="404"/>
      <c r="T2" s="404"/>
      <c r="U2" s="404"/>
      <c r="V2" s="404"/>
      <c r="W2" s="404"/>
      <c r="X2" s="405"/>
      <c r="AY2" s="196"/>
      <c r="AZ2" s="196"/>
      <c r="BA2" s="196"/>
      <c r="BB2" s="196"/>
      <c r="BC2" s="196"/>
    </row>
    <row r="3" spans="2:56" s="190" customFormat="1" ht="36" thickBot="1">
      <c r="K3" s="406"/>
      <c r="L3" s="407"/>
      <c r="M3" s="407"/>
      <c r="N3" s="407"/>
      <c r="O3" s="407"/>
      <c r="P3" s="407"/>
      <c r="Q3" s="407"/>
      <c r="R3" s="407"/>
      <c r="S3" s="407"/>
      <c r="T3" s="407"/>
      <c r="U3" s="407"/>
      <c r="V3" s="407"/>
      <c r="W3" s="407"/>
      <c r="X3" s="408"/>
      <c r="AY3" s="196"/>
      <c r="AZ3" s="196"/>
      <c r="BA3" s="196"/>
      <c r="BB3" s="196"/>
      <c r="BC3" s="196"/>
    </row>
    <row r="4" spans="2:56" ht="15.75" thickTop="1">
      <c r="N4" s="193" t="s">
        <v>400</v>
      </c>
      <c r="W4" s="193" t="s">
        <v>400</v>
      </c>
      <c r="AF4" s="193" t="s">
        <v>400</v>
      </c>
      <c r="AO4" s="193" t="s">
        <v>400</v>
      </c>
    </row>
    <row r="5" spans="2:56">
      <c r="AY5" s="198" t="s">
        <v>420</v>
      </c>
      <c r="AZ5" s="199"/>
      <c r="BA5" s="199"/>
      <c r="BB5" s="199"/>
      <c r="BC5" s="199"/>
      <c r="BD5" s="192"/>
    </row>
    <row r="6" spans="2:56">
      <c r="AY6" s="200"/>
      <c r="AZ6" s="201" t="s">
        <v>284</v>
      </c>
      <c r="BA6" s="201" t="s">
        <v>285</v>
      </c>
      <c r="BB6" s="201" t="s">
        <v>286</v>
      </c>
      <c r="BC6" s="201" t="s">
        <v>283</v>
      </c>
      <c r="BD6" s="192"/>
    </row>
    <row r="7" spans="2:56">
      <c r="AY7" s="202" t="s">
        <v>416</v>
      </c>
      <c r="AZ7" s="203">
        <f>'3a. % by Portfolio'!G6</f>
        <v>1</v>
      </c>
      <c r="BA7" s="203">
        <f>'3a. % by Portfolio'!N6</f>
        <v>0</v>
      </c>
      <c r="BB7" s="203">
        <f>'3a. % by Portfolio'!U6</f>
        <v>0</v>
      </c>
      <c r="BC7" s="203">
        <f>'3a. % by Portfolio'!AB6</f>
        <v>0</v>
      </c>
      <c r="BD7" s="192"/>
    </row>
    <row r="8" spans="2:56">
      <c r="L8" s="194"/>
      <c r="M8" s="194"/>
      <c r="AY8" s="202" t="s">
        <v>417</v>
      </c>
      <c r="AZ8" s="203">
        <f>'3a. % by Portfolio'!G9</f>
        <v>0</v>
      </c>
      <c r="BA8" s="203">
        <f>'3a. % by Portfolio'!N9</f>
        <v>0</v>
      </c>
      <c r="BB8" s="203">
        <f>'3a. % by Portfolio'!U9</f>
        <v>0</v>
      </c>
      <c r="BC8" s="203">
        <f>'3a. % by Portfolio'!AB9</f>
        <v>0</v>
      </c>
      <c r="BD8" s="192"/>
    </row>
    <row r="9" spans="2:56">
      <c r="L9" s="194"/>
      <c r="M9" s="194"/>
      <c r="AY9" s="202" t="s">
        <v>418</v>
      </c>
      <c r="AZ9" s="203">
        <f>'3a. % by Portfolio'!G13</f>
        <v>0</v>
      </c>
      <c r="BA9" s="203">
        <f>'3a. % by Portfolio'!N13</f>
        <v>0</v>
      </c>
      <c r="BB9" s="203">
        <f>'3a. % by Portfolio'!U13</f>
        <v>0</v>
      </c>
      <c r="BC9" s="203">
        <f>'3a. % by Portfolio'!AB13</f>
        <v>0</v>
      </c>
      <c r="BD9" s="192"/>
    </row>
    <row r="10" spans="2:56">
      <c r="L10" s="194"/>
      <c r="M10" s="194"/>
      <c r="AY10" s="200"/>
      <c r="AZ10" s="204"/>
      <c r="BA10" s="204"/>
      <c r="BB10" s="204"/>
      <c r="BC10" s="204"/>
      <c r="BD10" s="192"/>
    </row>
    <row r="11" spans="2:56">
      <c r="AY11" s="205"/>
      <c r="AZ11" s="206"/>
      <c r="BA11" s="206"/>
      <c r="BB11" s="206"/>
      <c r="BC11" s="206"/>
      <c r="BD11" s="192"/>
    </row>
    <row r="12" spans="2:56">
      <c r="AY12" s="205"/>
      <c r="AZ12" s="206"/>
      <c r="BA12" s="206"/>
      <c r="BB12" s="206"/>
      <c r="BC12" s="206"/>
      <c r="BD12" s="192"/>
    </row>
    <row r="13" spans="2:56">
      <c r="AY13" s="205"/>
      <c r="AZ13" s="206"/>
      <c r="BA13" s="206"/>
      <c r="BB13" s="206"/>
      <c r="BC13" s="206"/>
      <c r="BD13" s="192"/>
    </row>
    <row r="14" spans="2:56">
      <c r="AY14" s="199"/>
      <c r="AZ14" s="199"/>
      <c r="BA14" s="199"/>
      <c r="BB14" s="199"/>
      <c r="BC14" s="199"/>
      <c r="BD14" s="192"/>
    </row>
    <row r="15" spans="2:56">
      <c r="AY15" s="199"/>
      <c r="AZ15" s="199"/>
      <c r="BA15" s="199"/>
      <c r="BB15" s="199"/>
      <c r="BC15" s="199"/>
      <c r="BD15" s="192"/>
    </row>
    <row r="16" spans="2:56">
      <c r="AY16" s="199"/>
      <c r="AZ16" s="199"/>
      <c r="BA16" s="199"/>
      <c r="BB16" s="199"/>
      <c r="BC16" s="199"/>
      <c r="BD16" s="192"/>
    </row>
    <row r="17" spans="12:56">
      <c r="AY17" s="199"/>
      <c r="AZ17" s="199"/>
      <c r="BA17" s="199"/>
      <c r="BB17" s="199"/>
      <c r="BC17" s="199"/>
      <c r="BD17" s="192"/>
    </row>
    <row r="18" spans="12:56">
      <c r="AY18" s="199"/>
      <c r="AZ18" s="199"/>
      <c r="BA18" s="199"/>
      <c r="BB18" s="199"/>
      <c r="BC18" s="199"/>
      <c r="BD18" s="192"/>
    </row>
    <row r="19" spans="12:56">
      <c r="AY19" s="199"/>
      <c r="AZ19" s="199"/>
      <c r="BA19" s="199"/>
      <c r="BB19" s="199"/>
      <c r="BC19" s="199"/>
      <c r="BD19" s="192"/>
    </row>
    <row r="20" spans="12:56">
      <c r="N20" s="193" t="s">
        <v>400</v>
      </c>
      <c r="W20" s="193" t="s">
        <v>400</v>
      </c>
      <c r="AF20" s="193" t="s">
        <v>400</v>
      </c>
      <c r="AO20" s="193" t="s">
        <v>400</v>
      </c>
      <c r="AY20" s="199"/>
      <c r="AZ20" s="199"/>
      <c r="BA20" s="199"/>
      <c r="BB20" s="199"/>
      <c r="BC20" s="199"/>
      <c r="BD20" s="192"/>
    </row>
    <row r="21" spans="12:56">
      <c r="AY21" s="198" t="s">
        <v>431</v>
      </c>
      <c r="AZ21" s="199"/>
      <c r="BA21" s="199"/>
      <c r="BB21" s="199"/>
      <c r="BC21" s="199"/>
      <c r="BD21" s="192"/>
    </row>
    <row r="22" spans="12:56">
      <c r="AY22" s="200"/>
      <c r="AZ22" s="201" t="s">
        <v>284</v>
      </c>
      <c r="BA22" s="201" t="s">
        <v>285</v>
      </c>
      <c r="BB22" s="201" t="s">
        <v>286</v>
      </c>
      <c r="BC22" s="201" t="s">
        <v>283</v>
      </c>
      <c r="BD22" s="192"/>
    </row>
    <row r="23" spans="12:56">
      <c r="AY23" s="202" t="s">
        <v>416</v>
      </c>
      <c r="AZ23" s="203">
        <f>'3a. % by Portfolio'!G29</f>
        <v>0.90909090909090906</v>
      </c>
      <c r="BA23" s="203">
        <f>'3a. % by Portfolio'!N29</f>
        <v>0</v>
      </c>
      <c r="BB23" s="203">
        <f>'3a. % by Portfolio'!U29</f>
        <v>0</v>
      </c>
      <c r="BC23" s="203">
        <f>'3a. % by Portfolio'!AB29</f>
        <v>0</v>
      </c>
      <c r="BD23" s="192"/>
    </row>
    <row r="24" spans="12:56">
      <c r="L24" s="194"/>
      <c r="M24" s="194"/>
      <c r="AY24" s="202" t="s">
        <v>417</v>
      </c>
      <c r="AZ24" s="203">
        <f>'3a. % by Portfolio'!G32</f>
        <v>9.0909090909090912E-2</v>
      </c>
      <c r="BA24" s="203">
        <f>'3a. % by Portfolio'!N32</f>
        <v>0</v>
      </c>
      <c r="BB24" s="203">
        <f>'3a. % by Portfolio'!U32</f>
        <v>0</v>
      </c>
      <c r="BC24" s="203">
        <f>'3a. % by Portfolio'!AB32</f>
        <v>0</v>
      </c>
      <c r="BD24" s="192"/>
    </row>
    <row r="25" spans="12:56">
      <c r="L25" s="194"/>
      <c r="M25" s="194"/>
      <c r="AY25" s="202" t="s">
        <v>418</v>
      </c>
      <c r="AZ25" s="203">
        <f>'3a. % by Portfolio'!G36</f>
        <v>0</v>
      </c>
      <c r="BA25" s="203">
        <f>'3a. % by Portfolio'!N36</f>
        <v>0</v>
      </c>
      <c r="BB25" s="203">
        <f>'3a. % by Portfolio'!U36</f>
        <v>0</v>
      </c>
      <c r="BC25" s="203">
        <f>'3a. % by Portfolio'!AB36</f>
        <v>0</v>
      </c>
      <c r="BD25" s="192"/>
    </row>
    <row r="26" spans="12:56">
      <c r="L26" s="194"/>
      <c r="M26" s="194"/>
      <c r="AY26" s="199"/>
      <c r="AZ26" s="199"/>
      <c r="BA26" s="199"/>
      <c r="BB26" s="199"/>
      <c r="BC26" s="199"/>
      <c r="BD26" s="192"/>
    </row>
    <row r="27" spans="12:56">
      <c r="AY27" s="205"/>
      <c r="AZ27" s="199"/>
      <c r="BA27" s="199"/>
      <c r="BB27" s="199"/>
      <c r="BC27" s="199"/>
      <c r="BD27" s="192"/>
    </row>
    <row r="28" spans="12:56">
      <c r="AY28" s="205"/>
      <c r="AZ28" s="199"/>
      <c r="BA28" s="199"/>
      <c r="BB28" s="199"/>
      <c r="BC28" s="199"/>
      <c r="BD28" s="192"/>
    </row>
    <row r="29" spans="12:56">
      <c r="AY29" s="205"/>
      <c r="AZ29" s="199"/>
      <c r="BA29" s="199"/>
      <c r="BB29" s="199"/>
      <c r="BC29" s="199"/>
      <c r="BD29" s="192"/>
    </row>
    <row r="30" spans="12:56">
      <c r="AY30" s="199"/>
      <c r="AZ30" s="199"/>
      <c r="BA30" s="199"/>
      <c r="BB30" s="199"/>
      <c r="BC30" s="199"/>
      <c r="BD30" s="192"/>
    </row>
    <row r="31" spans="12:56">
      <c r="AY31" s="199"/>
      <c r="AZ31" s="199"/>
      <c r="BA31" s="199"/>
      <c r="BB31" s="199"/>
      <c r="BC31" s="199"/>
      <c r="BD31" s="192"/>
    </row>
    <row r="32" spans="12:56">
      <c r="AY32" s="199"/>
      <c r="AZ32" s="199"/>
      <c r="BA32" s="199"/>
      <c r="BB32" s="199"/>
      <c r="BC32" s="199"/>
      <c r="BD32" s="192"/>
    </row>
    <row r="33" spans="11:56">
      <c r="AY33" s="199"/>
      <c r="AZ33" s="199"/>
      <c r="BA33" s="199"/>
      <c r="BB33" s="199"/>
      <c r="BC33" s="199"/>
      <c r="BD33" s="192"/>
    </row>
    <row r="34" spans="11:56">
      <c r="AY34" s="199"/>
      <c r="AZ34" s="199"/>
      <c r="BA34" s="199"/>
      <c r="BB34" s="199"/>
      <c r="BC34" s="199"/>
      <c r="BD34" s="192"/>
    </row>
    <row r="35" spans="11:56">
      <c r="AY35" s="199"/>
      <c r="AZ35" s="199"/>
      <c r="BA35" s="199"/>
      <c r="BB35" s="199"/>
      <c r="BC35" s="199"/>
      <c r="BD35" s="192"/>
    </row>
    <row r="36" spans="11:56">
      <c r="N36" s="193" t="s">
        <v>400</v>
      </c>
      <c r="W36" s="193" t="s">
        <v>400</v>
      </c>
      <c r="AF36" s="193" t="s">
        <v>400</v>
      </c>
      <c r="AO36" s="193" t="s">
        <v>400</v>
      </c>
      <c r="AY36" s="199"/>
      <c r="AZ36" s="199"/>
      <c r="BA36" s="199"/>
      <c r="BB36" s="199"/>
      <c r="BC36" s="199"/>
      <c r="BD36" s="192"/>
    </row>
    <row r="37" spans="11:56">
      <c r="AY37" s="198" t="s">
        <v>432</v>
      </c>
      <c r="AZ37" s="207"/>
      <c r="BA37" s="207"/>
      <c r="BB37" s="207"/>
      <c r="BC37" s="207"/>
      <c r="BD37" s="195"/>
    </row>
    <row r="38" spans="11:56">
      <c r="AY38" s="208"/>
      <c r="AZ38" s="201" t="s">
        <v>284</v>
      </c>
      <c r="BA38" s="201" t="s">
        <v>285</v>
      </c>
      <c r="BB38" s="201" t="s">
        <v>286</v>
      </c>
      <c r="BC38" s="201" t="s">
        <v>283</v>
      </c>
      <c r="BD38" s="195"/>
    </row>
    <row r="39" spans="11:56">
      <c r="AY39" s="202" t="s">
        <v>416</v>
      </c>
      <c r="AZ39" s="203">
        <f>'3a. % by Portfolio'!G51</f>
        <v>1</v>
      </c>
      <c r="BA39" s="203">
        <f>'3a. % by Portfolio'!N51</f>
        <v>0</v>
      </c>
      <c r="BB39" s="203">
        <f>'3a. % by Portfolio'!U51</f>
        <v>0</v>
      </c>
      <c r="BC39" s="203">
        <f>'3a. % by Portfolio'!AB51</f>
        <v>0</v>
      </c>
      <c r="BD39" s="195"/>
    </row>
    <row r="40" spans="11:56">
      <c r="K40" s="194"/>
      <c r="L40" s="194"/>
      <c r="AY40" s="202" t="s">
        <v>417</v>
      </c>
      <c r="AZ40" s="203">
        <f>'3a. % by Portfolio'!G54</f>
        <v>0</v>
      </c>
      <c r="BA40" s="203">
        <f>'3a. % by Portfolio'!N54</f>
        <v>0</v>
      </c>
      <c r="BB40" s="203">
        <f>'3a. % by Portfolio'!U54</f>
        <v>0</v>
      </c>
      <c r="BC40" s="203">
        <f>'3a. % by Portfolio'!AB54</f>
        <v>0</v>
      </c>
      <c r="BD40" s="195"/>
    </row>
    <row r="41" spans="11:56">
      <c r="K41" s="194"/>
      <c r="L41" s="194"/>
      <c r="AY41" s="202" t="s">
        <v>418</v>
      </c>
      <c r="AZ41" s="203">
        <f>'3a. % by Portfolio'!G58</f>
        <v>0</v>
      </c>
      <c r="BA41" s="203">
        <f>'3a. % by Portfolio'!N58</f>
        <v>0</v>
      </c>
      <c r="BB41" s="203">
        <f>'3a. % by Portfolio'!U58</f>
        <v>0</v>
      </c>
      <c r="BC41" s="203">
        <f>'3a. % by Portfolio'!AB58</f>
        <v>0</v>
      </c>
      <c r="BD41" s="195"/>
    </row>
    <row r="42" spans="11:56">
      <c r="K42" s="194"/>
      <c r="L42" s="194"/>
      <c r="AY42" s="199"/>
      <c r="AZ42" s="199"/>
      <c r="BA42" s="199"/>
      <c r="BB42" s="199"/>
      <c r="BC42" s="199"/>
      <c r="BD42" s="192"/>
    </row>
    <row r="43" spans="11:56">
      <c r="AY43" s="205"/>
      <c r="AZ43" s="199"/>
      <c r="BA43" s="199"/>
      <c r="BB43" s="199"/>
      <c r="BC43" s="199"/>
      <c r="BD43" s="192"/>
    </row>
    <row r="44" spans="11:56">
      <c r="AY44" s="205"/>
      <c r="AZ44" s="199"/>
      <c r="BA44" s="199"/>
      <c r="BB44" s="199"/>
      <c r="BC44" s="199"/>
      <c r="BD44" s="192"/>
    </row>
    <row r="45" spans="11:56">
      <c r="AY45" s="205"/>
      <c r="AZ45" s="199"/>
      <c r="BA45" s="199"/>
      <c r="BB45" s="199"/>
      <c r="BC45" s="199"/>
      <c r="BD45" s="192"/>
    </row>
    <row r="46" spans="11:56">
      <c r="AY46" s="199"/>
      <c r="AZ46" s="199"/>
      <c r="BA46" s="199"/>
      <c r="BB46" s="199"/>
      <c r="BC46" s="199"/>
      <c r="BD46" s="192"/>
    </row>
    <row r="47" spans="11:56">
      <c r="AY47" s="199"/>
      <c r="AZ47" s="199"/>
      <c r="BA47" s="199"/>
      <c r="BB47" s="199"/>
      <c r="BC47" s="199"/>
      <c r="BD47" s="192"/>
    </row>
    <row r="48" spans="11:56">
      <c r="AY48" s="199"/>
      <c r="AZ48" s="199"/>
      <c r="BA48" s="199"/>
      <c r="BB48" s="199"/>
      <c r="BC48" s="199"/>
      <c r="BD48" s="192"/>
    </row>
    <row r="49" spans="12:56">
      <c r="AY49" s="199"/>
      <c r="AZ49" s="199"/>
      <c r="BA49" s="199"/>
      <c r="BB49" s="199"/>
      <c r="BC49" s="199"/>
      <c r="BD49" s="192"/>
    </row>
    <row r="50" spans="12:56">
      <c r="AY50" s="199"/>
      <c r="AZ50" s="199"/>
      <c r="BA50" s="199"/>
      <c r="BB50" s="199"/>
      <c r="BC50" s="199"/>
      <c r="BD50" s="192"/>
    </row>
    <row r="51" spans="12:56">
      <c r="AY51" s="199"/>
      <c r="AZ51" s="199"/>
      <c r="BA51" s="199"/>
      <c r="BB51" s="199"/>
      <c r="BC51" s="199"/>
      <c r="BD51" s="192"/>
    </row>
    <row r="52" spans="12:56">
      <c r="N52" s="193" t="s">
        <v>400</v>
      </c>
      <c r="W52" s="193" t="s">
        <v>400</v>
      </c>
      <c r="AF52" s="193" t="s">
        <v>400</v>
      </c>
      <c r="AO52" s="193" t="s">
        <v>400</v>
      </c>
      <c r="AY52" s="199"/>
      <c r="AZ52" s="199"/>
      <c r="BA52" s="199"/>
      <c r="BB52" s="199"/>
      <c r="BC52" s="199"/>
      <c r="BD52" s="192"/>
    </row>
    <row r="53" spans="12:56">
      <c r="AY53" s="198" t="s">
        <v>433</v>
      </c>
      <c r="AZ53" s="207"/>
      <c r="BA53" s="207"/>
      <c r="BB53" s="207"/>
      <c r="BC53" s="207"/>
      <c r="BD53" s="192"/>
    </row>
    <row r="54" spans="12:56">
      <c r="AY54" s="208"/>
      <c r="AZ54" s="201" t="s">
        <v>284</v>
      </c>
      <c r="BA54" s="201" t="s">
        <v>285</v>
      </c>
      <c r="BB54" s="201" t="s">
        <v>286</v>
      </c>
      <c r="BC54" s="201" t="s">
        <v>283</v>
      </c>
      <c r="BD54" s="192"/>
    </row>
    <row r="55" spans="12:56">
      <c r="AY55" s="202" t="s">
        <v>416</v>
      </c>
      <c r="AZ55" s="203">
        <f>'3a. % by Portfolio'!G73</f>
        <v>0.96153846153846145</v>
      </c>
      <c r="BA55" s="203">
        <f>'3a. % by Portfolio'!N73</f>
        <v>0</v>
      </c>
      <c r="BB55" s="203">
        <f>'3a. % by Portfolio'!U73</f>
        <v>0</v>
      </c>
      <c r="BC55" s="203">
        <f>'3a. % by Portfolio'!AB73</f>
        <v>0</v>
      </c>
      <c r="BD55" s="192"/>
    </row>
    <row r="56" spans="12:56">
      <c r="L56" s="194"/>
      <c r="M56" s="194"/>
      <c r="AY56" s="202" t="s">
        <v>417</v>
      </c>
      <c r="AZ56" s="203">
        <f>'3a. % by Portfolio'!G76</f>
        <v>0</v>
      </c>
      <c r="BA56" s="203">
        <f>'3a. % by Portfolio'!N76</f>
        <v>0</v>
      </c>
      <c r="BB56" s="203">
        <f>'3a. % by Portfolio'!U76</f>
        <v>0</v>
      </c>
      <c r="BC56" s="203">
        <f>'3a. % by Portfolio'!AB76</f>
        <v>0</v>
      </c>
      <c r="BD56" s="192"/>
    </row>
    <row r="57" spans="12:56">
      <c r="L57" s="194"/>
      <c r="M57" s="194"/>
      <c r="AY57" s="202" t="s">
        <v>418</v>
      </c>
      <c r="AZ57" s="203">
        <f>'3a. % by Portfolio'!G80</f>
        <v>3.8461538461538464E-2</v>
      </c>
      <c r="BA57" s="203">
        <f>'3a. % by Portfolio'!N80</f>
        <v>0</v>
      </c>
      <c r="BB57" s="203">
        <f>'3a. % by Portfolio'!U80</f>
        <v>0</v>
      </c>
      <c r="BC57" s="203">
        <f>'3a. % by Portfolio'!AB80</f>
        <v>0</v>
      </c>
      <c r="BD57" s="192"/>
    </row>
    <row r="58" spans="12:56">
      <c r="L58" s="194"/>
      <c r="M58" s="194"/>
      <c r="AY58" s="199"/>
      <c r="AZ58" s="199"/>
      <c r="BA58" s="199"/>
      <c r="BB58" s="199"/>
      <c r="BC58" s="199"/>
      <c r="BD58" s="192"/>
    </row>
    <row r="59" spans="12:56">
      <c r="AY59" s="205"/>
      <c r="AZ59" s="199"/>
      <c r="BA59" s="199"/>
      <c r="BB59" s="199"/>
      <c r="BC59" s="199"/>
      <c r="BD59" s="192"/>
    </row>
    <row r="60" spans="12:56">
      <c r="AY60" s="205"/>
      <c r="AZ60" s="199"/>
      <c r="BA60" s="199"/>
      <c r="BB60" s="199"/>
      <c r="BC60" s="199"/>
      <c r="BD60" s="192"/>
    </row>
    <row r="61" spans="12:56">
      <c r="AY61" s="205"/>
      <c r="AZ61" s="199"/>
      <c r="BA61" s="199"/>
      <c r="BB61" s="199"/>
      <c r="BC61" s="199"/>
      <c r="BD61" s="192"/>
    </row>
    <row r="62" spans="12:56">
      <c r="AY62" s="199"/>
      <c r="AZ62" s="199"/>
      <c r="BA62" s="199"/>
      <c r="BB62" s="199"/>
      <c r="BC62" s="199"/>
      <c r="BD62" s="192"/>
    </row>
    <row r="63" spans="12:56">
      <c r="AY63" s="199"/>
      <c r="AZ63" s="199"/>
      <c r="BA63" s="199"/>
      <c r="BB63" s="199"/>
      <c r="BC63" s="199"/>
      <c r="BD63" s="192"/>
    </row>
    <row r="64" spans="12:56">
      <c r="AY64" s="199"/>
      <c r="AZ64" s="199"/>
      <c r="BA64" s="199"/>
      <c r="BB64" s="199"/>
      <c r="BC64" s="199"/>
      <c r="BD64" s="192"/>
    </row>
    <row r="65" spans="14:56">
      <c r="AY65" s="199"/>
      <c r="AZ65" s="199"/>
      <c r="BA65" s="199"/>
      <c r="BB65" s="199"/>
      <c r="BC65" s="199"/>
      <c r="BD65" s="192"/>
    </row>
    <row r="66" spans="14:56">
      <c r="AY66" s="199"/>
      <c r="AZ66" s="199"/>
      <c r="BA66" s="199"/>
      <c r="BB66" s="199"/>
      <c r="BC66" s="199"/>
      <c r="BD66" s="192"/>
    </row>
    <row r="68" spans="14:56">
      <c r="N68" s="193" t="s">
        <v>400</v>
      </c>
      <c r="W68" s="193" t="s">
        <v>400</v>
      </c>
      <c r="AF68" s="193" t="s">
        <v>400</v>
      </c>
      <c r="AO68" s="193" t="s">
        <v>400</v>
      </c>
      <c r="AY68" s="199"/>
      <c r="AZ68" s="199"/>
      <c r="BA68" s="199"/>
      <c r="BB68" s="199"/>
      <c r="BC68" s="199"/>
      <c r="BD68" s="192"/>
    </row>
    <row r="69" spans="14:56">
      <c r="AY69" s="198" t="s">
        <v>434</v>
      </c>
      <c r="AZ69" s="207"/>
      <c r="BA69" s="207"/>
      <c r="BB69" s="207"/>
      <c r="BC69" s="207"/>
    </row>
    <row r="70" spans="14:56">
      <c r="AY70" s="208"/>
      <c r="AZ70" s="201" t="s">
        <v>284</v>
      </c>
      <c r="BA70" s="201" t="s">
        <v>285</v>
      </c>
      <c r="BB70" s="201" t="s">
        <v>286</v>
      </c>
      <c r="BC70" s="201" t="s">
        <v>283</v>
      </c>
    </row>
    <row r="71" spans="14:56">
      <c r="AY71" s="202" t="s">
        <v>416</v>
      </c>
      <c r="AZ71" s="203">
        <f>'3a. % by Portfolio'!G95</f>
        <v>1</v>
      </c>
      <c r="BA71" s="203">
        <f>'3a. % by Portfolio'!N95</f>
        <v>0</v>
      </c>
      <c r="BB71" s="203">
        <f>'3a. % by Portfolio'!U95</f>
        <v>0</v>
      </c>
      <c r="BC71" s="203">
        <f>'3a. % by Portfolio'!AB95</f>
        <v>0</v>
      </c>
    </row>
    <row r="72" spans="14:56">
      <c r="AY72" s="202" t="s">
        <v>417</v>
      </c>
      <c r="AZ72" s="203">
        <f>'3a. % by Portfolio'!G98</f>
        <v>0</v>
      </c>
      <c r="BA72" s="203">
        <f>'3a. % by Portfolio'!N98</f>
        <v>0</v>
      </c>
      <c r="BB72" s="203">
        <f>'3a. % by Portfolio'!U98</f>
        <v>0</v>
      </c>
      <c r="BC72" s="203">
        <f>'3a. % by Portfolio'!AB98</f>
        <v>0</v>
      </c>
    </row>
    <row r="73" spans="14:56">
      <c r="AY73" s="202" t="s">
        <v>418</v>
      </c>
      <c r="AZ73" s="203">
        <f>'3a. % by Portfolio'!G102</f>
        <v>0</v>
      </c>
      <c r="BA73" s="203">
        <f>'3a. % by Portfolio'!N102</f>
        <v>0</v>
      </c>
      <c r="BB73" s="203">
        <f>'3a. % by Portfolio'!U102</f>
        <v>0</v>
      </c>
      <c r="BC73" s="203">
        <f>'3a. % by Portfolio'!AB102</f>
        <v>0</v>
      </c>
    </row>
    <row r="84" spans="14:56">
      <c r="N84" s="193" t="s">
        <v>400</v>
      </c>
      <c r="W84" s="193" t="s">
        <v>400</v>
      </c>
      <c r="AF84" s="193" t="s">
        <v>400</v>
      </c>
      <c r="AO84" s="193" t="s">
        <v>400</v>
      </c>
    </row>
    <row r="85" spans="14:56">
      <c r="AY85" s="198" t="s">
        <v>421</v>
      </c>
      <c r="AZ85" s="207"/>
      <c r="BA85" s="207"/>
      <c r="BB85" s="207"/>
      <c r="BC85" s="207"/>
    </row>
    <row r="86" spans="14:56">
      <c r="AY86" s="208"/>
      <c r="AZ86" s="201" t="s">
        <v>284</v>
      </c>
      <c r="BA86" s="201" t="s">
        <v>285</v>
      </c>
      <c r="BB86" s="201" t="s">
        <v>286</v>
      </c>
      <c r="BC86" s="201" t="s">
        <v>283</v>
      </c>
    </row>
    <row r="87" spans="14:56">
      <c r="AY87" s="202" t="s">
        <v>416</v>
      </c>
      <c r="AZ87" s="203">
        <f>'3a. % by Portfolio'!G117</f>
        <v>0</v>
      </c>
      <c r="BA87" s="203">
        <f>'3a. % by Portfolio'!N117</f>
        <v>0</v>
      </c>
      <c r="BB87" s="203">
        <f>'3a. % by Portfolio'!U117</f>
        <v>0</v>
      </c>
      <c r="BC87" s="203">
        <f>'3a. % by Portfolio'!AB117</f>
        <v>0</v>
      </c>
    </row>
    <row r="88" spans="14:56">
      <c r="AY88" s="202" t="s">
        <v>417</v>
      </c>
      <c r="AZ88" s="203">
        <f>'3a. % by Portfolio'!G120</f>
        <v>0</v>
      </c>
      <c r="BA88" s="203">
        <f>'3a. % by Portfolio'!N120</f>
        <v>0</v>
      </c>
      <c r="BB88" s="203">
        <f>'3a. % by Portfolio'!U120</f>
        <v>0</v>
      </c>
      <c r="BC88" s="203">
        <f>'3a. % by Portfolio'!AB120</f>
        <v>0</v>
      </c>
    </row>
    <row r="89" spans="14:56">
      <c r="AY89" s="202" t="s">
        <v>418</v>
      </c>
      <c r="AZ89" s="203">
        <f>'3a. % by Portfolio'!G124</f>
        <v>0</v>
      </c>
      <c r="BA89" s="203">
        <f>'3a. % by Portfolio'!N124</f>
        <v>0</v>
      </c>
      <c r="BB89" s="203">
        <f>'3a. % by Portfolio'!U124</f>
        <v>0</v>
      </c>
      <c r="BC89" s="203">
        <f>'3a. % by Portfolio'!AB124</f>
        <v>0</v>
      </c>
    </row>
    <row r="95" spans="14:56">
      <c r="AY95" s="209"/>
      <c r="AZ95" s="209"/>
      <c r="BA95" s="209"/>
      <c r="BB95" s="209"/>
      <c r="BC95" s="209"/>
      <c r="BD95" s="210"/>
    </row>
    <row r="96" spans="14:56">
      <c r="AY96" s="209"/>
      <c r="AZ96" s="209"/>
      <c r="BA96" s="209"/>
      <c r="BB96" s="209"/>
      <c r="BC96" s="209"/>
      <c r="BD96" s="210"/>
    </row>
    <row r="97" spans="14:56">
      <c r="AY97" s="209"/>
      <c r="AZ97" s="209"/>
      <c r="BA97" s="209"/>
      <c r="BB97" s="209"/>
      <c r="BC97" s="209"/>
      <c r="BD97" s="210"/>
    </row>
    <row r="98" spans="14:56">
      <c r="AY98" s="209"/>
      <c r="AZ98" s="209"/>
      <c r="BA98" s="209"/>
      <c r="BB98" s="209"/>
      <c r="BC98" s="209"/>
      <c r="BD98" s="210"/>
    </row>
    <row r="99" spans="14:56">
      <c r="AY99" s="209"/>
      <c r="AZ99" s="209"/>
      <c r="BA99" s="209"/>
      <c r="BB99" s="209"/>
      <c r="BC99" s="209"/>
      <c r="BD99" s="210"/>
    </row>
    <row r="100" spans="14:56">
      <c r="N100" s="193" t="s">
        <v>400</v>
      </c>
      <c r="W100" s="193" t="s">
        <v>400</v>
      </c>
      <c r="AF100" s="193" t="s">
        <v>400</v>
      </c>
      <c r="AO100" s="193" t="s">
        <v>400</v>
      </c>
      <c r="AY100" s="209"/>
      <c r="AZ100" s="209"/>
      <c r="BA100" s="209"/>
      <c r="BB100" s="209"/>
      <c r="BC100" s="209"/>
      <c r="BD100" s="210"/>
    </row>
    <row r="101" spans="14:56">
      <c r="AY101" s="211"/>
      <c r="AZ101" s="208"/>
      <c r="BA101" s="208"/>
      <c r="BB101" s="208"/>
      <c r="BC101" s="208"/>
      <c r="BD101" s="210"/>
    </row>
    <row r="102" spans="14:56">
      <c r="AY102" s="208"/>
      <c r="AZ102" s="204"/>
      <c r="BA102" s="204"/>
      <c r="BB102" s="204"/>
      <c r="BC102" s="204"/>
      <c r="BD102" s="210"/>
    </row>
    <row r="103" spans="14:56">
      <c r="AY103" s="208"/>
      <c r="AZ103" s="206"/>
      <c r="BA103" s="206"/>
      <c r="BB103" s="206"/>
      <c r="BC103" s="206"/>
      <c r="BD103" s="210"/>
    </row>
    <row r="104" spans="14:56">
      <c r="AY104" s="208"/>
      <c r="AZ104" s="206"/>
      <c r="BA104" s="206"/>
      <c r="BB104" s="206"/>
      <c r="BC104" s="206"/>
      <c r="BD104" s="210"/>
    </row>
    <row r="105" spans="14:56">
      <c r="AY105" s="208"/>
      <c r="AZ105" s="206"/>
      <c r="BA105" s="206"/>
      <c r="BB105" s="206"/>
      <c r="BC105" s="206"/>
      <c r="BD105" s="210"/>
    </row>
    <row r="106" spans="14:56">
      <c r="AY106" s="209"/>
      <c r="AZ106" s="209"/>
      <c r="BA106" s="209"/>
      <c r="BB106" s="209"/>
      <c r="BC106" s="209"/>
      <c r="BD106" s="210"/>
    </row>
    <row r="116" spans="14:41">
      <c r="N116" s="193" t="s">
        <v>400</v>
      </c>
      <c r="W116" s="193" t="s">
        <v>400</v>
      </c>
      <c r="AF116" s="193" t="s">
        <v>400</v>
      </c>
      <c r="AO116" s="193" t="s">
        <v>400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zoomScale="60" zoomScaleNormal="60" workbookViewId="0">
      <selection activeCell="G4" sqref="G4"/>
    </sheetView>
  </sheetViews>
  <sheetFormatPr defaultColWidth="9.140625" defaultRowHeight="15"/>
  <cols>
    <col min="1" max="1" width="12.85546875" style="223" customWidth="1"/>
    <col min="2" max="2" width="55.28515625" style="223" customWidth="1"/>
    <col min="3" max="3" width="46.5703125" style="250" customWidth="1"/>
    <col min="4" max="10" width="26.140625" style="223" customWidth="1"/>
    <col min="11" max="14" width="9.140625" style="221" customWidth="1"/>
    <col min="15" max="15" width="16.5703125" style="221" hidden="1" customWidth="1"/>
    <col min="16" max="19" width="9.140625" style="221" hidden="1" customWidth="1"/>
    <col min="20" max="20" width="24.85546875" style="221" hidden="1" customWidth="1"/>
    <col min="21" max="25" width="9.140625" style="221" hidden="1" customWidth="1"/>
    <col min="26" max="26" width="0" style="221" hidden="1" customWidth="1"/>
    <col min="27" max="46" width="9.140625" style="221"/>
    <col min="47" max="16384" width="9.140625" style="223"/>
  </cols>
  <sheetData>
    <row r="1" spans="1:46" s="213" customFormat="1" ht="24" customHeight="1">
      <c r="A1" s="212" t="s">
        <v>400</v>
      </c>
      <c r="C1" s="214"/>
    </row>
    <row r="2" spans="1:46" s="216" customFormat="1" ht="60.75">
      <c r="A2" s="259" t="s">
        <v>436</v>
      </c>
      <c r="B2" s="259" t="s">
        <v>0</v>
      </c>
      <c r="C2" s="259" t="s">
        <v>1</v>
      </c>
      <c r="D2" s="260" t="s">
        <v>437</v>
      </c>
      <c r="E2" s="260" t="s">
        <v>438</v>
      </c>
      <c r="F2" s="260" t="s">
        <v>439</v>
      </c>
      <c r="G2" s="260" t="s">
        <v>440</v>
      </c>
      <c r="H2" s="260" t="s">
        <v>441</v>
      </c>
      <c r="I2" s="260" t="s">
        <v>442</v>
      </c>
      <c r="J2" s="260" t="s">
        <v>443</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row>
    <row r="3" spans="1:46" ht="99.75" customHeight="1" thickBot="1">
      <c r="A3" s="238" t="str">
        <f>'1. All Data'!B3</f>
        <v>VFM01</v>
      </c>
      <c r="B3" s="254" t="str">
        <f>'1. All Data'!C3</f>
        <v>Set the MTFS for 2020/21 onwards</v>
      </c>
      <c r="C3" s="256" t="str">
        <f>'1. All Data'!D3</f>
        <v xml:space="preserve">Set Budget for Council Approval  </v>
      </c>
      <c r="D3" s="251" t="str">
        <f>'1. All Data'!H3</f>
        <v>On Track to be Achieved</v>
      </c>
      <c r="E3" s="257"/>
      <c r="F3" s="252" t="str">
        <f>'1. All Data'!M3</f>
        <v>Update Not Provided</v>
      </c>
      <c r="G3" s="258"/>
      <c r="H3" s="251" t="str">
        <f>'1. All Data'!R3</f>
        <v>Update Not Provided</v>
      </c>
      <c r="I3" s="258"/>
      <c r="J3" s="251" t="str">
        <f>'1. All Data'!V3</f>
        <v>Update not provided</v>
      </c>
      <c r="O3" s="222" t="s">
        <v>445</v>
      </c>
    </row>
    <row r="4" spans="1:46" ht="99.75" customHeight="1" thickTop="1" thickBot="1">
      <c r="A4" s="218" t="str">
        <f>'1. All Data'!B4</f>
        <v>VFM02</v>
      </c>
      <c r="B4" s="254" t="str">
        <f>'1. All Data'!C4</f>
        <v>Savings targets for 2019/20</v>
      </c>
      <c r="C4" s="255" t="str">
        <f>'1. All Data'!D4</f>
        <v xml:space="preserve">Achieve Savings Targets as Stated in the Medium Term Financial Strategy </v>
      </c>
      <c r="D4" s="251" t="str">
        <f>'1. All Data'!H4</f>
        <v>Not Yet Due</v>
      </c>
      <c r="E4" s="220"/>
      <c r="F4" s="252" t="str">
        <f>'1. All Data'!M4</f>
        <v>Update Not Provided</v>
      </c>
      <c r="G4" s="220"/>
      <c r="H4" s="253" t="str">
        <f>'1. All Data'!R4</f>
        <v>Update Not Provided</v>
      </c>
      <c r="I4" s="220"/>
      <c r="J4" s="253" t="str">
        <f>'1. All Data'!V4</f>
        <v>Update not provided</v>
      </c>
      <c r="O4" s="222" t="s">
        <v>447</v>
      </c>
      <c r="Y4" s="220" t="s">
        <v>446</v>
      </c>
    </row>
    <row r="5" spans="1:46" ht="99.75" customHeight="1" thickTop="1" thickBot="1">
      <c r="A5" s="218" t="str">
        <f>'1. All Data'!B5</f>
        <v>VFM03</v>
      </c>
      <c r="B5" s="254" t="str">
        <f>'1. All Data'!C5</f>
        <v xml:space="preserve">Having an approved Statement of Accounts </v>
      </c>
      <c r="C5" s="255" t="str">
        <f>'1. All Data'!D5</f>
        <v xml:space="preserve">Submit Statement of Accounts by New Statutory Deadline </v>
      </c>
      <c r="D5" s="251" t="str">
        <f>'1. All Data'!H5</f>
        <v>On Track to be Achieved</v>
      </c>
      <c r="E5" s="220"/>
      <c r="F5" s="252" t="str">
        <f>'1. All Data'!M5</f>
        <v>Update Not Provided</v>
      </c>
      <c r="G5" s="220"/>
      <c r="H5" s="253" t="str">
        <f>'1. All Data'!R5</f>
        <v>Update Not Provided</v>
      </c>
      <c r="I5" s="220"/>
      <c r="J5" s="253" t="str">
        <f>'1. All Data'!V5</f>
        <v>Update not provided</v>
      </c>
      <c r="O5" s="222" t="s">
        <v>448</v>
      </c>
      <c r="T5" s="224"/>
      <c r="Y5" s="225" t="s">
        <v>449</v>
      </c>
    </row>
    <row r="6" spans="1:46" ht="89.25" thickTop="1" thickBot="1">
      <c r="A6" s="218" t="str">
        <f>'1. All Data'!B6</f>
        <v>VFM04</v>
      </c>
      <c r="B6" s="254" t="str">
        <f>'1. All Data'!C6</f>
        <v>Responding to Significant Local Government Finance Changes and Assessing the Impact on the Council’s Financial Position</v>
      </c>
      <c r="C6" s="255" t="str">
        <f>'1. All Data'!D6</f>
        <v xml:space="preserve">Activities Throughout the Year Reported in Line with the Timed Responses </v>
      </c>
      <c r="D6" s="251" t="str">
        <f>'1. All Data'!H6</f>
        <v>On Track to be Achieved</v>
      </c>
      <c r="E6" s="220"/>
      <c r="F6" s="252" t="str">
        <f>'1. All Data'!M6</f>
        <v>Update Not Provided</v>
      </c>
      <c r="G6" s="220"/>
      <c r="H6" s="253" t="str">
        <f>'1. All Data'!R6</f>
        <v>Update Not Provided</v>
      </c>
      <c r="I6" s="220"/>
      <c r="J6" s="253" t="str">
        <f>'1. All Data'!V6</f>
        <v>Update not provided</v>
      </c>
      <c r="O6" s="226" t="s">
        <v>444</v>
      </c>
      <c r="T6" s="227" t="s">
        <v>449</v>
      </c>
    </row>
    <row r="7" spans="1:46" ht="99.75" customHeight="1" thickTop="1">
      <c r="A7" s="218" t="str">
        <f>'1. All Data'!B7</f>
        <v>VFM05</v>
      </c>
      <c r="B7" s="254" t="str">
        <f>'1. All Data'!C7</f>
        <v>Internal Audit Service Procurement</v>
      </c>
      <c r="C7" s="255" t="str">
        <f>'1. All Data'!D7</f>
        <v>Procurement concluded and new contract awarded</v>
      </c>
      <c r="D7" s="251" t="str">
        <f>'1. All Data'!H7</f>
        <v>On Track to be Achieved</v>
      </c>
      <c r="E7" s="220"/>
      <c r="F7" s="252" t="str">
        <f>'1. All Data'!M7</f>
        <v>Update Not Provided</v>
      </c>
      <c r="G7" s="220"/>
      <c r="H7" s="253" t="str">
        <f>'1. All Data'!R7</f>
        <v>Update Not Provided</v>
      </c>
      <c r="I7" s="220"/>
      <c r="J7" s="253" t="str">
        <f>'1. All Data'!V7</f>
        <v>Update not provided</v>
      </c>
      <c r="T7" s="227" t="s">
        <v>450</v>
      </c>
    </row>
    <row r="8" spans="1:46" ht="99.75" customHeight="1">
      <c r="A8" s="218" t="str">
        <f>'1. All Data'!B8</f>
        <v>VFM06</v>
      </c>
      <c r="B8" s="254" t="str">
        <f>'1. All Data'!C8</f>
        <v xml:space="preserve">Working towards the Government’s new HMRC VAT Digitalisation Compliance requirements </v>
      </c>
      <c r="C8" s="255" t="str">
        <f>'1. All Data'!D8</f>
        <v>Compliance Report completed</v>
      </c>
      <c r="D8" s="251" t="str">
        <f>'1. All Data'!H8</f>
        <v>Not Yet Due</v>
      </c>
      <c r="E8" s="220"/>
      <c r="F8" s="252" t="str">
        <f>'1. All Data'!M8</f>
        <v>Update Not Provided</v>
      </c>
      <c r="G8" s="220"/>
      <c r="H8" s="253" t="str">
        <f>'1. All Data'!R8</f>
        <v>Update Not Provided</v>
      </c>
      <c r="I8" s="220"/>
      <c r="J8" s="253" t="str">
        <f>'1. All Data'!V8</f>
        <v>Update not provided</v>
      </c>
      <c r="T8" s="227" t="s">
        <v>446</v>
      </c>
    </row>
    <row r="9" spans="1:46" ht="99.75" customHeight="1">
      <c r="A9" s="218" t="str">
        <f>'1. All Data'!B9</f>
        <v>VFM07</v>
      </c>
      <c r="B9" s="254" t="str">
        <f>'1. All Data'!C9</f>
        <v>Continuing to digitise SMARTER services</v>
      </c>
      <c r="C9" s="255" t="str">
        <f>'1. All Data'!D9</f>
        <v xml:space="preserve">Secure Integrated Service Request and Payment mechanism developed and implemented </v>
      </c>
      <c r="D9" s="251" t="str">
        <f>'1. All Data'!H9</f>
        <v>On Track to be Achieved</v>
      </c>
      <c r="E9" s="219"/>
      <c r="F9" s="252" t="str">
        <f>'1. All Data'!M9</f>
        <v>Update Not Provided</v>
      </c>
      <c r="G9" s="220"/>
      <c r="H9" s="253" t="str">
        <f>'1. All Data'!R9</f>
        <v>Update Not Provided</v>
      </c>
      <c r="I9" s="220"/>
      <c r="J9" s="253" t="str">
        <f>'1. All Data'!V9</f>
        <v>Update not provided</v>
      </c>
    </row>
    <row r="10" spans="1:46" ht="99.75" customHeight="1">
      <c r="A10" s="218" t="str">
        <f>'1. All Data'!B10</f>
        <v>VFM08</v>
      </c>
      <c r="B10" s="254" t="str">
        <f>'1. All Data'!C10</f>
        <v>Continuing to digitise SMARTER services</v>
      </c>
      <c r="C10" s="255" t="str">
        <f>'1. All Data'!D10</f>
        <v>Audio recording of Council meetings added to Corporate Website</v>
      </c>
      <c r="D10" s="251" t="str">
        <f>'1. All Data'!H10</f>
        <v>On Track to be Achieved</v>
      </c>
      <c r="E10" s="219"/>
      <c r="F10" s="252" t="str">
        <f>'1. All Data'!M10</f>
        <v>Update Not Provided</v>
      </c>
      <c r="G10" s="220"/>
      <c r="H10" s="253" t="str">
        <f>'1. All Data'!R10</f>
        <v>Update Not Provided</v>
      </c>
      <c r="I10" s="220"/>
      <c r="J10" s="253" t="str">
        <f>'1. All Data'!V10</f>
        <v>Update not provided</v>
      </c>
    </row>
    <row r="11" spans="1:46" ht="99.75" customHeight="1">
      <c r="A11" s="218" t="str">
        <f>'1. All Data'!B11</f>
        <v>VFM09</v>
      </c>
      <c r="B11" s="254" t="str">
        <f>'1. All Data'!C11</f>
        <v>Continuing to digitise SMARTER services</v>
      </c>
      <c r="C11" s="255" t="str">
        <f>'1. All Data'!D11</f>
        <v>80% of 2019/20 Milestones in New Digital Strategy Achieved</v>
      </c>
      <c r="D11" s="251" t="str">
        <f>'1. All Data'!H11</f>
        <v>Not Yet Due</v>
      </c>
      <c r="E11" s="219"/>
      <c r="F11" s="252" t="str">
        <f>'1. All Data'!M11</f>
        <v>Update Not Provided</v>
      </c>
      <c r="G11" s="220"/>
      <c r="H11" s="253" t="str">
        <f>'1. All Data'!R11</f>
        <v>Update Not Provided</v>
      </c>
      <c r="I11" s="220"/>
      <c r="J11" s="253" t="str">
        <f>'1. All Data'!V11</f>
        <v>Update not provided</v>
      </c>
    </row>
    <row r="12" spans="1:46" ht="99.75" customHeight="1">
      <c r="A12" s="218" t="str">
        <f>'1. All Data'!B12</f>
        <v>VFM10</v>
      </c>
      <c r="B12" s="254" t="str">
        <f>'1. All Data'!C12</f>
        <v xml:space="preserve">Providing a more secure ICT working environment </v>
      </c>
      <c r="C12" s="255" t="str">
        <f>'1. All Data'!D12</f>
        <v xml:space="preserve">Security Arrangements to Meet Requirements of PSN (or Replacement)  </v>
      </c>
      <c r="D12" s="251" t="str">
        <f>'1. All Data'!H12</f>
        <v>On Track to be Achieved</v>
      </c>
      <c r="E12" s="220"/>
      <c r="F12" s="252" t="str">
        <f>'1. All Data'!M12</f>
        <v>Update Not Provided</v>
      </c>
      <c r="G12" s="220"/>
      <c r="H12" s="253" t="str">
        <f>'1. All Data'!R12</f>
        <v>Update Not Provided</v>
      </c>
      <c r="I12" s="227"/>
      <c r="J12" s="253" t="str">
        <f>'1. All Data'!V12</f>
        <v>Update not provided</v>
      </c>
    </row>
    <row r="13" spans="1:46" ht="99.75" customHeight="1">
      <c r="A13" s="218" t="str">
        <f>'1. All Data'!B13</f>
        <v>VFM11</v>
      </c>
      <c r="B13" s="254" t="str">
        <f>'1. All Data'!C13</f>
        <v xml:space="preserve">Providing a more secure ICT working environment     </v>
      </c>
      <c r="C13" s="255" t="str">
        <f>'1. All Data'!D13</f>
        <v>Preferred biometric approach to password replacement identified and commenced</v>
      </c>
      <c r="D13" s="251" t="str">
        <f>'1. All Data'!H13</f>
        <v>On Track to be Achieved</v>
      </c>
      <c r="E13" s="220"/>
      <c r="F13" s="252" t="str">
        <f>'1. All Data'!M13</f>
        <v>Update Not Provided</v>
      </c>
      <c r="G13" s="220"/>
      <c r="H13" s="253" t="str">
        <f>'1. All Data'!R13</f>
        <v>Update Not Provided</v>
      </c>
      <c r="I13" s="220"/>
      <c r="J13" s="253" t="str">
        <f>'1. All Data'!V13</f>
        <v>Update not provided</v>
      </c>
    </row>
    <row r="14" spans="1:46" ht="99.75" customHeight="1">
      <c r="A14" s="218" t="str">
        <f>'1. All Data'!B14</f>
        <v>VFM12</v>
      </c>
      <c r="B14" s="254" t="str">
        <f>'1. All Data'!C14</f>
        <v xml:space="preserve">Successfully deliver local elections  </v>
      </c>
      <c r="C14" s="255" t="str">
        <f>'1. All Data'!D14</f>
        <v>Local elections delivered</v>
      </c>
      <c r="D14" s="251" t="str">
        <f>'1. All Data'!H14</f>
        <v>Fully Achieved</v>
      </c>
      <c r="E14" s="220"/>
      <c r="F14" s="252" t="str">
        <f>'1. All Data'!M14</f>
        <v>Update Not Provided</v>
      </c>
      <c r="G14" s="220"/>
      <c r="H14" s="253" t="str">
        <f>'1. All Data'!R14</f>
        <v>Update Not Provided</v>
      </c>
      <c r="I14" s="220"/>
      <c r="J14" s="253" t="str">
        <f>'1. All Data'!V14</f>
        <v>Update not provided</v>
      </c>
    </row>
    <row r="15" spans="1:46" ht="99.75" customHeight="1">
      <c r="A15" s="218" t="str">
        <f>'1. All Data'!B15</f>
        <v>VFM13</v>
      </c>
      <c r="B15" s="254" t="str">
        <f>'1. All Data'!C15</f>
        <v>Carry out detailed Procurement / Contractor Consolidation / Spend Analysis</v>
      </c>
      <c r="C15" s="255" t="str">
        <f>'1. All Data'!D15</f>
        <v>Report and way forward approved</v>
      </c>
      <c r="D15" s="251" t="str">
        <f>'1. All Data'!H15</f>
        <v>Not Yet Due</v>
      </c>
      <c r="E15" s="220"/>
      <c r="F15" s="252" t="str">
        <f>'1. All Data'!M15</f>
        <v>Update Not Provided</v>
      </c>
      <c r="G15" s="220"/>
      <c r="H15" s="253" t="str">
        <f>'1. All Data'!R15</f>
        <v>Update Not Provided</v>
      </c>
      <c r="I15" s="220"/>
      <c r="J15" s="253" t="str">
        <f>'1. All Data'!V15</f>
        <v>Update not provided</v>
      </c>
    </row>
    <row r="16" spans="1:46" ht="99.75" customHeight="1">
      <c r="A16" s="218" t="str">
        <f>'1. All Data'!B16</f>
        <v>VFM14</v>
      </c>
      <c r="B16" s="254" t="str">
        <f>'1. All Data'!C16</f>
        <v>Increasing Staffing Availability Through Reduced Sickness</v>
      </c>
      <c r="C16" s="255" t="str">
        <f>'1. All Data'!D16</f>
        <v>Short Term Sickness Days Average: 
2.75 days</v>
      </c>
      <c r="D16" s="251" t="str">
        <f>'1. All Data'!H16</f>
        <v>On Track to be Achieved</v>
      </c>
      <c r="E16" s="220"/>
      <c r="F16" s="252" t="str">
        <f>'1. All Data'!M16</f>
        <v>Update Not Provided</v>
      </c>
      <c r="G16" s="220"/>
      <c r="H16" s="253" t="str">
        <f>'1. All Data'!R16</f>
        <v>Update Not Provided</v>
      </c>
      <c r="I16" s="220"/>
      <c r="J16" s="253" t="str">
        <f>'1. All Data'!V16</f>
        <v>Update not provided</v>
      </c>
    </row>
    <row r="17" spans="1:10" ht="99.75" customHeight="1">
      <c r="A17" s="218" t="str">
        <f>'1. All Data'!B17</f>
        <v>VFM15</v>
      </c>
      <c r="B17" s="254" t="str">
        <f>'1. All Data'!C17</f>
        <v>Improve On The Average Time To Pay Creditors</v>
      </c>
      <c r="C17" s="255" t="str">
        <f>'1. All Data'!D17</f>
        <v>Average Time To Pay Creditors:
12 days</v>
      </c>
      <c r="D17" s="251" t="str">
        <f>'1. All Data'!H17</f>
        <v>On Track to be Achieved</v>
      </c>
      <c r="E17" s="220"/>
      <c r="F17" s="252" t="str">
        <f>'1. All Data'!M17</f>
        <v>Update Not Provided</v>
      </c>
      <c r="G17" s="220"/>
      <c r="H17" s="253" t="str">
        <f>'1. All Data'!R17</f>
        <v>Update Not Provided</v>
      </c>
      <c r="I17" s="220"/>
      <c r="J17" s="253" t="str">
        <f>'1. All Data'!V17</f>
        <v>Update not provided</v>
      </c>
    </row>
    <row r="18" spans="1:10" ht="99.75" customHeight="1">
      <c r="A18" s="218" t="str">
        <f>'1. All Data'!B18</f>
        <v>VFM16</v>
      </c>
      <c r="B18" s="254" t="str">
        <f>'1. All Data'!C18</f>
        <v>Legal and Assets</v>
      </c>
      <c r="C18" s="255" t="str">
        <f>'1. All Data'!D18</f>
        <v>Carry out works to Canal Street industrial units, as identified in the condition survey</v>
      </c>
      <c r="D18" s="251" t="str">
        <f>'1. All Data'!H18</f>
        <v>Not Yet Due</v>
      </c>
      <c r="E18" s="220"/>
      <c r="F18" s="252" t="str">
        <f>'1. All Data'!M18</f>
        <v>Update Not Provided</v>
      </c>
      <c r="G18" s="220"/>
      <c r="H18" s="253" t="str">
        <f>'1. All Data'!R18</f>
        <v>Update Not Provided</v>
      </c>
      <c r="I18" s="220"/>
      <c r="J18" s="253" t="str">
        <f>'1. All Data'!V18</f>
        <v>Update not provided</v>
      </c>
    </row>
    <row r="19" spans="1:10" ht="99.75" customHeight="1">
      <c r="A19" s="218" t="str">
        <f>'1. All Data'!B19</f>
        <v>VFM17</v>
      </c>
      <c r="B19" s="254" t="str">
        <f>'1. All Data'!C19</f>
        <v>Legal and Assets</v>
      </c>
      <c r="C19" s="255" t="str">
        <f>'1. All Data'!D19</f>
        <v>Condition Survey commissioned for miscellaneous Council properties</v>
      </c>
      <c r="D19" s="251" t="str">
        <f>'1. All Data'!H19</f>
        <v>Not Yet Due</v>
      </c>
      <c r="E19" s="219"/>
      <c r="F19" s="252" t="str">
        <f>'1. All Data'!M19</f>
        <v>Update Not Provided</v>
      </c>
      <c r="G19" s="220"/>
      <c r="H19" s="253" t="str">
        <f>'1. All Data'!R19</f>
        <v>Update Not Provided</v>
      </c>
      <c r="I19" s="220"/>
      <c r="J19" s="253" t="str">
        <f>'1. All Data'!V19</f>
        <v>Update not provided</v>
      </c>
    </row>
    <row r="20" spans="1:10" ht="99.75" customHeight="1">
      <c r="A20" s="218" t="str">
        <f>'1. All Data'!B20</f>
        <v>VFM18</v>
      </c>
      <c r="B20" s="254" t="str">
        <f>'1. All Data'!C20</f>
        <v>Maintain Robust Mechanisms for Contract Managing the New Leisure Service Arrangements</v>
      </c>
      <c r="C20" s="255" t="str">
        <f>'1. All Data'!D20</f>
        <v xml:space="preserve">Report on the performance of the Leisure Services contractor on a quarterly basis </v>
      </c>
      <c r="D20" s="251" t="str">
        <f>'1. All Data'!H20</f>
        <v>On Track to be Achieved</v>
      </c>
      <c r="E20" s="219"/>
      <c r="F20" s="252" t="str">
        <f>'1. All Data'!M20</f>
        <v>Update Not Provided</v>
      </c>
      <c r="G20" s="220"/>
      <c r="H20" s="253" t="str">
        <f>'1. All Data'!R20</f>
        <v>Update Not Provided</v>
      </c>
      <c r="I20" s="220"/>
      <c r="J20" s="253" t="str">
        <f>'1. All Data'!V20</f>
        <v>Update not provided</v>
      </c>
    </row>
    <row r="21" spans="1:10" ht="99.75" customHeight="1">
      <c r="A21" s="218" t="str">
        <f>'1. All Data'!B21</f>
        <v>VFM19</v>
      </c>
      <c r="B21" s="254" t="str">
        <f>'1. All Data'!C21</f>
        <v>Review Strategic Sport and Leisure Approach in Line with New Leisure Service Arrangements</v>
      </c>
      <c r="C21" s="255" t="str">
        <f>'1. All Data'!D21</f>
        <v>Undertake a  benchmarking exercise to support the delivery of the leisure management contract</v>
      </c>
      <c r="D21" s="251" t="str">
        <f>'1. All Data'!H21</f>
        <v>Not Yet Due</v>
      </c>
      <c r="E21" s="220"/>
      <c r="F21" s="252" t="str">
        <f>'1. All Data'!M21</f>
        <v>Update Not Provided</v>
      </c>
      <c r="G21" s="220"/>
      <c r="H21" s="253" t="str">
        <f>'1. All Data'!R21</f>
        <v>Update Not Provided</v>
      </c>
      <c r="I21" s="220"/>
      <c r="J21" s="253" t="str">
        <f>'1. All Data'!V21</f>
        <v>Update not provided</v>
      </c>
    </row>
    <row r="22" spans="1:10" ht="99.75" customHeight="1">
      <c r="A22" s="218" t="str">
        <f>'1. All Data'!B22</f>
        <v>VFM20</v>
      </c>
      <c r="B22" s="254" t="str">
        <f>'1. All Data'!C22</f>
        <v xml:space="preserve">Review Strategic Sport and Leisure Approach in Line with New Leisure Service Arrangements </v>
      </c>
      <c r="C22" s="255" t="str">
        <f>'1. All Data'!D22</f>
        <v>Conduct a review of the relevant Sport and Leisure Strategy and Policy Documents and create a plan for their delivery</v>
      </c>
      <c r="D22" s="251" t="str">
        <f>'1. All Data'!H22</f>
        <v>On Track to be Achieved</v>
      </c>
      <c r="E22" s="220"/>
      <c r="F22" s="252" t="str">
        <f>'1. All Data'!M22</f>
        <v>Update Not Provided</v>
      </c>
      <c r="G22" s="220"/>
      <c r="H22" s="253" t="str">
        <f>'1. All Data'!R22</f>
        <v>Update Not Provided</v>
      </c>
      <c r="I22" s="220"/>
      <c r="J22" s="253" t="str">
        <f>'1. All Data'!V22</f>
        <v>Update not provided</v>
      </c>
    </row>
    <row r="23" spans="1:10" ht="99.75" customHeight="1">
      <c r="A23" s="218" t="str">
        <f>'1. All Data'!B23</f>
        <v>VFM21</v>
      </c>
      <c r="B23" s="254" t="str">
        <f>'1. All Data'!C23</f>
        <v>Open Spaces Service Development Initiatives</v>
      </c>
      <c r="C23" s="255" t="str">
        <f>'1. All Data'!D23</f>
        <v>Review the Open Spaces/Grounds Maintenance Contract in preparation for retendering in 2020/21</v>
      </c>
      <c r="D23" s="251" t="str">
        <f>'1. All Data'!H23</f>
        <v>On Track to be Achieved</v>
      </c>
      <c r="E23" s="220"/>
      <c r="F23" s="252" t="str">
        <f>'1. All Data'!M23</f>
        <v>Update Not Provided</v>
      </c>
      <c r="G23" s="220"/>
      <c r="H23" s="253" t="str">
        <f>'1. All Data'!R23</f>
        <v>Update Not Provided</v>
      </c>
      <c r="I23" s="220"/>
      <c r="J23" s="253" t="str">
        <f>'1. All Data'!V23</f>
        <v>Update not provided</v>
      </c>
    </row>
    <row r="24" spans="1:10" ht="99.75" customHeight="1">
      <c r="A24" s="218" t="str">
        <f>'1. All Data'!B24</f>
        <v>VFM22</v>
      </c>
      <c r="B24" s="254" t="str">
        <f>'1. All Data'!C24</f>
        <v>Open Spaces Service Development Initiatives</v>
      </c>
      <c r="C24" s="255" t="str">
        <f>'1. All Data'!D24</f>
        <v xml:space="preserve">Commission a consultant to assess the potential practical and capital requirements for the expansion of Stapenhill Cemetery </v>
      </c>
      <c r="D24" s="251" t="str">
        <f>'1. All Data'!H24</f>
        <v>On Track to be Achieved</v>
      </c>
      <c r="E24" s="220"/>
      <c r="F24" s="252" t="str">
        <f>'1. All Data'!M24</f>
        <v>Update Not Provided</v>
      </c>
      <c r="G24" s="220"/>
      <c r="H24" s="253" t="str">
        <f>'1. All Data'!R24</f>
        <v>Update Not Provided</v>
      </c>
      <c r="I24" s="220"/>
      <c r="J24" s="253" t="str">
        <f>'1. All Data'!V24</f>
        <v>Update not provided</v>
      </c>
    </row>
    <row r="25" spans="1:10" ht="99.75" customHeight="1">
      <c r="A25" s="218" t="str">
        <f>'1. All Data'!B25</f>
        <v>VFM23</v>
      </c>
      <c r="B25" s="254" t="str">
        <f>'1. All Data'!C25</f>
        <v>Open Spaces Service Development Initiatives</v>
      </c>
      <c r="C25" s="255" t="str">
        <f>'1. All Data'!D25</f>
        <v xml:space="preserve">Review the options for improving the energy efficiency of lighting stock on Council land across the Borough </v>
      </c>
      <c r="D25" s="251" t="str">
        <f>'1. All Data'!H25</f>
        <v>On Track to be Achieved</v>
      </c>
      <c r="E25" s="220"/>
      <c r="F25" s="252" t="str">
        <f>'1. All Data'!M25</f>
        <v>Update Not Provided</v>
      </c>
      <c r="G25" s="220"/>
      <c r="H25" s="253" t="str">
        <f>'1. All Data'!R25</f>
        <v>Update Not Provided</v>
      </c>
      <c r="I25" s="220"/>
      <c r="J25" s="253" t="str">
        <f>'1. All Data'!V25</f>
        <v>Update not provided</v>
      </c>
    </row>
    <row r="26" spans="1:10" ht="99.75" customHeight="1">
      <c r="A26" s="218" t="str">
        <f>'1. All Data'!B26</f>
        <v>VFM24</v>
      </c>
      <c r="B26" s="254" t="str">
        <f>'1. All Data'!C26</f>
        <v>Open Spaces Service Development Initiatives</v>
      </c>
      <c r="C26" s="255" t="str">
        <f>'1. All Data'!D26</f>
        <v xml:space="preserve">Review the first years performance of the Alertcom lone working system  </v>
      </c>
      <c r="D26" s="251" t="str">
        <f>'1. All Data'!H26</f>
        <v>Fully Achieved</v>
      </c>
      <c r="E26" s="220"/>
      <c r="F26" s="252" t="str">
        <f>'1. All Data'!M26</f>
        <v>Update Not Provided</v>
      </c>
      <c r="G26" s="227"/>
      <c r="H26" s="253" t="str">
        <f>'1. All Data'!R26</f>
        <v>Update Not Provided</v>
      </c>
      <c r="I26" s="220"/>
      <c r="J26" s="253" t="str">
        <f>'1. All Data'!V26</f>
        <v>Update not provided</v>
      </c>
    </row>
    <row r="27" spans="1:10" ht="99.75" customHeight="1">
      <c r="A27" s="218" t="str">
        <f>'1. All Data'!B27</f>
        <v>VFM25</v>
      </c>
      <c r="B27" s="254" t="str">
        <f>'1. All Data'!C27</f>
        <v>Brewhouse, Arts and Town Hall Developments</v>
      </c>
      <c r="C27" s="255" t="str">
        <f>'1. All Data'!D27</f>
        <v>Investigate new models of delivery for the Brewhouse Arts Facilities, Civic Function Suite and Arts Development</v>
      </c>
      <c r="D27" s="251" t="str">
        <f>'1. All Data'!H27</f>
        <v>On Track to be Achieved</v>
      </c>
      <c r="E27" s="220"/>
      <c r="F27" s="252" t="str">
        <f>'1. All Data'!M27</f>
        <v>Update Not Provided</v>
      </c>
      <c r="G27" s="220"/>
      <c r="H27" s="253" t="str">
        <f>'1. All Data'!R27</f>
        <v>Update Not Provided</v>
      </c>
      <c r="I27" s="220"/>
      <c r="J27" s="253" t="str">
        <f>'1. All Data'!V27</f>
        <v>Update not provided</v>
      </c>
    </row>
    <row r="28" spans="1:10" ht="99.75" customHeight="1">
      <c r="A28" s="218" t="str">
        <f>'1. All Data'!B28</f>
        <v>VFM26</v>
      </c>
      <c r="B28" s="254" t="str">
        <f>'1. All Data'!C28</f>
        <v>Improve Awareness of ESBC Venues and Initiatives</v>
      </c>
      <c r="C28" s="255" t="str">
        <f>'1. All Data'!D28</f>
        <v>Produce Marketing and Development Plans for key services and provide quarterly updates on performance</v>
      </c>
      <c r="D28" s="251" t="str">
        <f>'1. All Data'!H28</f>
        <v>On Track to be Achieved</v>
      </c>
      <c r="E28" s="219"/>
      <c r="F28" s="252" t="str">
        <f>'1. All Data'!M28</f>
        <v>Update Not Provided</v>
      </c>
      <c r="G28" s="220"/>
      <c r="H28" s="253" t="str">
        <f>'1. All Data'!R28</f>
        <v>Update Not Provided</v>
      </c>
      <c r="I28" s="220"/>
      <c r="J28" s="253" t="str">
        <f>'1. All Data'!V28</f>
        <v>Update not provided</v>
      </c>
    </row>
    <row r="29" spans="1:10" ht="99.75" customHeight="1">
      <c r="A29" s="218" t="str">
        <f>'1. All Data'!B29</f>
        <v>VFM27</v>
      </c>
      <c r="B29" s="254" t="str">
        <f>'1. All Data'!C29</f>
        <v xml:space="preserve">Improve Awareness of ESBC Venues and Initiatives </v>
      </c>
      <c r="C29" s="255" t="str">
        <f>'1. All Data'!D29</f>
        <v>Deliver a minimum of 2 Town Centre initiatives in Conjunction with local partners</v>
      </c>
      <c r="D29" s="251" t="str">
        <f>'1. All Data'!H29</f>
        <v>On Track to be Achieved</v>
      </c>
      <c r="E29" s="220"/>
      <c r="F29" s="252" t="str">
        <f>'1. All Data'!M29</f>
        <v>Update Not Provided</v>
      </c>
      <c r="G29" s="228"/>
      <c r="H29" s="253" t="str">
        <f>'1. All Data'!R29</f>
        <v>Update Not Provided</v>
      </c>
      <c r="I29" s="220"/>
      <c r="J29" s="253" t="str">
        <f>'1. All Data'!V29</f>
        <v>Update not provided</v>
      </c>
    </row>
    <row r="30" spans="1:10" ht="99.75" customHeight="1">
      <c r="A30" s="218" t="str">
        <f>'1. All Data'!B30</f>
        <v>VFM28</v>
      </c>
      <c r="B30" s="254" t="str">
        <f>'1. All Data'!C30</f>
        <v>Improve Awareness of ESBC Venues and Initiatives</v>
      </c>
      <c r="C30" s="255" t="str">
        <f>'1. All Data'!D30</f>
        <v>Organise a minimum of 4 “Outreach” Days (1 Per Quarter) to raise the profile of the Council’s services</v>
      </c>
      <c r="D30" s="251" t="str">
        <f>'1. All Data'!H30</f>
        <v>On Track to be Achieved</v>
      </c>
      <c r="E30" s="220"/>
      <c r="F30" s="252" t="str">
        <f>'1. All Data'!M30</f>
        <v>Update Not Provided</v>
      </c>
      <c r="G30" s="220"/>
      <c r="H30" s="253" t="str">
        <f>'1. All Data'!R30</f>
        <v>Update Not Provided</v>
      </c>
      <c r="I30" s="220"/>
      <c r="J30" s="253" t="str">
        <f>'1. All Data'!V30</f>
        <v>Update not provided</v>
      </c>
    </row>
    <row r="31" spans="1:10" ht="99.75" customHeight="1">
      <c r="A31" s="218" t="str">
        <f>'1. All Data'!B31</f>
        <v>VFM29</v>
      </c>
      <c r="B31" s="254" t="str">
        <f>'1. All Data'!C31</f>
        <v>Further Development of SMARTER working (Waste Collection)</v>
      </c>
      <c r="C31" s="255" t="str">
        <f>'1. All Data'!D31</f>
        <v>Conduct review of Waste Service
Two Findings / Update Reports with next steps</v>
      </c>
      <c r="D31" s="251" t="str">
        <f>'1. All Data'!H31</f>
        <v>On Track to be Achieved</v>
      </c>
      <c r="E31" s="220"/>
      <c r="F31" s="252" t="str">
        <f>'1. All Data'!M31</f>
        <v>Update Not Provided</v>
      </c>
      <c r="G31" s="220"/>
      <c r="H31" s="253" t="str">
        <f>'1. All Data'!R31</f>
        <v>Update Not Provided</v>
      </c>
      <c r="I31" s="220"/>
      <c r="J31" s="253" t="str">
        <f>'1. All Data'!V31</f>
        <v>Update not provided</v>
      </c>
    </row>
    <row r="32" spans="1:10" ht="99.75" customHeight="1">
      <c r="A32" s="218" t="str">
        <f>'1. All Data'!B32</f>
        <v>VFM30</v>
      </c>
      <c r="B32" s="254" t="str">
        <f>'1. All Data'!C32</f>
        <v>Further Development of SMARTER working  (Street Cleaning)</v>
      </c>
      <c r="C32" s="255" t="str">
        <f>'1. All Data'!D32</f>
        <v xml:space="preserve">Implement the SMARTER Street Cleaning Programme
Two update reports </v>
      </c>
      <c r="D32" s="251" t="str">
        <f>'1. All Data'!H32</f>
        <v>Not Yet Due</v>
      </c>
      <c r="E32" s="219"/>
      <c r="F32" s="252" t="str">
        <f>'1. All Data'!M32</f>
        <v>Update Not Provided</v>
      </c>
      <c r="G32" s="220"/>
      <c r="H32" s="253" t="str">
        <f>'1. All Data'!R32</f>
        <v>Update Not Provided</v>
      </c>
      <c r="I32" s="220"/>
      <c r="J32" s="253" t="str">
        <f>'1. All Data'!V32</f>
        <v>Update not provided</v>
      </c>
    </row>
    <row r="33" spans="1:10" ht="99.75" customHeight="1">
      <c r="A33" s="218" t="str">
        <f>'1. All Data'!B33</f>
        <v xml:space="preserve">VFM31 </v>
      </c>
      <c r="B33" s="254" t="str">
        <f>'1. All Data'!C33</f>
        <v>Further Development of SMARTER working  (Street Cleaning)</v>
      </c>
      <c r="C33" s="255" t="str">
        <f>'1. All Data'!D33</f>
        <v>Produce Strategy for engaging with Highways England to improve cleanliness around A38 and associated access roads</v>
      </c>
      <c r="D33" s="251" t="str">
        <f>'1. All Data'!H33</f>
        <v>Fully Achieved</v>
      </c>
      <c r="E33" s="220"/>
      <c r="F33" s="252" t="str">
        <f>'1. All Data'!M33</f>
        <v>Update Not Provided</v>
      </c>
      <c r="G33" s="220"/>
      <c r="H33" s="253" t="str">
        <f>'1. All Data'!R33</f>
        <v>Update Not Provided</v>
      </c>
      <c r="I33" s="220"/>
      <c r="J33" s="253" t="str">
        <f>'1. All Data'!V33</f>
        <v>Update not provided</v>
      </c>
    </row>
    <row r="34" spans="1:10" ht="99.75" customHeight="1">
      <c r="A34" s="218" t="str">
        <f>'1. All Data'!B34</f>
        <v>VFM32</v>
      </c>
      <c r="B34" s="254" t="str">
        <f>'1. All Data'!C34</f>
        <v>Further Development of SMARTER Working (Building Control)</v>
      </c>
      <c r="C34" s="255" t="str">
        <f>'1. All Data'!D34</f>
        <v>Implement ISO Quality Management System for Building Control</v>
      </c>
      <c r="D34" s="251" t="str">
        <f>'1. All Data'!H34</f>
        <v>Not Yet Due</v>
      </c>
      <c r="E34" s="220"/>
      <c r="F34" s="252" t="str">
        <f>'1. All Data'!M34</f>
        <v>Update Not Provided</v>
      </c>
      <c r="G34" s="220"/>
      <c r="H34" s="253" t="str">
        <f>'1. All Data'!R34</f>
        <v>Update Not Provided</v>
      </c>
      <c r="I34" s="220"/>
      <c r="J34" s="253" t="str">
        <f>'1. All Data'!V34</f>
        <v>Update not provided</v>
      </c>
    </row>
    <row r="35" spans="1:10" ht="99.75" customHeight="1">
      <c r="A35" s="218" t="str">
        <f>'1. All Data'!B35</f>
        <v>VFM33</v>
      </c>
      <c r="B35" s="254" t="str">
        <f>'1. All Data'!C35</f>
        <v>Minimise The Number Of Missed Bin Collections</v>
      </c>
      <c r="C35" s="255" t="str">
        <f>'1. All Data'!D35</f>
        <v>Number Of Missed Bin Collections: 
2 missed bins per 10,000 collections</v>
      </c>
      <c r="D35" s="251" t="str">
        <f>'1. All Data'!H35</f>
        <v>In Danger of Falling Behind Target</v>
      </c>
      <c r="E35" s="219"/>
      <c r="F35" s="252" t="str">
        <f>'1. All Data'!M35</f>
        <v>Update Not Provided</v>
      </c>
      <c r="G35" s="220"/>
      <c r="H35" s="253" t="str">
        <f>'1. All Data'!R35</f>
        <v>Update Not Provided</v>
      </c>
      <c r="I35" s="220"/>
      <c r="J35" s="253" t="str">
        <f>'1. All Data'!V35</f>
        <v>Update not provided</v>
      </c>
    </row>
    <row r="36" spans="1:10" ht="99.75" customHeight="1">
      <c r="A36" s="218" t="str">
        <f>'1. All Data'!B36</f>
        <v>VFM34</v>
      </c>
      <c r="B36" s="254" t="str">
        <f>'1. All Data'!C36</f>
        <v xml:space="preserve">Carry out SMARTER Digital Communications </v>
      </c>
      <c r="C36" s="255" t="str">
        <f>'1. All Data'!D36</f>
        <v>Refreshed Web / Social Media Waste Management and Street Cleaning Section launched</v>
      </c>
      <c r="D36" s="251" t="str">
        <f>'1. All Data'!H36</f>
        <v>On Track to be Achieved</v>
      </c>
      <c r="E36" s="220"/>
      <c r="F36" s="252" t="str">
        <f>'1. All Data'!M36</f>
        <v>Update Not Provided</v>
      </c>
      <c r="G36" s="220"/>
      <c r="H36" s="253" t="str">
        <f>'1. All Data'!R36</f>
        <v>Update Not Provided</v>
      </c>
      <c r="I36" s="220"/>
      <c r="J36" s="253" t="str">
        <f>'1. All Data'!V36</f>
        <v>Update not provided</v>
      </c>
    </row>
    <row r="37" spans="1:10" ht="99.75" customHeight="1">
      <c r="A37" s="218" t="str">
        <f>'1. All Data'!B37</f>
        <v>VFM35</v>
      </c>
      <c r="B37" s="254" t="str">
        <f>'1. All Data'!C37</f>
        <v xml:space="preserve">Respond to Government Policy Announcements </v>
      </c>
      <c r="C37" s="255" t="str">
        <f>'1. All Data'!D37</f>
        <v>Complete responses to Government consultations in line with consultation deadlines</v>
      </c>
      <c r="D37" s="251" t="str">
        <f>'1. All Data'!H37</f>
        <v>On Track to be Achieved</v>
      </c>
      <c r="E37" s="219"/>
      <c r="F37" s="252" t="str">
        <f>'1. All Data'!M37</f>
        <v>Update Not Provided</v>
      </c>
      <c r="G37" s="220"/>
      <c r="H37" s="253" t="str">
        <f>'1. All Data'!R37</f>
        <v>Update Not Provided</v>
      </c>
      <c r="I37" s="220"/>
      <c r="J37" s="253" t="str">
        <f>'1. All Data'!V37</f>
        <v>Update not provided</v>
      </c>
    </row>
    <row r="38" spans="1:10" ht="99.75" customHeight="1">
      <c r="A38" s="218" t="str">
        <f>'1. All Data'!B38</f>
        <v>VFM36a</v>
      </c>
      <c r="B38" s="254" t="str">
        <f>'1. All Data'!C38</f>
        <v xml:space="preserve">Continue to Maximise Income Through Effective Collection Processes
(Previously BV9) </v>
      </c>
      <c r="C38" s="255" t="str">
        <f>'1. All Data'!D38</f>
        <v>Council Tax Collection Rates: 98%</v>
      </c>
      <c r="D38" s="251" t="str">
        <f>'1. All Data'!H38</f>
        <v>On Track to be Achieved</v>
      </c>
      <c r="E38" s="220"/>
      <c r="F38" s="252" t="str">
        <f>'1. All Data'!M38</f>
        <v>Update Not Provided</v>
      </c>
      <c r="G38" s="228"/>
      <c r="H38" s="253" t="str">
        <f>'1. All Data'!R38</f>
        <v>Update Not Provided</v>
      </c>
      <c r="I38" s="220"/>
      <c r="J38" s="253" t="str">
        <f>'1. All Data'!V38</f>
        <v>Update not provided</v>
      </c>
    </row>
    <row r="39" spans="1:10" ht="99.75" customHeight="1">
      <c r="A39" s="218" t="str">
        <f>'1. All Data'!B39</f>
        <v>VFM36b</v>
      </c>
      <c r="B39" s="254" t="str">
        <f>'1. All Data'!C39</f>
        <v xml:space="preserve">Continue to Maximise Income Through Effective Collection Processes
(Previously BV10) </v>
      </c>
      <c r="C39" s="255" t="str">
        <f>'1. All Data'!D39</f>
        <v>NNDR Collection Rates: 99%</v>
      </c>
      <c r="D39" s="251" t="str">
        <f>'1. All Data'!H39</f>
        <v>On Track to be Achieved</v>
      </c>
      <c r="E39" s="219"/>
      <c r="F39" s="252" t="str">
        <f>'1. All Data'!M39</f>
        <v>Update Not Provided</v>
      </c>
      <c r="G39" s="228"/>
      <c r="H39" s="253" t="str">
        <f>'1. All Data'!R39</f>
        <v>Update Not Provided</v>
      </c>
      <c r="I39" s="220"/>
      <c r="J39" s="253" t="str">
        <f>'1. All Data'!V39</f>
        <v>Update not provided</v>
      </c>
    </row>
    <row r="40" spans="1:10" ht="99.75" customHeight="1">
      <c r="A40" s="218" t="str">
        <f>'1. All Data'!B40</f>
        <v>VFM37a</v>
      </c>
      <c r="B40" s="254" t="str">
        <f>'1. All Data'!C40</f>
        <v>Continue to Maximise Income Through Effective Collection Processes:
Reduce Former Years Arrears for Council Tax; NNDR; Sundry Debts</v>
      </c>
      <c r="C40" s="255" t="str">
        <f>'1. All Data'!D40</f>
        <v>Former Years Arrears for Council Tax; £1,900,000 (net)</v>
      </c>
      <c r="D40" s="251" t="str">
        <f>'1. All Data'!H40</f>
        <v>On Track to be Achieved</v>
      </c>
      <c r="E40" s="220"/>
      <c r="F40" s="252" t="str">
        <f>'1. All Data'!M40</f>
        <v>Update Not Provided</v>
      </c>
      <c r="G40" s="220"/>
      <c r="H40" s="253" t="str">
        <f>'1. All Data'!R40</f>
        <v>Update Not Provided</v>
      </c>
      <c r="I40" s="220"/>
      <c r="J40" s="253" t="str">
        <f>'1. All Data'!V40</f>
        <v>Update not provided</v>
      </c>
    </row>
    <row r="41" spans="1:10" ht="99.75" customHeight="1">
      <c r="A41" s="218" t="str">
        <f>'1. All Data'!B41</f>
        <v>VFM37b</v>
      </c>
      <c r="B41" s="254" t="str">
        <f>'1. All Data'!C41</f>
        <v>Continue to Maximise Income Through Effective Collection Processes:
Reduce Former Years Arrears for Council Tax; NNDR; Sundry Debts</v>
      </c>
      <c r="C41" s="255" t="str">
        <f>'1. All Data'!D41</f>
        <v>Former Years Arrears for NNDR; 
£500,000 (net)</v>
      </c>
      <c r="D41" s="251" t="str">
        <f>'1. All Data'!H41</f>
        <v>On Track to be Achieved</v>
      </c>
      <c r="E41" s="220"/>
      <c r="F41" s="252" t="str">
        <f>'1. All Data'!M41</f>
        <v>Update Not Provided</v>
      </c>
      <c r="G41" s="220"/>
      <c r="H41" s="253" t="str">
        <f>'1. All Data'!R41</f>
        <v>Update Not Provided</v>
      </c>
      <c r="I41" s="220"/>
      <c r="J41" s="253" t="str">
        <f>'1. All Data'!V41</f>
        <v>Update not provided</v>
      </c>
    </row>
    <row r="42" spans="1:10" ht="99.75" customHeight="1">
      <c r="A42" s="218" t="str">
        <f>'1. All Data'!B42</f>
        <v>VFM37c</v>
      </c>
      <c r="B42" s="254" t="str">
        <f>'1. All Data'!C42</f>
        <v>Continue to Maximise Income Through Effective Collection Processes:
Reduce Former Years Arrears for Council Tax; NNDR; Sundry Debts</v>
      </c>
      <c r="C42" s="255" t="str">
        <f>'1. All Data'!D42</f>
        <v>Current Years Arrears for Sundry debts; 
£40,000 (older than 90 days)</v>
      </c>
      <c r="D42" s="251" t="str">
        <f>'1. All Data'!H42</f>
        <v>On Track to be Achieved</v>
      </c>
      <c r="E42" s="219"/>
      <c r="F42" s="252" t="str">
        <f>'1. All Data'!M42</f>
        <v>Update Not Provided</v>
      </c>
      <c r="G42" s="228"/>
      <c r="H42" s="253" t="str">
        <f>'1. All Data'!R42</f>
        <v>Update Not Provided</v>
      </c>
      <c r="I42" s="228"/>
      <c r="J42" s="253" t="str">
        <f>'1. All Data'!V42</f>
        <v>Update not provided</v>
      </c>
    </row>
    <row r="43" spans="1:10" ht="99.75" customHeight="1">
      <c r="A43" s="218" t="str">
        <f>'1. All Data'!B43</f>
        <v>VFM38a</v>
      </c>
      <c r="B43" s="254" t="str">
        <f>'1. All Data'!C43</f>
        <v>Maintaining excellent customer access to services with face-to-face and telephony enquiries</v>
      </c>
      <c r="C43" s="255" t="str">
        <f>'1. All Data'!D43</f>
        <v>99% of CSC and Telephony Team Enquiries Resolved at First Point of Contact</v>
      </c>
      <c r="D43" s="251" t="str">
        <f>'1. All Data'!H43</f>
        <v>On Track to be Achieved</v>
      </c>
      <c r="E43" s="219"/>
      <c r="F43" s="252" t="str">
        <f>'1. All Data'!M43</f>
        <v>Update Not Provided</v>
      </c>
      <c r="G43" s="220"/>
      <c r="H43" s="253" t="str">
        <f>'1. All Data'!R43</f>
        <v>Update Not Provided</v>
      </c>
      <c r="I43" s="220"/>
      <c r="J43" s="253" t="str">
        <f>'1. All Data'!V43</f>
        <v>Update not provided</v>
      </c>
    </row>
    <row r="44" spans="1:10" ht="99.75" customHeight="1">
      <c r="A44" s="218" t="str">
        <f>'1. All Data'!B44</f>
        <v>VFM38b</v>
      </c>
      <c r="B44" s="254" t="str">
        <f>'1. All Data'!C44</f>
        <v>Maintaining excellent customer access to services with face-to-face and telephony enquiries</v>
      </c>
      <c r="C44" s="255" t="str">
        <f>'1. All Data'!D44</f>
        <v>Minimum 75% Telephony Team Calls Answered Within 10 Seconds</v>
      </c>
      <c r="D44" s="251" t="str">
        <f>'1. All Data'!H44</f>
        <v>On Track to be Achieved</v>
      </c>
      <c r="E44" s="219"/>
      <c r="F44" s="252" t="str">
        <f>'1. All Data'!M44</f>
        <v>Update Not Provided</v>
      </c>
      <c r="G44" s="220"/>
      <c r="H44" s="253" t="str">
        <f>'1. All Data'!R44</f>
        <v>Update Not Provided</v>
      </c>
      <c r="I44" s="220"/>
      <c r="J44" s="253" t="str">
        <f>'1. All Data'!V44</f>
        <v>Update not provided</v>
      </c>
    </row>
    <row r="45" spans="1:10" ht="99.75" customHeight="1">
      <c r="A45" s="218" t="str">
        <f>'1. All Data'!B45</f>
        <v>VFM39</v>
      </c>
      <c r="B45" s="254" t="str">
        <f>'1. All Data'!C45</f>
        <v>Maximise Tax Bases through continued reviews of discounts, exemptions and reliefs</v>
      </c>
      <c r="C45" s="255" t="str">
        <f>'1. All Data'!D45</f>
        <v xml:space="preserve">To be agreed post tender award </v>
      </c>
      <c r="D45" s="251" t="str">
        <f>'1. All Data'!H45</f>
        <v>Not Yet Due</v>
      </c>
      <c r="E45" s="220"/>
      <c r="F45" s="252" t="str">
        <f>'1. All Data'!M45</f>
        <v>Update Not Provided</v>
      </c>
      <c r="G45" s="220"/>
      <c r="H45" s="253" t="str">
        <f>'1. All Data'!R45</f>
        <v>Update Not Provided</v>
      </c>
      <c r="I45" s="220"/>
      <c r="J45" s="253" t="str">
        <f>'1. All Data'!V45</f>
        <v>Update not provided</v>
      </c>
    </row>
    <row r="46" spans="1:10" ht="99.75" customHeight="1">
      <c r="A46" s="218" t="str">
        <f>'1. All Data'!B46</f>
        <v>VFM40</v>
      </c>
      <c r="B46" s="254" t="str">
        <f>'1. All Data'!C46</f>
        <v>Continue to Improve the Ways We Provide Benefits to Those Most in Need:
Time Taken to Process Benefit New Claims and Change Events (Previously NI 181)</v>
      </c>
      <c r="C46" s="255" t="str">
        <f>'1. All Data'!D46</f>
        <v>5 days</v>
      </c>
      <c r="D46" s="251" t="str">
        <f>'1. All Data'!H46</f>
        <v>On Track to be Achieved</v>
      </c>
      <c r="E46" s="220"/>
      <c r="F46" s="252" t="str">
        <f>'1. All Data'!M46</f>
        <v>Update Not Provided</v>
      </c>
      <c r="G46" s="220"/>
      <c r="H46" s="253" t="str">
        <f>'1. All Data'!R46</f>
        <v>Update Not Provided</v>
      </c>
      <c r="I46" s="220"/>
      <c r="J46" s="253" t="str">
        <f>'1. All Data'!V46</f>
        <v>Update not provided</v>
      </c>
    </row>
    <row r="47" spans="1:10" ht="99.75" customHeight="1">
      <c r="A47" s="218" t="str">
        <f>'1. All Data'!B47</f>
        <v>VFM41a</v>
      </c>
      <c r="B47" s="254" t="str">
        <f>'1. All Data'!C47</f>
        <v>Working Towards the Reduction of Claimant Error Housing Benefit Overpayments (HBOPs)</v>
      </c>
      <c r="C47" s="255" t="str">
        <f>'1. All Data'!D47</f>
        <v>80% of HBOPs Overpayments Recovered During the Year</v>
      </c>
      <c r="D47" s="251" t="str">
        <f>'1. All Data'!H47</f>
        <v>On Track to be Achieved</v>
      </c>
      <c r="E47" s="220"/>
      <c r="F47" s="252" t="str">
        <f>'1. All Data'!M47</f>
        <v>Update Not Provided</v>
      </c>
      <c r="G47" s="220"/>
      <c r="H47" s="253" t="str">
        <f>'1. All Data'!R47</f>
        <v>Update Not Provided</v>
      </c>
      <c r="I47" s="220"/>
      <c r="J47" s="253" t="str">
        <f>'1. All Data'!V47</f>
        <v>Update not provided</v>
      </c>
    </row>
    <row r="48" spans="1:10" ht="99.75" customHeight="1">
      <c r="A48" s="218" t="str">
        <f>'1. All Data'!B48</f>
        <v>VFM41b</v>
      </c>
      <c r="B48" s="254" t="str">
        <f>'1. All Data'!C48</f>
        <v>Working Towards the Reduction of Claimant Error Housing Benefit Overpayments (HBOPs)</v>
      </c>
      <c r="C48" s="255" t="str">
        <f>'1. All Data'!D48</f>
        <v>85% of HBOPS Processed and on Payment Arrangement</v>
      </c>
      <c r="D48" s="251" t="str">
        <f>'1. All Data'!H48</f>
        <v>On Track to be Achieved</v>
      </c>
      <c r="E48" s="220"/>
      <c r="F48" s="252" t="str">
        <f>'1. All Data'!M48</f>
        <v>Update Not Provided</v>
      </c>
      <c r="G48" s="220"/>
      <c r="H48" s="253" t="str">
        <f>'1. All Data'!R48</f>
        <v>Update Not Provided</v>
      </c>
      <c r="I48" s="220"/>
      <c r="J48" s="253" t="str">
        <f>'1. All Data'!V48</f>
        <v>Update not provided</v>
      </c>
    </row>
    <row r="49" spans="1:47" ht="99.75" customHeight="1">
      <c r="A49" s="218" t="str">
        <f>'1. All Data'!B49</f>
        <v>VFM42</v>
      </c>
      <c r="B49" s="254" t="str">
        <f>'1. All Data'!C49</f>
        <v>Review Council Tax Reduction scheme</v>
      </c>
      <c r="C49" s="255" t="str">
        <f>'1. All Data'!D49</f>
        <v xml:space="preserve">Carry Out Review of the Council Tax Reduction Scheme </v>
      </c>
      <c r="D49" s="251" t="str">
        <f>'1. All Data'!H49</f>
        <v>Not Yet Due</v>
      </c>
      <c r="E49" s="220"/>
      <c r="F49" s="252" t="str">
        <f>'1. All Data'!M49</f>
        <v>Update Not Provided</v>
      </c>
      <c r="G49" s="220"/>
      <c r="H49" s="253" t="str">
        <f>'1. All Data'!R49</f>
        <v>Update Not Provided</v>
      </c>
      <c r="I49" s="220"/>
      <c r="J49" s="253" t="str">
        <f>'1. All Data'!V49</f>
        <v>Update not provided</v>
      </c>
    </row>
    <row r="50" spans="1:47" ht="99.75" customHeight="1">
      <c r="A50" s="218" t="str">
        <f>'1. All Data'!B50</f>
        <v>VFM43</v>
      </c>
      <c r="B50" s="254" t="str">
        <f>'1. All Data'!C50</f>
        <v>Review Business Rates Rate Relief policy</v>
      </c>
      <c r="C50" s="255" t="str">
        <f>'1. All Data'!D50</f>
        <v>Policy reviewed (for next year’s implementation)</v>
      </c>
      <c r="D50" s="251" t="str">
        <f>'1. All Data'!H50</f>
        <v>Not Yet Due</v>
      </c>
      <c r="E50" s="220"/>
      <c r="F50" s="252" t="str">
        <f>'1. All Data'!M50</f>
        <v>Update Not Provided</v>
      </c>
      <c r="G50" s="228"/>
      <c r="H50" s="253" t="str">
        <f>'1. All Data'!R50</f>
        <v>Update Not Provided</v>
      </c>
      <c r="I50" s="228"/>
      <c r="J50" s="253" t="str">
        <f>'1. All Data'!V50</f>
        <v>Update not provided</v>
      </c>
    </row>
    <row r="51" spans="1:47" ht="99.75" customHeight="1">
      <c r="A51" s="218" t="str">
        <f>'1. All Data'!B51</f>
        <v>VFM44</v>
      </c>
      <c r="B51" s="254" t="str">
        <f>'1. All Data'!C51</f>
        <v xml:space="preserve">Prepare for Universal Credit Managed Migration </v>
      </c>
      <c r="C51" s="255" t="str">
        <f>'1. All Data'!D51</f>
        <v xml:space="preserve">Work with DWP and partners, prepare 2 in year progress reports and 1 Member briefing </v>
      </c>
      <c r="D51" s="251" t="str">
        <f>'1. All Data'!H51</f>
        <v>Not Yet Due</v>
      </c>
      <c r="E51" s="219"/>
      <c r="F51" s="252" t="str">
        <f>'1. All Data'!M51</f>
        <v>Update Not Provided</v>
      </c>
      <c r="G51" s="220"/>
      <c r="H51" s="253" t="str">
        <f>'1. All Data'!R51</f>
        <v>Update Not Provided</v>
      </c>
      <c r="I51" s="220"/>
      <c r="J51" s="253" t="str">
        <f>'1. All Data'!V51</f>
        <v>Update not provided</v>
      </c>
    </row>
    <row r="52" spans="1:47" ht="99.75" customHeight="1">
      <c r="A52" s="218" t="str">
        <f>'1. All Data'!B52</f>
        <v>VFM45</v>
      </c>
      <c r="B52" s="254" t="str">
        <f>'1. All Data'!C52</f>
        <v>Continuing to inform and improve Planning awareness with Members</v>
      </c>
      <c r="C52" s="255" t="str">
        <f>'1. All Data'!D52</f>
        <v xml:space="preserve">At least 2 briefings delivered to elected members during the year </v>
      </c>
      <c r="D52" s="251" t="str">
        <f>'1. All Data'!H52</f>
        <v>On Track to be Achieved</v>
      </c>
      <c r="E52" s="219"/>
      <c r="F52" s="252" t="str">
        <f>'1. All Data'!M52</f>
        <v>Update Not Provided</v>
      </c>
      <c r="G52" s="220"/>
      <c r="H52" s="253" t="str">
        <f>'1. All Data'!R52</f>
        <v>Update Not Provided</v>
      </c>
      <c r="I52" s="220"/>
      <c r="J52" s="253" t="str">
        <f>'1. All Data'!V52</f>
        <v>Update not provided</v>
      </c>
    </row>
    <row r="53" spans="1:47" ht="99.75" customHeight="1">
      <c r="A53" s="218" t="str">
        <f>'1. All Data'!B53</f>
        <v>VFM46</v>
      </c>
      <c r="B53" s="254" t="str">
        <f>'1. All Data'!C53</f>
        <v>Continuing to inform and improve Planning awareness with Members</v>
      </c>
      <c r="C53" s="255" t="str">
        <f>'1. All Data'!D53</f>
        <v>Strategic Sites Progress Report delivered</v>
      </c>
      <c r="D53" s="251" t="str">
        <f>'1. All Data'!H53</f>
        <v>On Track to be Achieved</v>
      </c>
      <c r="E53" s="220"/>
      <c r="F53" s="252" t="str">
        <f>'1. All Data'!M53</f>
        <v>Update Not Provided</v>
      </c>
      <c r="G53" s="220"/>
      <c r="H53" s="253" t="str">
        <f>'1. All Data'!R53</f>
        <v>Update Not Provided</v>
      </c>
      <c r="I53" s="220"/>
      <c r="J53" s="253" t="str">
        <f>'1. All Data'!V53</f>
        <v>Update not provided</v>
      </c>
    </row>
    <row r="54" spans="1:47" ht="87.75">
      <c r="A54" s="218" t="str">
        <f>'1. All Data'!B54</f>
        <v>VFM47</v>
      </c>
      <c r="B54" s="254" t="str">
        <f>'1. All Data'!C54</f>
        <v xml:space="preserve">Monitor Local Plan Performance </v>
      </c>
      <c r="C54" s="255" t="str">
        <f>'1. All Data'!D54</f>
        <v>Annual Monitoring Report  Prepared</v>
      </c>
      <c r="D54" s="251" t="str">
        <f>'1. All Data'!H54</f>
        <v>On Track to be Achieved</v>
      </c>
      <c r="E54" s="219"/>
      <c r="F54" s="252" t="str">
        <f>'1. All Data'!M54</f>
        <v>Update Not Provided</v>
      </c>
      <c r="G54" s="228"/>
      <c r="H54" s="253" t="str">
        <f>'1. All Data'!R54</f>
        <v>Update Not Provided</v>
      </c>
      <c r="I54" s="220"/>
      <c r="J54" s="253" t="str">
        <f>'1. All Data'!V54</f>
        <v>Update not provided</v>
      </c>
    </row>
    <row r="55" spans="1:47" ht="99.75" customHeight="1">
      <c r="A55" s="218" t="str">
        <f>'1. All Data'!B55</f>
        <v>VFM48</v>
      </c>
      <c r="B55" s="254" t="str">
        <f>'1. All Data'!C55</f>
        <v>Continue to develop SMARTER working practices for Planning</v>
      </c>
      <c r="C55" s="255" t="str">
        <f>'1. All Data'!D55</f>
        <v>Invalid Applications Review and Report</v>
      </c>
      <c r="D55" s="251" t="str">
        <f>'1. All Data'!H55</f>
        <v>On Track to be Achieved</v>
      </c>
      <c r="E55" s="220"/>
      <c r="F55" s="252" t="str">
        <f>'1. All Data'!M55</f>
        <v>Update Not Provided</v>
      </c>
      <c r="G55" s="220"/>
      <c r="H55" s="253" t="str">
        <f>'1. All Data'!R55</f>
        <v>Update Not Provided</v>
      </c>
      <c r="I55" s="220"/>
      <c r="J55" s="253" t="str">
        <f>'1. All Data'!V55</f>
        <v>Update not provided</v>
      </c>
    </row>
    <row r="56" spans="1:47" ht="99.75" customHeight="1">
      <c r="A56" s="218" t="str">
        <f>'1. All Data'!B56</f>
        <v>VFM49</v>
      </c>
      <c r="B56" s="254" t="str">
        <f>'1. All Data'!C56</f>
        <v>Continue to develop SMARTER working practices for Planning</v>
      </c>
      <c r="C56" s="255" t="str">
        <f>'1. All Data'!D56</f>
        <v>Adoption of SMARTER Developer Contributions SPD</v>
      </c>
      <c r="D56" s="251" t="str">
        <f>'1. All Data'!H56</f>
        <v>On Track to be Achieved</v>
      </c>
      <c r="E56" s="220"/>
      <c r="F56" s="252" t="str">
        <f>'1. All Data'!M56</f>
        <v>Update Not Provided</v>
      </c>
      <c r="G56" s="220"/>
      <c r="H56" s="253" t="str">
        <f>'1. All Data'!R56</f>
        <v>Update Not Provided</v>
      </c>
      <c r="I56" s="220"/>
      <c r="J56" s="253" t="str">
        <f>'1. All Data'!V56</f>
        <v>Update not provided</v>
      </c>
      <c r="AU56" s="221"/>
    </row>
    <row r="57" spans="1:47" s="236" customFormat="1" ht="87.75">
      <c r="A57" s="218" t="str">
        <f>'1. All Data'!B57</f>
        <v>VFM50</v>
      </c>
      <c r="B57" s="254" t="str">
        <f>'1. All Data'!C57</f>
        <v xml:space="preserve">Ensure Robust Licensing Policies </v>
      </c>
      <c r="C57" s="255" t="str">
        <f>'1. All Data'!D57</f>
        <v xml:space="preserve">Complete a Review of the Scrap Metal Dealers Policy </v>
      </c>
      <c r="D57" s="251" t="str">
        <f>'1. All Data'!H57</f>
        <v>Fully Achieved</v>
      </c>
      <c r="E57" s="219"/>
      <c r="F57" s="252" t="str">
        <f>'1. All Data'!M57</f>
        <v>Update Not Provided</v>
      </c>
      <c r="G57" s="220"/>
      <c r="H57" s="253" t="str">
        <f>'1. All Data'!R57</f>
        <v>Update Not Provided</v>
      </c>
      <c r="I57" s="220"/>
      <c r="J57" s="253" t="str">
        <f>'1. All Data'!V57</f>
        <v>Update not provided</v>
      </c>
      <c r="K57" s="229"/>
      <c r="L57" s="229"/>
      <c r="M57" s="229"/>
      <c r="N57" s="230"/>
      <c r="O57" s="231"/>
      <c r="P57" s="231"/>
      <c r="Q57" s="231"/>
      <c r="R57" s="231"/>
      <c r="S57" s="232"/>
      <c r="T57" s="229"/>
      <c r="U57" s="229"/>
      <c r="V57" s="229"/>
      <c r="W57" s="229"/>
      <c r="X57" s="233"/>
      <c r="Y57" s="233"/>
      <c r="Z57" s="233"/>
      <c r="AA57" s="233"/>
      <c r="AB57" s="234"/>
      <c r="AC57" s="217"/>
      <c r="AD57" s="235"/>
      <c r="AE57" s="235"/>
      <c r="AF57" s="235"/>
      <c r="AG57" s="235"/>
      <c r="AH57" s="235"/>
      <c r="AI57" s="235"/>
      <c r="AJ57" s="235"/>
      <c r="AK57" s="235"/>
      <c r="AL57" s="235"/>
      <c r="AM57" s="235"/>
      <c r="AN57" s="235"/>
      <c r="AO57" s="235"/>
      <c r="AP57" s="235"/>
      <c r="AQ57" s="235"/>
      <c r="AR57" s="235"/>
      <c r="AS57" s="235"/>
      <c r="AT57" s="235"/>
      <c r="AU57" s="235"/>
    </row>
    <row r="58" spans="1:47" ht="99.75" customHeight="1">
      <c r="A58" s="218" t="str">
        <f>'1. All Data'!B58</f>
        <v>VFM51</v>
      </c>
      <c r="B58" s="254" t="str">
        <f>'1. All Data'!C58</f>
        <v>Ensure Robust Licensing Policies</v>
      </c>
      <c r="C58" s="255" t="str">
        <f>'1. All Data'!D58</f>
        <v xml:space="preserve">Complete a Review of the Charitable Collection Policy </v>
      </c>
      <c r="D58" s="251" t="str">
        <f>'1. All Data'!H58</f>
        <v>On Track to be Achieved</v>
      </c>
      <c r="E58" s="220"/>
      <c r="F58" s="252" t="str">
        <f>'1. All Data'!M58</f>
        <v>Update Not Provided</v>
      </c>
      <c r="G58" s="220"/>
      <c r="H58" s="253" t="str">
        <f>'1. All Data'!R58</f>
        <v>Update Not Provided</v>
      </c>
      <c r="I58" s="220"/>
      <c r="J58" s="253" t="str">
        <f>'1. All Data'!V58</f>
        <v>Update not provided</v>
      </c>
    </row>
    <row r="59" spans="1:47" ht="99.75" customHeight="1">
      <c r="A59" s="218" t="str">
        <f>'1. All Data'!B59</f>
        <v>VFM52</v>
      </c>
      <c r="B59" s="254" t="str">
        <f>'1. All Data'!C59</f>
        <v>Ensure Robust Licensing Policies</v>
      </c>
      <c r="C59" s="255" t="str">
        <f>'1. All Data'!D59</f>
        <v xml:space="preserve">Complete a Review of the Licensing Act Policy </v>
      </c>
      <c r="D59" s="251" t="str">
        <f>'1. All Data'!H59</f>
        <v>On Track to be Achieved</v>
      </c>
      <c r="E59" s="219"/>
      <c r="F59" s="252" t="str">
        <f>'1. All Data'!M59</f>
        <v>Update Not Provided</v>
      </c>
      <c r="G59" s="220"/>
      <c r="H59" s="253" t="str">
        <f>'1. All Data'!R59</f>
        <v>Update Not Provided</v>
      </c>
      <c r="I59" s="220"/>
      <c r="J59" s="253" t="str">
        <f>'1. All Data'!V59</f>
        <v>Update not provided</v>
      </c>
    </row>
    <row r="60" spans="1:47" ht="99.75" customHeight="1">
      <c r="A60" s="218" t="str">
        <f>'1. All Data'!B60</f>
        <v>VFM53</v>
      </c>
      <c r="B60" s="254" t="str">
        <f>'1. All Data'!C60</f>
        <v>Ensure an Effective Selective Licensing Scheme</v>
      </c>
      <c r="C60" s="255" t="str">
        <f>'1. All Data'!D60</f>
        <v>Complete an Evaluation of the Selective Licensing Scheme and consider its future expansion</v>
      </c>
      <c r="D60" s="251" t="str">
        <f>'1. All Data'!H60</f>
        <v>On Track to be Achieved</v>
      </c>
      <c r="E60" s="220"/>
      <c r="F60" s="252" t="str">
        <f>'1. All Data'!M60</f>
        <v>Update Not Provided</v>
      </c>
      <c r="G60" s="237"/>
      <c r="H60" s="253" t="str">
        <f>'1. All Data'!R60</f>
        <v>Update Not Provided</v>
      </c>
      <c r="I60" s="237"/>
      <c r="J60" s="253" t="str">
        <f>'1. All Data'!V60</f>
        <v>Update not provided</v>
      </c>
    </row>
    <row r="61" spans="1:47" s="241" customFormat="1" ht="69.75" customHeight="1">
      <c r="A61" s="218" t="str">
        <f>'1. All Data'!B61</f>
        <v>VFM54</v>
      </c>
      <c r="B61" s="254" t="str">
        <f>'1. All Data'!C61</f>
        <v>Ensure an Effective Disabled Facilities Grant Service</v>
      </c>
      <c r="C61" s="255" t="str">
        <f>'1. All Data'!D61</f>
        <v>Complete a Review of the Disabled Facilities Grant Service</v>
      </c>
      <c r="D61" s="251" t="str">
        <f>'1. All Data'!H61</f>
        <v>On Track to be Achieved</v>
      </c>
      <c r="E61" s="219"/>
      <c r="F61" s="252" t="str">
        <f>'1. All Data'!M61</f>
        <v>Update Not Provided</v>
      </c>
      <c r="G61" s="239"/>
      <c r="H61" s="253" t="str">
        <f>'1. All Data'!R61</f>
        <v>Update Not Provided</v>
      </c>
      <c r="I61" s="239"/>
      <c r="J61" s="253" t="str">
        <f>'1. All Data'!V61</f>
        <v>Update not provided</v>
      </c>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row>
    <row r="62" spans="1:47" ht="99.75" customHeight="1">
      <c r="A62" s="218" t="str">
        <f>'1. All Data'!B62</f>
        <v>VFM55</v>
      </c>
      <c r="B62" s="254" t="str">
        <f>'1. All Data'!C62</f>
        <v>Develop the use of technology to improve service delivery</v>
      </c>
      <c r="C62" s="255" t="str">
        <f>'1. All Data'!D62</f>
        <v xml:space="preserve">Complete a Review of Parking Services and the related use of technology </v>
      </c>
      <c r="D62" s="251" t="str">
        <f>'1. All Data'!H62</f>
        <v>On Track to be Achieved</v>
      </c>
      <c r="E62" s="220"/>
      <c r="F62" s="252" t="str">
        <f>'1. All Data'!M62</f>
        <v>Update Not Provided</v>
      </c>
      <c r="G62" s="220"/>
      <c r="H62" s="253" t="str">
        <f>'1. All Data'!R62</f>
        <v>Update Not Provided</v>
      </c>
      <c r="I62" s="220"/>
      <c r="J62" s="253" t="str">
        <f>'1. All Data'!V62</f>
        <v>Update not provided</v>
      </c>
    </row>
    <row r="63" spans="1:47" ht="99.75" customHeight="1">
      <c r="A63" s="218" t="str">
        <f>'1. All Data'!B63</f>
        <v>VFM56</v>
      </c>
      <c r="B63" s="254" t="str">
        <f>'1. All Data'!C63</f>
        <v>Ensure an Effective Civil and Community Enforcement Service</v>
      </c>
      <c r="C63" s="255" t="str">
        <f>'1. All Data'!D63</f>
        <v>Review Public Space Protection Orders for Dog Fouling and Alcohol consumption</v>
      </c>
      <c r="D63" s="251" t="str">
        <f>'1. All Data'!H63</f>
        <v>On Track to be Achieved</v>
      </c>
      <c r="E63" s="220"/>
      <c r="F63" s="252" t="str">
        <f>'1. All Data'!M63</f>
        <v>Update Not Provided</v>
      </c>
      <c r="G63" s="220"/>
      <c r="H63" s="253" t="str">
        <f>'1. All Data'!R63</f>
        <v>Update Not Provided</v>
      </c>
      <c r="I63" s="220"/>
      <c r="J63" s="253" t="str">
        <f>'1. All Data'!V63</f>
        <v>Update not provided</v>
      </c>
    </row>
    <row r="64" spans="1:47" ht="99.75" customHeight="1">
      <c r="A64" s="218" t="str">
        <f>'1. All Data'!B64</f>
        <v>VFM57</v>
      </c>
      <c r="B64" s="254" t="str">
        <f>'1. All Data'!C64</f>
        <v>Achieve further investment for our town centres and large settlements</v>
      </c>
      <c r="C64" s="255" t="str">
        <f>'1. All Data'!D64</f>
        <v>Finalise agreement with SCC to fund the implementation of the co-designed Station Street new public realm project</v>
      </c>
      <c r="D64" s="251" t="str">
        <f>'1. All Data'!H64</f>
        <v>Off Target</v>
      </c>
      <c r="E64" s="220"/>
      <c r="F64" s="252" t="str">
        <f>'1. All Data'!M64</f>
        <v>Update Not Provided</v>
      </c>
      <c r="G64" s="220"/>
      <c r="H64" s="253" t="str">
        <f>'1. All Data'!R64</f>
        <v>Update Not Provided</v>
      </c>
      <c r="I64" s="220"/>
      <c r="J64" s="253" t="str">
        <f>'1. All Data'!V64</f>
        <v>Update not provided</v>
      </c>
    </row>
    <row r="65" spans="1:10" ht="99.75" customHeight="1">
      <c r="A65" s="218" t="str">
        <f>'1. All Data'!B65</f>
        <v>VFM58</v>
      </c>
      <c r="B65" s="254" t="str">
        <f>'1. All Data'!C65</f>
        <v xml:space="preserve">Achieve further investment for our town centres and large settlements </v>
      </c>
      <c r="C65" s="255" t="str">
        <f>'1. All Data'!D65</f>
        <v>Consider the outcome of the Council’s expression of interest to the Future High Street Fund</v>
      </c>
      <c r="D65" s="251" t="str">
        <f>'1. All Data'!H65</f>
        <v>Fully Achieved</v>
      </c>
      <c r="E65" s="220"/>
      <c r="F65" s="252" t="str">
        <f>'1. All Data'!M65</f>
        <v>Update Not Provided</v>
      </c>
      <c r="G65" s="220"/>
      <c r="H65" s="253" t="str">
        <f>'1. All Data'!R65</f>
        <v>Update Not Provided</v>
      </c>
      <c r="I65" s="220"/>
      <c r="J65" s="253" t="str">
        <f>'1. All Data'!V65</f>
        <v>Update not provided</v>
      </c>
    </row>
    <row r="66" spans="1:10" ht="99.75" customHeight="1">
      <c r="A66" s="218" t="str">
        <f>'1. All Data'!B66</f>
        <v>VFM59</v>
      </c>
      <c r="B66" s="254" t="str">
        <f>'1. All Data'!C66</f>
        <v xml:space="preserve">Achieve optimum working in economic partnership </v>
      </c>
      <c r="C66" s="255" t="str">
        <f>'1. All Data'!D66</f>
        <v xml:space="preserve">Consider the outcome of the national LEP review findings and implication on the Washlands LEP monies </v>
      </c>
      <c r="D66" s="251" t="str">
        <f>'1. All Data'!H66</f>
        <v>Fully Achieved</v>
      </c>
      <c r="E66" s="220"/>
      <c r="F66" s="252" t="str">
        <f>'1. All Data'!M66</f>
        <v>Update Not Provided</v>
      </c>
      <c r="G66" s="220"/>
      <c r="H66" s="253" t="str">
        <f>'1. All Data'!R66</f>
        <v>Update Not Provided</v>
      </c>
      <c r="I66" s="220"/>
      <c r="J66" s="253" t="str">
        <f>'1. All Data'!V66</f>
        <v>Update not provided</v>
      </c>
    </row>
    <row r="67" spans="1:10" ht="99.75" customHeight="1">
      <c r="A67" s="218" t="str">
        <f>'1. All Data'!B67</f>
        <v>VFM60</v>
      </c>
      <c r="B67" s="254" t="str">
        <f>'1. All Data'!C67</f>
        <v>Progress the commutation of  s106 sums to deliver key brownfield development opportunities</v>
      </c>
      <c r="C67" s="255" t="str">
        <f>'1. All Data'!D67</f>
        <v xml:space="preserve">Review progress on working in partnership with Burton Rugby Club (Peelcroft) and Molson Coors (Cross Street) </v>
      </c>
      <c r="D67" s="251" t="str">
        <f>'1. All Data'!H67</f>
        <v>On Track to be Achieved</v>
      </c>
      <c r="E67" s="220"/>
      <c r="F67" s="252" t="str">
        <f>'1. All Data'!M67</f>
        <v>Update Not Provided</v>
      </c>
      <c r="G67" s="220"/>
      <c r="H67" s="253" t="str">
        <f>'1. All Data'!R67</f>
        <v>Update Not Provided</v>
      </c>
      <c r="I67" s="220"/>
      <c r="J67" s="253" t="str">
        <f>'1. All Data'!V67</f>
        <v>Update not provided</v>
      </c>
    </row>
    <row r="68" spans="1:10" ht="99.75" customHeight="1">
      <c r="A68" s="218" t="str">
        <f>'1. All Data'!B68</f>
        <v>CR01</v>
      </c>
      <c r="B68" s="254" t="str">
        <f>'1. All Data'!C68</f>
        <v xml:space="preserve">Market Hall Development Initiatives </v>
      </c>
      <c r="C68" s="255" t="str">
        <f>'1. All Data'!D68</f>
        <v xml:space="preserve">Hold at least 25 commercial events in the Market Hall </v>
      </c>
      <c r="D68" s="251" t="str">
        <f>'1. All Data'!H68</f>
        <v>On Track to be Achieved</v>
      </c>
      <c r="E68" s="220"/>
      <c r="F68" s="252" t="str">
        <f>'1. All Data'!M68</f>
        <v>Update Not Provided</v>
      </c>
      <c r="G68" s="220"/>
      <c r="H68" s="253" t="str">
        <f>'1. All Data'!R68</f>
        <v>Update Not Provided</v>
      </c>
      <c r="I68" s="220"/>
      <c r="J68" s="253" t="str">
        <f>'1. All Data'!V68</f>
        <v>Update not provided</v>
      </c>
    </row>
    <row r="69" spans="1:10" ht="99.75" customHeight="1">
      <c r="A69" s="218" t="str">
        <f>'1. All Data'!B69</f>
        <v>CR02</v>
      </c>
      <c r="B69" s="254" t="str">
        <f>'1. All Data'!C69</f>
        <v xml:space="preserve">Market Hall Development Initiatives </v>
      </c>
      <c r="C69" s="255" t="str">
        <f>'1. All Data'!D69</f>
        <v xml:space="preserve">Utilising previous procurement experience and the APSE Benchmarking Membership an Evaluation of future options for the Market offering will be completed </v>
      </c>
      <c r="D69" s="251" t="str">
        <f>'1. All Data'!H69</f>
        <v>Not Yet Due</v>
      </c>
      <c r="E69" s="220"/>
      <c r="F69" s="252" t="str">
        <f>'1. All Data'!M69</f>
        <v>Update Not Provided</v>
      </c>
      <c r="G69" s="228"/>
      <c r="H69" s="253" t="str">
        <f>'1. All Data'!R69</f>
        <v>Update Not Provided</v>
      </c>
      <c r="I69" s="228"/>
      <c r="J69" s="253" t="str">
        <f>'1. All Data'!V69</f>
        <v>Update not provided</v>
      </c>
    </row>
    <row r="70" spans="1:10" ht="99.75" customHeight="1">
      <c r="A70" s="218" t="str">
        <f>'1. All Data'!B70</f>
        <v>CR03</v>
      </c>
      <c r="B70" s="254" t="str">
        <f>'1. All Data'!C70</f>
        <v>Major Planning Applications Determined Within 13 Weeks</v>
      </c>
      <c r="C70" s="255" t="str">
        <f>'1. All Data'!D70</f>
        <v>Top Quartile as measured against relevant MHCLG figures</v>
      </c>
      <c r="D70" s="251" t="str">
        <f>'1. All Data'!H70</f>
        <v>On Track to be Achieved</v>
      </c>
      <c r="E70" s="220"/>
      <c r="F70" s="252" t="str">
        <f>'1. All Data'!M70</f>
        <v>Update Not Provided</v>
      </c>
      <c r="G70" s="228"/>
      <c r="H70" s="253" t="str">
        <f>'1. All Data'!R70</f>
        <v>Update Not Provided</v>
      </c>
      <c r="I70" s="228"/>
      <c r="J70" s="253" t="str">
        <f>'1. All Data'!V70</f>
        <v>Update not provided</v>
      </c>
    </row>
    <row r="71" spans="1:10" ht="99.75" customHeight="1">
      <c r="A71" s="218" t="str">
        <f>'1. All Data'!B71</f>
        <v>CR04</v>
      </c>
      <c r="B71" s="254" t="str">
        <f>'1. All Data'!C71</f>
        <v>Minor Planning Applications Determined Within 8 Weeks</v>
      </c>
      <c r="C71" s="255" t="str">
        <f>'1. All Data'!D71</f>
        <v>Top Quartile as measured against relevant MHCLG figures</v>
      </c>
      <c r="D71" s="251" t="str">
        <f>'1. All Data'!H71</f>
        <v>On Track to be Achieved</v>
      </c>
      <c r="E71" s="220"/>
      <c r="F71" s="252" t="str">
        <f>'1. All Data'!M71</f>
        <v>Update Not Provided</v>
      </c>
      <c r="G71" s="228"/>
      <c r="H71" s="253" t="str">
        <f>'1. All Data'!R71</f>
        <v>Update Not Provided</v>
      </c>
      <c r="I71" s="228"/>
      <c r="J71" s="253" t="str">
        <f>'1. All Data'!V71</f>
        <v>Update not provided</v>
      </c>
    </row>
    <row r="72" spans="1:10" ht="99.75" customHeight="1">
      <c r="A72" s="218" t="str">
        <f>'1. All Data'!B72</f>
        <v>CR05</v>
      </c>
      <c r="B72" s="254" t="str">
        <f>'1. All Data'!C72</f>
        <v>Other Planning Applications Determined in 8 Weeks</v>
      </c>
      <c r="C72" s="255" t="str">
        <f>'1. All Data'!D72</f>
        <v>Top Quartile as measured against relevant MHCLG figures</v>
      </c>
      <c r="D72" s="251" t="str">
        <f>'1. All Data'!H72</f>
        <v>On Track to be Achieved</v>
      </c>
      <c r="E72" s="219"/>
      <c r="F72" s="252" t="str">
        <f>'1. All Data'!M72</f>
        <v>Update Not Provided</v>
      </c>
      <c r="G72" s="220"/>
      <c r="H72" s="253" t="str">
        <f>'1. All Data'!R72</f>
        <v>Update Not Provided</v>
      </c>
      <c r="I72" s="220"/>
      <c r="J72" s="253" t="str">
        <f>'1. All Data'!V72</f>
        <v>Update not provided</v>
      </c>
    </row>
    <row r="73" spans="1:10" ht="99.75" customHeight="1">
      <c r="A73" s="218" t="str">
        <f>'1. All Data'!B73</f>
        <v>CR06</v>
      </c>
      <c r="B73" s="254" t="str">
        <f>'1. All Data'!C73</f>
        <v>Improve Planning Guidance</v>
      </c>
      <c r="C73" s="255" t="str">
        <f>'1. All Data'!D73</f>
        <v>Endorse Development Guidance for Station Street Southern Brewery Site</v>
      </c>
      <c r="D73" s="251" t="str">
        <f>'1. All Data'!H73</f>
        <v>On Track to be Achieved</v>
      </c>
      <c r="E73" s="220"/>
      <c r="F73" s="252" t="str">
        <f>'1. All Data'!M73</f>
        <v>Update Not Provided</v>
      </c>
      <c r="G73" s="220"/>
      <c r="H73" s="253" t="str">
        <f>'1. All Data'!R73</f>
        <v>Update Not Provided</v>
      </c>
      <c r="I73" s="220"/>
      <c r="J73" s="253" t="str">
        <f>'1. All Data'!V73</f>
        <v>Update not provided</v>
      </c>
    </row>
    <row r="74" spans="1:10" ht="99.75" customHeight="1">
      <c r="A74" s="218" t="str">
        <f>'1. All Data'!B74</f>
        <v>CR07</v>
      </c>
      <c r="B74" s="254" t="str">
        <f>'1. All Data'!C74</f>
        <v>Improve Planning Guidance</v>
      </c>
      <c r="C74" s="255" t="str">
        <f>'1. All Data'!D74</f>
        <v>Revise and adopt Housing Choice SPD</v>
      </c>
      <c r="D74" s="251" t="str">
        <f>'1. All Data'!H74</f>
        <v>On Track to be Achieved</v>
      </c>
      <c r="E74" s="220"/>
      <c r="F74" s="252" t="str">
        <f>'1. All Data'!M74</f>
        <v>Update Not Provided</v>
      </c>
      <c r="G74" s="228"/>
      <c r="H74" s="253" t="str">
        <f>'1. All Data'!R74</f>
        <v>Update Not Provided</v>
      </c>
      <c r="I74" s="220"/>
      <c r="J74" s="253" t="str">
        <f>'1. All Data'!V74</f>
        <v>Update not provided</v>
      </c>
    </row>
    <row r="75" spans="1:10" ht="99.75" customHeight="1">
      <c r="A75" s="218" t="str">
        <f>'1. All Data'!B75</f>
        <v>CR08</v>
      </c>
      <c r="B75" s="254" t="str">
        <f>'1. All Data'!C75</f>
        <v>Raise Design Quality within the Borough</v>
      </c>
      <c r="C75" s="255" t="str">
        <f>'1. All Data'!D75</f>
        <v>Adopt Shopfronts Design Guide SPD</v>
      </c>
      <c r="D75" s="251" t="str">
        <f>'1. All Data'!H75</f>
        <v>On Track to be Achieved</v>
      </c>
      <c r="E75" s="220"/>
      <c r="F75" s="252" t="str">
        <f>'1. All Data'!M75</f>
        <v>Update Not Provided</v>
      </c>
      <c r="G75" s="220"/>
      <c r="H75" s="253" t="str">
        <f>'1. All Data'!R75</f>
        <v>Update Not Provided</v>
      </c>
      <c r="I75" s="220"/>
      <c r="J75" s="253" t="str">
        <f>'1. All Data'!V75</f>
        <v>Update not provided</v>
      </c>
    </row>
    <row r="76" spans="1:10" ht="99.75" customHeight="1">
      <c r="A76" s="218" t="str">
        <f>'1. All Data'!B76</f>
        <v>CR09</v>
      </c>
      <c r="B76" s="254" t="str">
        <f>'1. All Data'!C76</f>
        <v>Raise Design Quality within the Borough</v>
      </c>
      <c r="C76" s="255" t="str">
        <f>'1. All Data'!D76</f>
        <v>Adopt addendum to ESBC Design Guide SPD</v>
      </c>
      <c r="D76" s="251" t="str">
        <f>'1. All Data'!H76</f>
        <v>On Track to be Achieved</v>
      </c>
      <c r="E76" s="220"/>
      <c r="F76" s="252" t="str">
        <f>'1. All Data'!M76</f>
        <v>Update Not Provided</v>
      </c>
      <c r="G76" s="220"/>
      <c r="H76" s="253" t="str">
        <f>'1. All Data'!R76</f>
        <v>Update Not Provided</v>
      </c>
      <c r="I76" s="220"/>
      <c r="J76" s="253" t="str">
        <f>'1. All Data'!V76</f>
        <v>Update not provided</v>
      </c>
    </row>
    <row r="77" spans="1:10" ht="87.75">
      <c r="A77" s="218" t="str">
        <f>'1. All Data'!B77</f>
        <v>CR10</v>
      </c>
      <c r="B77" s="254" t="str">
        <f>'1. All Data'!C77</f>
        <v>Raise Design Quality within the Borough</v>
      </c>
      <c r="C77" s="255" t="str">
        <f>'1. All Data'!D77</f>
        <v>Brewery Building Conversion Design Guidance SPD</v>
      </c>
      <c r="D77" s="251" t="str">
        <f>'1. All Data'!H77</f>
        <v>On Track to be Achieved</v>
      </c>
      <c r="E77" s="219"/>
      <c r="F77" s="252" t="str">
        <f>'1. All Data'!M77</f>
        <v>Update Not Provided</v>
      </c>
      <c r="G77" s="220"/>
      <c r="H77" s="253" t="str">
        <f>'1. All Data'!R77</f>
        <v>Update Not Provided</v>
      </c>
      <c r="I77" s="220"/>
      <c r="J77" s="253" t="str">
        <f>'1. All Data'!V77</f>
        <v>Update not provided</v>
      </c>
    </row>
    <row r="78" spans="1:10" ht="99.75" customHeight="1">
      <c r="A78" s="218" t="str">
        <f>'1. All Data'!B78</f>
        <v>CR11</v>
      </c>
      <c r="B78" s="254" t="str">
        <f>'1. All Data'!C78</f>
        <v>Delivering Improvements to the Washlands</v>
      </c>
      <c r="C78" s="255" t="str">
        <f>'1. All Data'!D78</f>
        <v xml:space="preserve">Contribute to the ongoing partnership working relating to the Washlands </v>
      </c>
      <c r="D78" s="251" t="str">
        <f>'1. All Data'!H78</f>
        <v>On Track to be Achieved</v>
      </c>
      <c r="E78" s="219"/>
      <c r="F78" s="252" t="str">
        <f>'1. All Data'!M78</f>
        <v>Update Not Provided</v>
      </c>
      <c r="G78" s="227"/>
      <c r="H78" s="253" t="str">
        <f>'1. All Data'!R78</f>
        <v>Update Not Provided</v>
      </c>
      <c r="I78" s="227"/>
      <c r="J78" s="253" t="str">
        <f>'1. All Data'!V78</f>
        <v>Update not provided</v>
      </c>
    </row>
    <row r="79" spans="1:10" ht="99.75" customHeight="1">
      <c r="A79" s="218" t="str">
        <f>'1. All Data'!B79</f>
        <v>CR12</v>
      </c>
      <c r="B79" s="254" t="str">
        <f>'1. All Data'!C79</f>
        <v>Improve wayfinding on Worthington Way, High Street  and Washlands area: easy in and out of Burton</v>
      </c>
      <c r="C79" s="255" t="str">
        <f>'1. All Data'!D79</f>
        <v xml:space="preserve">Establish clearer routes in and out of the town </v>
      </c>
      <c r="D79" s="251" t="str">
        <f>'1. All Data'!H79</f>
        <v>On Track to be Achieved</v>
      </c>
      <c r="E79" s="219"/>
      <c r="F79" s="252" t="str">
        <f>'1. All Data'!M79</f>
        <v>Update Not Provided</v>
      </c>
      <c r="G79" s="220"/>
      <c r="H79" s="253" t="str">
        <f>'1. All Data'!R79</f>
        <v>Update Not Provided</v>
      </c>
      <c r="I79" s="220"/>
      <c r="J79" s="253" t="str">
        <f>'1. All Data'!V79</f>
        <v>Update not provided</v>
      </c>
    </row>
    <row r="80" spans="1:10" ht="99.75" customHeight="1">
      <c r="A80" s="218" t="str">
        <f>'1. All Data'!B80</f>
        <v>CR13</v>
      </c>
      <c r="B80" s="254" t="str">
        <f>'1. All Data'!C80</f>
        <v>Introduce new public realm civic space</v>
      </c>
      <c r="C80" s="255" t="str">
        <f>'1. All Data'!D80</f>
        <v xml:space="preserve">Working with new Street traders forum, introduce a food hall concept into the Market Hall </v>
      </c>
      <c r="D80" s="251" t="str">
        <f>'1. All Data'!H80</f>
        <v>Not Yet Due</v>
      </c>
      <c r="E80" s="220"/>
      <c r="F80" s="252" t="str">
        <f>'1. All Data'!M80</f>
        <v>Update Not Provided</v>
      </c>
      <c r="G80" s="220"/>
      <c r="H80" s="253" t="str">
        <f>'1. All Data'!R80</f>
        <v>Update Not Provided</v>
      </c>
      <c r="I80" s="220"/>
      <c r="J80" s="253" t="str">
        <f>'1. All Data'!V80</f>
        <v>Update not provided</v>
      </c>
    </row>
    <row r="81" spans="1:46" ht="99.75" customHeight="1">
      <c r="A81" s="218" t="str">
        <f>'1. All Data'!B81</f>
        <v>CR14</v>
      </c>
      <c r="B81" s="254" t="str">
        <f>'1. All Data'!C81</f>
        <v>Look to roll out learning from improvements made in Burton to Uttoxeter and other large settlements</v>
      </c>
      <c r="C81" s="255" t="str">
        <f>'1. All Data'!D81</f>
        <v>Consider learnings from regeneration that can be applied elsewhere in the borough with a view to applying for funds from phase 2 of the Future High Street Funds</v>
      </c>
      <c r="D81" s="251" t="str">
        <f>'1. All Data'!H81</f>
        <v>Not Yet Due</v>
      </c>
      <c r="E81" s="220"/>
      <c r="F81" s="252" t="str">
        <f>'1. All Data'!M81</f>
        <v>Update Not Provided</v>
      </c>
      <c r="G81" s="220"/>
      <c r="H81" s="253" t="str">
        <f>'1. All Data'!R81</f>
        <v>Update Not Provided</v>
      </c>
      <c r="I81" s="220"/>
      <c r="J81" s="253" t="str">
        <f>'1. All Data'!V81</f>
        <v>Update not provided</v>
      </c>
    </row>
    <row r="82" spans="1:46" s="236" customFormat="1" ht="101.25">
      <c r="A82" s="218" t="str">
        <f>'1. All Data'!B82</f>
        <v>CR15</v>
      </c>
      <c r="B82" s="254" t="str">
        <f>'1. All Data'!C82</f>
        <v>Consider a Business Improvement District (BID) in Burton Town Centre to stimulate private sector investment in the Town Centre</v>
      </c>
      <c r="C82" s="255" t="str">
        <f>'1. All Data'!D82</f>
        <v xml:space="preserve">Seek a BID ‘memorandum of understanding’ with the Burton Chamber of Commerce and Burton Small Business Federation </v>
      </c>
      <c r="D82" s="251" t="str">
        <f>'1. All Data'!H82</f>
        <v>On Track to be Achieved</v>
      </c>
      <c r="E82" s="219"/>
      <c r="F82" s="252" t="str">
        <f>'1. All Data'!M82</f>
        <v>Update Not Provided</v>
      </c>
      <c r="G82" s="220"/>
      <c r="H82" s="253" t="str">
        <f>'1. All Data'!R82</f>
        <v>Update Not Provided</v>
      </c>
      <c r="I82" s="220"/>
      <c r="J82" s="253" t="str">
        <f>'1. All Data'!V82</f>
        <v>Update not provided</v>
      </c>
      <c r="K82" s="242"/>
      <c r="L82" s="242"/>
      <c r="M82" s="243"/>
      <c r="N82" s="244"/>
      <c r="O82" s="245"/>
      <c r="P82" s="245"/>
      <c r="Q82" s="245"/>
      <c r="R82" s="243"/>
      <c r="S82" s="246"/>
      <c r="T82" s="242"/>
      <c r="U82" s="242"/>
      <c r="V82" s="247"/>
      <c r="W82" s="242"/>
      <c r="X82" s="243"/>
      <c r="Y82" s="243"/>
      <c r="Z82" s="243"/>
      <c r="AA82" s="243"/>
      <c r="AB82" s="234"/>
      <c r="AC82" s="217"/>
      <c r="AD82" s="235"/>
      <c r="AE82" s="235"/>
      <c r="AF82" s="235"/>
      <c r="AG82" s="235"/>
      <c r="AH82" s="235"/>
      <c r="AI82" s="235"/>
      <c r="AJ82" s="235"/>
      <c r="AK82" s="235"/>
      <c r="AL82" s="235"/>
      <c r="AM82" s="235"/>
      <c r="AN82" s="235"/>
      <c r="AO82" s="235"/>
      <c r="AP82" s="235"/>
      <c r="AQ82" s="235"/>
      <c r="AR82" s="235"/>
      <c r="AS82" s="235"/>
      <c r="AT82" s="235"/>
    </row>
    <row r="83" spans="1:46" s="241" customFormat="1" ht="103.5" customHeight="1">
      <c r="A83" s="218" t="str">
        <f>'1. All Data'!B83</f>
        <v>CR16</v>
      </c>
      <c r="B83" s="254" t="str">
        <f>'1. All Data'!C83</f>
        <v>Promote local employment opportunities</v>
      </c>
      <c r="C83" s="255" t="str">
        <f>'1. All Data'!D83</f>
        <v xml:space="preserve">Support the delivery of three job fairs </v>
      </c>
      <c r="D83" s="251" t="str">
        <f>'1. All Data'!H83</f>
        <v>On Track to be Achieved</v>
      </c>
      <c r="E83" s="220"/>
      <c r="F83" s="252" t="str">
        <f>'1. All Data'!M83</f>
        <v>Update Not Provided</v>
      </c>
      <c r="G83" s="248"/>
      <c r="H83" s="253" t="str">
        <f>'1. All Data'!R83</f>
        <v>Update Not Provided</v>
      </c>
      <c r="I83" s="248"/>
      <c r="J83" s="253" t="str">
        <f>'1. All Data'!V83</f>
        <v>Update not provided</v>
      </c>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row>
    <row r="84" spans="1:46" ht="99.75" customHeight="1">
      <c r="A84" s="218" t="str">
        <f>'1. All Data'!B84</f>
        <v>CR17</v>
      </c>
      <c r="B84" s="254" t="str">
        <f>'1. All Data'!C84</f>
        <v xml:space="preserve">Consider business activity and economic performance in East Staffordshire </v>
      </c>
      <c r="C84" s="255" t="str">
        <f>'1. All Data'!D84</f>
        <v xml:space="preserve">Report on local business activity during 2019 </v>
      </c>
      <c r="D84" s="251" t="str">
        <f>'1. All Data'!H84</f>
        <v>On Track to be Achieved</v>
      </c>
      <c r="E84" s="219"/>
      <c r="F84" s="252" t="str">
        <f>'1. All Data'!M84</f>
        <v>Update Not Provided</v>
      </c>
      <c r="G84" s="220"/>
      <c r="H84" s="253" t="str">
        <f>'1. All Data'!R84</f>
        <v>Update Not Provided</v>
      </c>
      <c r="I84" s="220"/>
      <c r="J84" s="253" t="str">
        <f>'1. All Data'!V84</f>
        <v>Update not provided</v>
      </c>
    </row>
    <row r="85" spans="1:46" ht="99.75" customHeight="1">
      <c r="A85" s="218" t="str">
        <f>'1. All Data'!B85</f>
        <v>CR18</v>
      </c>
      <c r="B85" s="254" t="str">
        <f>'1. All Data'!C85</f>
        <v>Neighbourhood Fund implementation</v>
      </c>
      <c r="C85" s="255" t="str">
        <f>'1. All Data'!D85</f>
        <v xml:space="preserve">7 existing projects and 5 new projects brought to completion </v>
      </c>
      <c r="D85" s="251" t="str">
        <f>'1. All Data'!H85</f>
        <v>On Track to be Achieved</v>
      </c>
      <c r="E85" s="219"/>
      <c r="F85" s="252" t="str">
        <f>'1. All Data'!M85</f>
        <v>Update Not Provided</v>
      </c>
      <c r="G85" s="220"/>
      <c r="H85" s="253" t="str">
        <f>'1. All Data'!R85</f>
        <v>Update Not Provided</v>
      </c>
      <c r="I85" s="220"/>
      <c r="J85" s="253" t="str">
        <f>'1. All Data'!V85</f>
        <v>Update not provided</v>
      </c>
    </row>
    <row r="86" spans="1:46" ht="99.75" customHeight="1">
      <c r="A86" s="218" t="str">
        <f>'1. All Data'!B86</f>
        <v>CR19</v>
      </c>
      <c r="B86" s="254" t="str">
        <f>'1. All Data'!C86</f>
        <v>Neighbourhood Fund implementation</v>
      </c>
      <c r="C86" s="255" t="str">
        <f>'1. All Data'!D86</f>
        <v xml:space="preserve">All Neighbourhood Fund projects to be identified with funding allocated </v>
      </c>
      <c r="D86" s="251" t="str">
        <f>'1. All Data'!H86</f>
        <v>On Track to be Achieved</v>
      </c>
      <c r="E86" s="219"/>
      <c r="F86" s="252" t="str">
        <f>'1. All Data'!M86</f>
        <v>Update Not Provided</v>
      </c>
      <c r="G86" s="228"/>
      <c r="H86" s="253" t="str">
        <f>'1. All Data'!R86</f>
        <v>Update Not Provided</v>
      </c>
      <c r="I86" s="220"/>
      <c r="J86" s="253" t="str">
        <f>'1. All Data'!V86</f>
        <v>Update not provided</v>
      </c>
    </row>
    <row r="87" spans="1:46" ht="99.75" customHeight="1">
      <c r="A87" s="218" t="str">
        <f>'1. All Data'!B87</f>
        <v>CR20</v>
      </c>
      <c r="B87" s="254" t="str">
        <f>'1. All Data'!C87</f>
        <v xml:space="preserve">Neighbourhood Fund implementation </v>
      </c>
      <c r="C87" s="255" t="str">
        <f>'1. All Data'!D87</f>
        <v xml:space="preserve">Review the Neighbourhood Fund project </v>
      </c>
      <c r="D87" s="251" t="str">
        <f>'1. All Data'!H87</f>
        <v>Not Yet Due</v>
      </c>
      <c r="E87" s="219"/>
      <c r="F87" s="252" t="str">
        <f>'1. All Data'!M87</f>
        <v>Update Not Provided</v>
      </c>
      <c r="G87" s="220"/>
      <c r="H87" s="253" t="str">
        <f>'1. All Data'!R87</f>
        <v>Update Not Provided</v>
      </c>
      <c r="I87" s="220"/>
      <c r="J87" s="253" t="str">
        <f>'1. All Data'!V87</f>
        <v>Update not provided</v>
      </c>
    </row>
    <row r="88" spans="1:46" ht="99.75" customHeight="1">
      <c r="A88" s="218" t="str">
        <f>'1. All Data'!B88</f>
        <v>EHW01</v>
      </c>
      <c r="B88" s="254" t="str">
        <f>'1. All Data'!C88</f>
        <v>Develop a Town Centre planting strategy</v>
      </c>
      <c r="C88" s="255" t="str">
        <f>'1. All Data'!D88</f>
        <v xml:space="preserve">Develop a Borough wide Planting Strategy </v>
      </c>
      <c r="D88" s="251" t="str">
        <f>'1. All Data'!H88</f>
        <v>On Track to be Achieved</v>
      </c>
      <c r="E88" s="219"/>
      <c r="F88" s="252" t="str">
        <f>'1. All Data'!M88</f>
        <v>Update Not Provided</v>
      </c>
      <c r="G88" s="220"/>
      <c r="H88" s="253" t="str">
        <f>'1. All Data'!R88</f>
        <v>Update Not Provided</v>
      </c>
      <c r="I88" s="220"/>
      <c r="J88" s="253" t="str">
        <f>'1. All Data'!V88</f>
        <v>Update not provided</v>
      </c>
    </row>
    <row r="89" spans="1:46" ht="99.75" customHeight="1">
      <c r="A89" s="218" t="str">
        <f>'1. All Data'!B89</f>
        <v>EHW02</v>
      </c>
      <c r="B89" s="254" t="str">
        <f>'1. All Data'!C89</f>
        <v>In Bloom/Green Flag</v>
      </c>
      <c r="C89" s="255" t="str">
        <f>'1. All Data'!D89</f>
        <v xml:space="preserve">Deliver a minimum of two Golds at the regional “In Bloom awards” and support Winshill In Bloom at the National RHS Awards    </v>
      </c>
      <c r="D89" s="251" t="str">
        <f>'1. All Data'!H89</f>
        <v>Not Yet Due</v>
      </c>
      <c r="E89" s="220"/>
      <c r="F89" s="252" t="str">
        <f>'1. All Data'!M89</f>
        <v>Update Not Provided</v>
      </c>
      <c r="G89" s="220"/>
      <c r="H89" s="253" t="str">
        <f>'1. All Data'!R89</f>
        <v>Update Not Provided</v>
      </c>
      <c r="I89" s="220"/>
      <c r="J89" s="253" t="str">
        <f>'1. All Data'!V89</f>
        <v>Update not provided</v>
      </c>
    </row>
    <row r="90" spans="1:46" ht="99.75" customHeight="1">
      <c r="A90" s="218" t="str">
        <f>'1. All Data'!B90</f>
        <v>EHW03</v>
      </c>
      <c r="B90" s="254" t="str">
        <f>'1. All Data'!C90</f>
        <v>In Bloom/Green Flag</v>
      </c>
      <c r="C90" s="255" t="str">
        <f>'1. All Data'!D90</f>
        <v>Achieve 2 Green Flag Awards at Bramshall Park and Stapenhill Gardens</v>
      </c>
      <c r="D90" s="251" t="str">
        <f>'1. All Data'!H90</f>
        <v>Not Yet Due</v>
      </c>
      <c r="E90" s="219"/>
      <c r="F90" s="252" t="str">
        <f>'1. All Data'!M90</f>
        <v>Update Not Provided</v>
      </c>
      <c r="G90" s="220"/>
      <c r="H90" s="253" t="str">
        <f>'1. All Data'!R90</f>
        <v>Update Not Provided</v>
      </c>
      <c r="I90" s="220"/>
      <c r="J90" s="253" t="str">
        <f>'1. All Data'!V90</f>
        <v>Update not provided</v>
      </c>
    </row>
    <row r="91" spans="1:46" ht="99.75" customHeight="1">
      <c r="A91" s="218" t="str">
        <f>'1. All Data'!B91</f>
        <v>EHW04</v>
      </c>
      <c r="B91" s="254" t="str">
        <f>'1. All Data'!C91</f>
        <v>Street Cleansing - Litter</v>
      </c>
      <c r="C91" s="255" t="str">
        <f>'1. All Data'!D91</f>
        <v>Maintain Top Quartile Performance</v>
      </c>
      <c r="D91" s="251" t="str">
        <f>'1. All Data'!H91</f>
        <v>Not Yet Due</v>
      </c>
      <c r="E91" s="220"/>
      <c r="F91" s="252" t="str">
        <f>'1. All Data'!M91</f>
        <v>Update Not Provided</v>
      </c>
      <c r="G91" s="220"/>
      <c r="H91" s="253" t="str">
        <f>'1. All Data'!R91</f>
        <v>Update Not Provided</v>
      </c>
      <c r="I91" s="220"/>
      <c r="J91" s="253" t="str">
        <f>'1. All Data'!V91</f>
        <v>Update not provided</v>
      </c>
    </row>
    <row r="92" spans="1:46" ht="99.75" customHeight="1">
      <c r="A92" s="218" t="str">
        <f>'1. All Data'!B92</f>
        <v>EHW05</v>
      </c>
      <c r="B92" s="254" t="str">
        <f>'1. All Data'!C92</f>
        <v>Street Cleansing - Detritus</v>
      </c>
      <c r="C92" s="255" t="str">
        <f>'1. All Data'!D92</f>
        <v>Maintain Top Quartile Performance</v>
      </c>
      <c r="D92" s="251" t="str">
        <f>'1. All Data'!H92</f>
        <v>Not Yet Due</v>
      </c>
      <c r="E92" s="219"/>
      <c r="F92" s="252" t="str">
        <f>'1. All Data'!M92</f>
        <v>Update Not Provided</v>
      </c>
      <c r="G92" s="220"/>
      <c r="H92" s="253" t="str">
        <f>'1. All Data'!R92</f>
        <v>Update Not Provided</v>
      </c>
      <c r="I92" s="220"/>
      <c r="J92" s="253" t="str">
        <f>'1. All Data'!V92</f>
        <v>Update not provided</v>
      </c>
    </row>
    <row r="93" spans="1:46" ht="99.75" customHeight="1">
      <c r="A93" s="218" t="str">
        <f>'1. All Data'!B93</f>
        <v>EHW06</v>
      </c>
      <c r="B93" s="254" t="str">
        <f>'1. All Data'!C93</f>
        <v>Street Cleansing - Graffiti</v>
      </c>
      <c r="C93" s="255" t="str">
        <f>'1. All Data'!D93</f>
        <v>Maintain Top Quartile Performance</v>
      </c>
      <c r="D93" s="251" t="str">
        <f>'1. All Data'!H93</f>
        <v>Not Yet Due</v>
      </c>
      <c r="E93" s="219"/>
      <c r="F93" s="252" t="str">
        <f>'1. All Data'!M93</f>
        <v>Update Not Provided</v>
      </c>
      <c r="G93" s="220"/>
      <c r="H93" s="253" t="str">
        <f>'1. All Data'!R93</f>
        <v>Update Not Provided</v>
      </c>
      <c r="I93" s="220"/>
      <c r="J93" s="253" t="str">
        <f>'1. All Data'!V93</f>
        <v>Update not provided</v>
      </c>
    </row>
    <row r="94" spans="1:46" ht="99.75" customHeight="1">
      <c r="A94" s="218" t="str">
        <f>'1. All Data'!B94</f>
        <v>EHW07</v>
      </c>
      <c r="B94" s="254" t="str">
        <f>'1. All Data'!C94</f>
        <v>Street Cleansing – Fly-Posting</v>
      </c>
      <c r="C94" s="255" t="str">
        <f>'1. All Data'!D94</f>
        <v>Maintain Top Quartile Performance</v>
      </c>
      <c r="D94" s="251" t="str">
        <f>'1. All Data'!H94</f>
        <v>Not Yet Due</v>
      </c>
      <c r="E94" s="219"/>
      <c r="F94" s="252" t="str">
        <f>'1. All Data'!M94</f>
        <v>Update Not Provided</v>
      </c>
      <c r="G94" s="220"/>
      <c r="H94" s="253" t="str">
        <f>'1. All Data'!R94</f>
        <v>Update Not Provided</v>
      </c>
      <c r="I94" s="220"/>
      <c r="J94" s="253" t="str">
        <f>'1. All Data'!V94</f>
        <v>Update not provided</v>
      </c>
    </row>
    <row r="95" spans="1:46" ht="99.75" customHeight="1">
      <c r="A95" s="218" t="str">
        <f>'1. All Data'!B95</f>
        <v>EHW08</v>
      </c>
      <c r="B95" s="254" t="str">
        <f>'1. All Data'!C95</f>
        <v xml:space="preserve">Recycling </v>
      </c>
      <c r="C95" s="255" t="str">
        <f>'1. All Data'!D95</f>
        <v>Household Waste Recycled and Composted:
Maintain Top Quartile Performance</v>
      </c>
      <c r="D95" s="251" t="str">
        <f>'1. All Data'!H95</f>
        <v>On Track to be Achieved</v>
      </c>
      <c r="E95" s="219"/>
      <c r="F95" s="252" t="str">
        <f>'1. All Data'!M95</f>
        <v>Update Not Provided</v>
      </c>
      <c r="G95" s="220"/>
      <c r="H95" s="253" t="str">
        <f>'1. All Data'!R95</f>
        <v>Update Not Provided</v>
      </c>
      <c r="I95" s="220"/>
      <c r="J95" s="253" t="str">
        <f>'1. All Data'!V95</f>
        <v>Update not provided</v>
      </c>
    </row>
    <row r="96" spans="1:46" ht="99.75" customHeight="1">
      <c r="A96" s="218" t="str">
        <f>'1. All Data'!B96</f>
        <v>EHW09</v>
      </c>
      <c r="B96" s="254" t="str">
        <f>'1. All Data'!C96</f>
        <v xml:space="preserve">Waste Reduction </v>
      </c>
      <c r="C96" s="255" t="str">
        <f>'1. All Data'!D96</f>
        <v>Residual Household Waste Per Household: 
Maintain Top Quartile Performance</v>
      </c>
      <c r="D96" s="251" t="str">
        <f>'1. All Data'!H96</f>
        <v>On Track to be Achieved</v>
      </c>
      <c r="E96" s="220"/>
      <c r="F96" s="252" t="str">
        <f>'1. All Data'!M96</f>
        <v>Update Not Provided</v>
      </c>
      <c r="G96" s="220"/>
      <c r="H96" s="253" t="str">
        <f>'1. All Data'!R96</f>
        <v>Update Not Provided</v>
      </c>
      <c r="I96" s="220"/>
      <c r="J96" s="253" t="str">
        <f>'1. All Data'!V96</f>
        <v>Update not provided</v>
      </c>
    </row>
    <row r="97" spans="1:10" ht="99.75" customHeight="1">
      <c r="A97" s="218" t="str">
        <f>'1. All Data'!B97</f>
        <v>EHW10</v>
      </c>
      <c r="B97" s="254" t="str">
        <f>'1. All Data'!C97</f>
        <v>Delivering Better Services to Support Homelessness</v>
      </c>
      <c r="C97" s="255" t="str">
        <f>'1. All Data'!D97</f>
        <v>Average time from appointment to initial decision for homeless applicants of 10 days</v>
      </c>
      <c r="D97" s="251" t="str">
        <f>'1. All Data'!H97</f>
        <v>On Track to be Achieved</v>
      </c>
      <c r="E97" s="220"/>
      <c r="F97" s="252" t="str">
        <f>'1. All Data'!M97</f>
        <v>Update Not Provided</v>
      </c>
      <c r="G97" s="220"/>
      <c r="H97" s="253" t="str">
        <f>'1. All Data'!R97</f>
        <v>Update Not Provided</v>
      </c>
      <c r="I97" s="220"/>
      <c r="J97" s="253" t="str">
        <f>'1. All Data'!V97</f>
        <v>Update not provided</v>
      </c>
    </row>
    <row r="98" spans="1:10" ht="99.75" customHeight="1">
      <c r="A98" s="218" t="str">
        <f>'1. All Data'!B98</f>
        <v>EHW11</v>
      </c>
      <c r="B98" s="254" t="str">
        <f>'1. All Data'!C98</f>
        <v>Continue to Maximise Utilisation of Self Contained Temporary Accommodation for Homeless Applicants</v>
      </c>
      <c r="C98" s="255" t="str">
        <f>'1. All Data'!D98</f>
        <v>Reduce ‘Key to Key’ Void Turnaround to an average of 6 working days</v>
      </c>
      <c r="D98" s="251" t="str">
        <f>'1. All Data'!H98</f>
        <v>In Danger of Falling Behind Target</v>
      </c>
      <c r="E98" s="219"/>
      <c r="F98" s="252" t="str">
        <f>'1. All Data'!M98</f>
        <v>Update Not Provided</v>
      </c>
      <c r="G98" s="228"/>
      <c r="H98" s="253" t="str">
        <f>'1. All Data'!R98</f>
        <v>Update Not Provided</v>
      </c>
      <c r="I98" s="220"/>
      <c r="J98" s="253" t="str">
        <f>'1. All Data'!V98</f>
        <v>Update not provided</v>
      </c>
    </row>
    <row r="99" spans="1:10" ht="99.75" customHeight="1">
      <c r="A99" s="218" t="str">
        <f>'1. All Data'!B99</f>
        <v>EHW12</v>
      </c>
      <c r="B99" s="254" t="str">
        <f>'1. All Data'!C99</f>
        <v>Review options for continuing outreach services to Rough Sleepers</v>
      </c>
      <c r="C99" s="255" t="str">
        <f>'1. All Data'!D99</f>
        <v xml:space="preserve">Report completed </v>
      </c>
      <c r="D99" s="251" t="str">
        <f>'1. All Data'!H99</f>
        <v>On Track to be Achieved</v>
      </c>
      <c r="E99" s="220"/>
      <c r="F99" s="252" t="str">
        <f>'1. All Data'!M99</f>
        <v>Update Not Provided</v>
      </c>
      <c r="G99" s="227"/>
      <c r="H99" s="253" t="str">
        <f>'1. All Data'!R99</f>
        <v>Update Not Provided</v>
      </c>
      <c r="I99" s="220"/>
      <c r="J99" s="253" t="str">
        <f>'1. All Data'!V99</f>
        <v>Update not provided</v>
      </c>
    </row>
    <row r="100" spans="1:10" ht="99.75" customHeight="1">
      <c r="A100" s="218" t="str">
        <f>'1. All Data'!B100</f>
        <v>EHW13</v>
      </c>
      <c r="B100" s="254" t="str">
        <f>'1. All Data'!C100</f>
        <v>Delivering Better Services to Support Homelessness</v>
      </c>
      <c r="C100" s="255" t="str">
        <f>'1. All Data'!D100</f>
        <v>Launch Campaign to raise awareness of rough sleeping, street living and street begging</v>
      </c>
      <c r="D100" s="251" t="str">
        <f>'1. All Data'!H100</f>
        <v>Fully Achieved</v>
      </c>
      <c r="E100" s="220"/>
      <c r="F100" s="252" t="str">
        <f>'1. All Data'!M100</f>
        <v>Update Not Provided</v>
      </c>
      <c r="G100" s="220"/>
      <c r="H100" s="253" t="str">
        <f>'1. All Data'!R100</f>
        <v>Update Not Provided</v>
      </c>
      <c r="I100" s="220"/>
      <c r="J100" s="253" t="str">
        <f>'1. All Data'!V100</f>
        <v>Update not provided</v>
      </c>
    </row>
    <row r="101" spans="1:10" ht="99.75" customHeight="1">
      <c r="A101" s="218" t="str">
        <f>'1. All Data'!B101</f>
        <v>EHW14</v>
      </c>
      <c r="B101" s="254" t="str">
        <f>'1. All Data'!C101</f>
        <v>Produce a Business Plan to tackle selected empty homes</v>
      </c>
      <c r="C101" s="255" t="str">
        <f>'1. All Data'!D101</f>
        <v>Business Plan Produced</v>
      </c>
      <c r="D101" s="251" t="str">
        <f>'1. All Data'!H101</f>
        <v>Fully Achieved</v>
      </c>
      <c r="E101" s="220"/>
      <c r="F101" s="252" t="str">
        <f>'1. All Data'!M101</f>
        <v>Update Not Provided</v>
      </c>
      <c r="G101" s="220"/>
      <c r="H101" s="253" t="str">
        <f>'1. All Data'!R101</f>
        <v>Update Not Provided</v>
      </c>
      <c r="I101" s="220"/>
      <c r="J101" s="253" t="str">
        <f>'1. All Data'!V101</f>
        <v>Update not provided</v>
      </c>
    </row>
    <row r="102" spans="1:10" ht="99.75" customHeight="1">
      <c r="A102" s="218" t="str">
        <f>'1. All Data'!B102</f>
        <v>EHW15</v>
      </c>
      <c r="B102" s="254" t="str">
        <f>'1. All Data'!C102</f>
        <v>Deliver Focussed Environmental Health Initiatives</v>
      </c>
      <c r="C102" s="255" t="str">
        <f>'1. All Data'!D102</f>
        <v xml:space="preserve">Provide a six monthly report on Regulatory Services activity including initiatives covering licensed gambling premises, Civil Enforcement, Scrap metal compliance etc </v>
      </c>
      <c r="D102" s="251" t="str">
        <f>'1. All Data'!H102</f>
        <v>On Track to be Achieved</v>
      </c>
      <c r="E102" s="219"/>
      <c r="F102" s="252" t="str">
        <f>'1. All Data'!M102</f>
        <v>Update Not Provided</v>
      </c>
      <c r="G102" s="220"/>
      <c r="H102" s="253" t="str">
        <f>'1. All Data'!R102</f>
        <v>Update Not Provided</v>
      </c>
      <c r="I102" s="220"/>
      <c r="J102" s="253" t="str">
        <f>'1. All Data'!V102</f>
        <v>Update not provided</v>
      </c>
    </row>
    <row r="103" spans="1:10" ht="99.75" customHeight="1">
      <c r="A103" s="218" t="str">
        <f>'1. All Data'!B103</f>
        <v>EHW16</v>
      </c>
      <c r="B103" s="254" t="str">
        <f>'1. All Data'!C103</f>
        <v>Deliver Focussed Environmental Health Initiatives</v>
      </c>
      <c r="C103" s="255" t="str">
        <f>'1. All Data'!D103</f>
        <v>Undertake a targeted initiative to identify Unlicensed Houses in Multiple Occupation</v>
      </c>
      <c r="D103" s="251" t="str">
        <f>'1. All Data'!H103</f>
        <v>On Track to be Achieved</v>
      </c>
      <c r="E103" s="219"/>
      <c r="F103" s="252" t="str">
        <f>'1. All Data'!M103</f>
        <v>Update Not Provided</v>
      </c>
      <c r="G103" s="220"/>
      <c r="H103" s="253" t="str">
        <f>'1. All Data'!R103</f>
        <v>Update Not Provided</v>
      </c>
      <c r="I103" s="220"/>
      <c r="J103" s="253" t="str">
        <f>'1. All Data'!V103</f>
        <v>Update not provided</v>
      </c>
    </row>
    <row r="104" spans="1:10" ht="99.75" customHeight="1">
      <c r="A104" s="218" t="str">
        <f>'1. All Data'!B104</f>
        <v>EHW17</v>
      </c>
      <c r="B104" s="254" t="str">
        <f>'1. All Data'!C104</f>
        <v>Deliver Focussed Environmental Health Initiatives</v>
      </c>
      <c r="C104" s="255" t="str">
        <f>'1. All Data'!D104</f>
        <v>Complete an evaluation of all Licensable Animal Activities and report to DEFRA</v>
      </c>
      <c r="D104" s="251" t="str">
        <f>'1. All Data'!H104</f>
        <v>On Track to be Achieved</v>
      </c>
      <c r="E104" s="220"/>
      <c r="F104" s="252" t="str">
        <f>'1. All Data'!M104</f>
        <v>Update Not Provided</v>
      </c>
      <c r="G104" s="220"/>
      <c r="H104" s="253" t="str">
        <f>'1. All Data'!R104</f>
        <v>Update Not Provided</v>
      </c>
      <c r="I104" s="220"/>
      <c r="J104" s="253" t="str">
        <f>'1. All Data'!V104</f>
        <v>Update not provided</v>
      </c>
    </row>
    <row r="105" spans="1:10" ht="99.75" customHeight="1">
      <c r="A105" s="218" t="str">
        <f>'1. All Data'!B105</f>
        <v>EHW18</v>
      </c>
      <c r="B105" s="254" t="str">
        <f>'1. All Data'!C105</f>
        <v>Improve active links: easy in and easy out of Burton</v>
      </c>
      <c r="C105" s="255" t="str">
        <f>'1. All Data'!D105</f>
        <v xml:space="preserve">Working with SCC, audit the existing walking and cycling network and propose the upgrade and improvement of the network to ensure Burton is well connected to and from its town centre </v>
      </c>
      <c r="D105" s="251" t="str">
        <f>'1. All Data'!H105</f>
        <v>On Track to be Achieved</v>
      </c>
      <c r="E105" s="220"/>
      <c r="F105" s="252" t="str">
        <f>'1. All Data'!M105</f>
        <v>Update Not Provided</v>
      </c>
      <c r="G105" s="220"/>
      <c r="H105" s="253" t="str">
        <f>'1. All Data'!R105</f>
        <v>Update Not Provided</v>
      </c>
      <c r="I105" s="220"/>
      <c r="J105" s="253" t="str">
        <f>'1. All Data'!V105</f>
        <v>Update not provided</v>
      </c>
    </row>
    <row r="106" spans="1:10" ht="99.75" customHeight="1">
      <c r="A106" s="218" t="str">
        <f>'1. All Data'!B106</f>
        <v>EHW19</v>
      </c>
      <c r="B106" s="254" t="str">
        <f>'1. All Data'!C106</f>
        <v>Improve active and green links: easy in and easy out of Burton</v>
      </c>
      <c r="C106" s="255" t="str">
        <f>'1. All Data'!D106</f>
        <v xml:space="preserve">Begin scoping works for a bus interchange and active travel hubs in the Burton Place area </v>
      </c>
      <c r="D106" s="251" t="str">
        <f>'1. All Data'!H106</f>
        <v>On Track to be Achieved</v>
      </c>
      <c r="E106" s="220"/>
      <c r="F106" s="252" t="str">
        <f>'1. All Data'!M106</f>
        <v>Update Not Provided</v>
      </c>
      <c r="G106" s="220"/>
      <c r="H106" s="253" t="str">
        <f>'1. All Data'!R106</f>
        <v>Update Not Provided</v>
      </c>
      <c r="I106" s="220"/>
      <c r="J106" s="253" t="str">
        <f>'1. All Data'!V106</f>
        <v>Update not provided</v>
      </c>
    </row>
    <row r="107" spans="1:10" ht="99.75" customHeight="1">
      <c r="A107" s="218" t="str">
        <f>'1. All Data'!B107</f>
        <v>EHW20</v>
      </c>
      <c r="B107" s="254" t="str">
        <f>'1. All Data'!C107</f>
        <v>Upgrade Burton Railway Station in terms of functionality and aesthetics</v>
      </c>
      <c r="C107" s="255" t="str">
        <f>'1. All Data'!D107</f>
        <v xml:space="preserve">Continue to work with the relevant rail authorities and partners to invest in and improve  the fabric of Burton Railway Station building </v>
      </c>
      <c r="D107" s="251" t="str">
        <f>'1. All Data'!H107</f>
        <v>On Track to be Achieved</v>
      </c>
      <c r="E107" s="220"/>
      <c r="F107" s="252" t="str">
        <f>'1. All Data'!M107</f>
        <v>Update Not Provided</v>
      </c>
      <c r="G107" s="220"/>
      <c r="H107" s="253" t="str">
        <f>'1. All Data'!R107</f>
        <v>Update Not Provided</v>
      </c>
      <c r="I107" s="220"/>
      <c r="J107" s="253" t="str">
        <f>'1. All Data'!V107</f>
        <v>Update not provided</v>
      </c>
    </row>
    <row r="108" spans="1:10" ht="99.75" customHeight="1">
      <c r="A108" s="218" t="str">
        <f>'1. All Data'!B108</f>
        <v>EHW21</v>
      </c>
      <c r="B108" s="254" t="str">
        <f>'1. All Data'!C108</f>
        <v>Upgrade Burton Railway Station in terms of functionality and aesthetics</v>
      </c>
      <c r="C108" s="255" t="str">
        <f>'1. All Data'!D108</f>
        <v xml:space="preserve">Work with partners to lobby for the opening of the Burton to Lichfield and Ivanhoe rail links </v>
      </c>
      <c r="D108" s="251" t="str">
        <f>'1. All Data'!H108</f>
        <v>Not Yet Due</v>
      </c>
      <c r="E108" s="220"/>
      <c r="F108" s="252" t="str">
        <f>'1. All Data'!M108</f>
        <v>Update Not Provided</v>
      </c>
      <c r="G108" s="220"/>
      <c r="H108" s="253" t="str">
        <f>'1. All Data'!R108</f>
        <v>Update Not Provided</v>
      </c>
      <c r="I108" s="220"/>
      <c r="J108" s="253" t="str">
        <f>'1. All Data'!V108</f>
        <v>Update not provided</v>
      </c>
    </row>
    <row r="109" spans="1:10" ht="99.75" customHeight="1">
      <c r="A109" s="218" t="str">
        <f>'1. All Data'!B109</f>
        <v>EHW22</v>
      </c>
      <c r="B109" s="254" t="str">
        <f>'1. All Data'!C109</f>
        <v>Achieve optimum working in economic partnership</v>
      </c>
      <c r="C109" s="255" t="str">
        <f>'1. All Data'!D109</f>
        <v xml:space="preserve">Continue to work with strategic tourism partners to facilitate the promotion of tourism </v>
      </c>
      <c r="D109" s="251" t="str">
        <f>'1. All Data'!H109</f>
        <v>Not Yet Due</v>
      </c>
      <c r="E109" s="220"/>
      <c r="F109" s="252" t="str">
        <f>'1. All Data'!M109</f>
        <v>Update Not Provided</v>
      </c>
      <c r="G109" s="220"/>
      <c r="H109" s="253" t="str">
        <f>'1. All Data'!R109</f>
        <v>Update Not Provided</v>
      </c>
      <c r="I109" s="220"/>
      <c r="J109" s="253" t="str">
        <f>'1. All Data'!V109</f>
        <v>Update not provided</v>
      </c>
    </row>
    <row r="110" spans="1:10" ht="99.75" customHeight="1">
      <c r="A110" s="218" t="str">
        <f>'1. All Data'!B110</f>
        <v>EHW23</v>
      </c>
      <c r="B110" s="254" t="str">
        <f>'1. All Data'!C110</f>
        <v>Achieve optimum working in economic partnership</v>
      </c>
      <c r="C110" s="255" t="str">
        <f>'1. All Data'!D110</f>
        <v xml:space="preserve">Support partners such as the National Forest and Transforming The Trent Valley in delivering environmental enhancement projects, such as the Brook Hollows project </v>
      </c>
      <c r="D110" s="251" t="str">
        <f>'1. All Data'!H110</f>
        <v>On Track to be Achieved</v>
      </c>
      <c r="E110" s="219"/>
      <c r="F110" s="252" t="str">
        <f>'1. All Data'!M110</f>
        <v>Update Not Provided</v>
      </c>
      <c r="G110" s="220"/>
      <c r="H110" s="253" t="str">
        <f>'1. All Data'!R110</f>
        <v>Update Not Provided</v>
      </c>
      <c r="I110" s="227"/>
      <c r="J110" s="253" t="str">
        <f>'1. All Data'!V110</f>
        <v>Update not provided</v>
      </c>
    </row>
    <row r="111" spans="1:10" s="221" customFormat="1">
      <c r="C111" s="249"/>
    </row>
    <row r="112" spans="1:10" s="221" customFormat="1">
      <c r="C112" s="249"/>
    </row>
    <row r="113" spans="3:3" s="221" customFormat="1">
      <c r="C113" s="249"/>
    </row>
    <row r="114" spans="3:3" s="221" customFormat="1">
      <c r="C114" s="249"/>
    </row>
    <row r="115" spans="3:3" s="221" customFormat="1">
      <c r="C115" s="249"/>
    </row>
    <row r="116" spans="3:3" s="221" customFormat="1">
      <c r="C116" s="249"/>
    </row>
    <row r="117" spans="3:3" s="221" customFormat="1">
      <c r="C117" s="249"/>
    </row>
    <row r="118" spans="3:3" s="221" customFormat="1">
      <c r="C118" s="249"/>
    </row>
    <row r="119" spans="3:3" s="221" customFormat="1">
      <c r="C119" s="249"/>
    </row>
    <row r="120" spans="3:3" s="221" customFormat="1">
      <c r="C120" s="249"/>
    </row>
    <row r="121" spans="3:3" s="221" customFormat="1">
      <c r="C121" s="249"/>
    </row>
    <row r="122" spans="3:3" s="221" customFormat="1">
      <c r="C122" s="249"/>
    </row>
    <row r="123" spans="3:3" s="221" customFormat="1">
      <c r="C123" s="249"/>
    </row>
    <row r="124" spans="3:3" s="221" customFormat="1">
      <c r="C124" s="249"/>
    </row>
    <row r="125" spans="3:3" s="221" customFormat="1">
      <c r="C125" s="249"/>
    </row>
    <row r="126" spans="3:3" s="221" customFormat="1">
      <c r="C126" s="249"/>
    </row>
    <row r="127" spans="3:3" s="221" customFormat="1">
      <c r="C127" s="249"/>
    </row>
    <row r="128" spans="3:3" s="221" customFormat="1">
      <c r="C128" s="249"/>
    </row>
    <row r="129" spans="3:3">
      <c r="C129" s="249"/>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3"/>
  <sheetViews>
    <sheetView workbookViewId="0"/>
  </sheetViews>
  <sheetFormatPr defaultRowHeight="15"/>
  <cols>
    <col min="1" max="1" width="36"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2">
      <c r="B2" t="s">
        <v>480</v>
      </c>
    </row>
    <row r="3" spans="1:2">
      <c r="A3" s="266" t="s">
        <v>300</v>
      </c>
      <c r="B3" s="268">
        <v>2</v>
      </c>
    </row>
    <row r="4" spans="1:2">
      <c r="A4" s="267" t="s">
        <v>352</v>
      </c>
      <c r="B4" s="268">
        <v>2</v>
      </c>
    </row>
    <row r="5" spans="1:2">
      <c r="A5" s="266" t="s">
        <v>313</v>
      </c>
      <c r="B5" s="268">
        <v>14</v>
      </c>
    </row>
    <row r="6" spans="1:2">
      <c r="A6" s="267" t="s">
        <v>352</v>
      </c>
      <c r="B6" s="268">
        <v>14</v>
      </c>
    </row>
    <row r="7" spans="1:2">
      <c r="A7" s="266" t="s">
        <v>321</v>
      </c>
      <c r="B7" s="268">
        <v>5</v>
      </c>
    </row>
    <row r="8" spans="1:2">
      <c r="A8" s="267" t="s">
        <v>352</v>
      </c>
      <c r="B8" s="268">
        <v>5</v>
      </c>
    </row>
    <row r="9" spans="1:2">
      <c r="A9" s="266" t="s">
        <v>332</v>
      </c>
      <c r="B9" s="268">
        <v>2</v>
      </c>
    </row>
    <row r="10" spans="1:2">
      <c r="A10" s="267" t="s">
        <v>352</v>
      </c>
      <c r="B10" s="268">
        <v>2</v>
      </c>
    </row>
    <row r="11" spans="1:2">
      <c r="A11" s="266" t="s">
        <v>327</v>
      </c>
      <c r="B11" s="268">
        <v>1</v>
      </c>
    </row>
    <row r="12" spans="1:2">
      <c r="A12" s="267" t="s">
        <v>352</v>
      </c>
      <c r="B12" s="268">
        <v>1</v>
      </c>
    </row>
    <row r="13" spans="1:2">
      <c r="A13" s="266" t="s">
        <v>295</v>
      </c>
      <c r="B13" s="268">
        <v>4</v>
      </c>
    </row>
    <row r="14" spans="1:2">
      <c r="A14" s="267" t="s">
        <v>352</v>
      </c>
      <c r="B14" s="268">
        <v>4</v>
      </c>
    </row>
    <row r="15" spans="1:2">
      <c r="A15" s="266" t="s">
        <v>296</v>
      </c>
      <c r="B15" s="268">
        <v>3</v>
      </c>
    </row>
    <row r="16" spans="1:2">
      <c r="A16" s="267" t="s">
        <v>352</v>
      </c>
      <c r="B16" s="268">
        <v>3</v>
      </c>
    </row>
    <row r="17" spans="1:2">
      <c r="A17" s="266" t="s">
        <v>301</v>
      </c>
      <c r="B17" s="268">
        <v>3</v>
      </c>
    </row>
    <row r="18" spans="1:2">
      <c r="A18" s="267" t="s">
        <v>352</v>
      </c>
      <c r="B18" s="268">
        <v>3</v>
      </c>
    </row>
    <row r="19" spans="1:2">
      <c r="A19" s="266" t="s">
        <v>299</v>
      </c>
      <c r="B19" s="268">
        <v>2</v>
      </c>
    </row>
    <row r="20" spans="1:2">
      <c r="A20" s="267" t="s">
        <v>352</v>
      </c>
      <c r="B20" s="268">
        <v>2</v>
      </c>
    </row>
    <row r="21" spans="1:2">
      <c r="A21" s="266" t="s">
        <v>297</v>
      </c>
      <c r="B21" s="268">
        <v>6</v>
      </c>
    </row>
    <row r="22" spans="1:2">
      <c r="A22" s="267" t="s">
        <v>352</v>
      </c>
      <c r="B22" s="268">
        <v>6</v>
      </c>
    </row>
    <row r="23" spans="1:2">
      <c r="A23" s="266" t="s">
        <v>329</v>
      </c>
      <c r="B23" s="268">
        <v>4</v>
      </c>
    </row>
    <row r="24" spans="1:2">
      <c r="A24" s="267" t="s">
        <v>352</v>
      </c>
      <c r="B24" s="268">
        <v>4</v>
      </c>
    </row>
    <row r="25" spans="1:2">
      <c r="A25" s="266" t="s">
        <v>304</v>
      </c>
      <c r="B25" s="268">
        <v>8</v>
      </c>
    </row>
    <row r="26" spans="1:2">
      <c r="A26" s="267" t="s">
        <v>352</v>
      </c>
      <c r="B26" s="268">
        <v>8</v>
      </c>
    </row>
    <row r="27" spans="1:2">
      <c r="A27" s="266" t="s">
        <v>330</v>
      </c>
      <c r="B27" s="268">
        <v>1</v>
      </c>
    </row>
    <row r="28" spans="1:2">
      <c r="A28" s="267" t="s">
        <v>352</v>
      </c>
      <c r="B28" s="268">
        <v>1</v>
      </c>
    </row>
    <row r="29" spans="1:2">
      <c r="A29" s="266" t="s">
        <v>308</v>
      </c>
      <c r="B29" s="268">
        <v>3</v>
      </c>
    </row>
    <row r="30" spans="1:2">
      <c r="A30" s="267" t="s">
        <v>352</v>
      </c>
      <c r="B30" s="268">
        <v>3</v>
      </c>
    </row>
    <row r="31" spans="1:2">
      <c r="A31" s="266" t="s">
        <v>306</v>
      </c>
      <c r="B31" s="268">
        <v>13</v>
      </c>
    </row>
    <row r="32" spans="1:2">
      <c r="A32" s="267" t="s">
        <v>352</v>
      </c>
      <c r="B32" s="268">
        <v>13</v>
      </c>
    </row>
    <row r="33" spans="1:2">
      <c r="A33" s="266" t="s">
        <v>325</v>
      </c>
      <c r="B33" s="268">
        <v>1</v>
      </c>
    </row>
    <row r="34" spans="1:2">
      <c r="A34" s="267" t="s">
        <v>352</v>
      </c>
      <c r="B34" s="268">
        <v>1</v>
      </c>
    </row>
    <row r="35" spans="1:2">
      <c r="A35" s="266" t="s">
        <v>316</v>
      </c>
      <c r="B35" s="268">
        <v>4</v>
      </c>
    </row>
    <row r="36" spans="1:2">
      <c r="A36" s="267" t="s">
        <v>352</v>
      </c>
      <c r="B36" s="268">
        <v>4</v>
      </c>
    </row>
    <row r="37" spans="1:2">
      <c r="A37" s="266" t="s">
        <v>371</v>
      </c>
      <c r="B37" s="268">
        <v>3</v>
      </c>
    </row>
    <row r="38" spans="1:2">
      <c r="A38" s="267" t="s">
        <v>352</v>
      </c>
      <c r="B38" s="268">
        <v>3</v>
      </c>
    </row>
    <row r="39" spans="1:2">
      <c r="A39" s="266" t="s">
        <v>311</v>
      </c>
      <c r="B39" s="268">
        <v>14</v>
      </c>
    </row>
    <row r="40" spans="1:2">
      <c r="A40" s="267" t="s">
        <v>352</v>
      </c>
      <c r="B40" s="268">
        <v>14</v>
      </c>
    </row>
    <row r="41" spans="1:2">
      <c r="A41" s="266" t="s">
        <v>318</v>
      </c>
      <c r="B41" s="268">
        <v>15</v>
      </c>
    </row>
    <row r="42" spans="1:2">
      <c r="A42" s="267" t="s">
        <v>352</v>
      </c>
      <c r="B42" s="268">
        <v>15</v>
      </c>
    </row>
    <row r="43" spans="1:2">
      <c r="A43" s="266" t="s">
        <v>467</v>
      </c>
      <c r="B43" s="268">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Index</vt:lpstr>
      <vt:lpstr>1. All Data</vt:lpstr>
      <vt:lpstr>Q1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2019-07-03T08:42:27Z</cp:lastPrinted>
  <dcterms:created xsi:type="dcterms:W3CDTF">2019-02-13T13:28:16Z</dcterms:created>
  <dcterms:modified xsi:type="dcterms:W3CDTF">2019-09-05T13:35:18Z</dcterms:modified>
</cp:coreProperties>
</file>